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s\APD\PythonProject\apd_import_storedata\"/>
    </mc:Choice>
  </mc:AlternateContent>
  <bookViews>
    <workbookView xWindow="-105" yWindow="-105" windowWidth="23250" windowHeight="12570" tabRatio="570" activeTab="3"/>
  </bookViews>
  <sheets>
    <sheet name="Overview" sheetId="5" r:id="rId1"/>
    <sheet name="Details-GLOBAL-202301-202303" sheetId="7" r:id="rId2"/>
    <sheet name="ConversionRateInfo" sheetId="15" r:id="rId3"/>
    <sheet name="Store source" sheetId="16" r:id="rId4"/>
    <sheet name="Evolution" sheetId="14" state="hidden" r:id="rId5"/>
    <sheet name="Details-YEAR2022" sheetId="2" state="hidden" r:id="rId6"/>
    <sheet name="PRORATA" sheetId="13" state="hidden" r:id="rId7"/>
    <sheet name="Details-FR-202301-202303" sheetId="8" state="hidden" r:id="rId8"/>
    <sheet name="Details-UK-202103-202202" sheetId="12" state="hidden" r:id="rId9"/>
    <sheet name="Details-RO-202103-202202" sheetId="11" state="hidden" r:id="rId10"/>
    <sheet name="Details-RU-202103-202202" sheetId="10" state="hidden" r:id="rId11"/>
    <sheet name="Details-DE-202103-202202" sheetId="9" state="hidden" r:id="rId12"/>
    <sheet name="IdentID information" sheetId="6" state="hidden" r:id="rId13"/>
    <sheet name="ETS - Custom Install-referral" sheetId="1" state="hidden" r:id="rId14"/>
  </sheets>
  <definedNames>
    <definedName name="_xlnm._FilterDatabase" localSheetId="13" hidden="1">'ETS - Custom Install-referral'!$A$1:$E$1</definedName>
    <definedName name="_xlnm._FilterDatabase" localSheetId="3" hidden="1">'Store source'!$A$60:$N$69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5" i="16" l="1"/>
  <c r="F44" i="16"/>
  <c r="F43" i="16"/>
  <c r="F42" i="16"/>
  <c r="F41" i="16"/>
  <c r="F40" i="16"/>
  <c r="F39" i="16"/>
  <c r="F38" i="16"/>
  <c r="F37" i="16"/>
  <c r="F36" i="16"/>
  <c r="F35" i="16"/>
  <c r="F34" i="16"/>
  <c r="E35" i="16" l="1"/>
  <c r="E36" i="16"/>
  <c r="E37" i="16"/>
  <c r="E38" i="16"/>
  <c r="E39" i="16"/>
  <c r="E40" i="16"/>
  <c r="E41" i="16"/>
  <c r="E42" i="16"/>
  <c r="E43" i="16"/>
  <c r="E44" i="16"/>
  <c r="E45" i="16"/>
  <c r="E34" i="16"/>
  <c r="D35" i="16" l="1"/>
  <c r="D36" i="16"/>
  <c r="D37" i="16"/>
  <c r="D38" i="16"/>
  <c r="D39" i="16"/>
  <c r="D40" i="16"/>
  <c r="D41" i="16"/>
  <c r="D42" i="16"/>
  <c r="D43" i="16"/>
  <c r="D44" i="16"/>
  <c r="D45" i="16"/>
  <c r="D34" i="16"/>
  <c r="H61" i="16"/>
  <c r="G62" i="16"/>
  <c r="G61" i="16"/>
  <c r="I61" i="16" s="1"/>
  <c r="F61" i="16"/>
  <c r="E62" i="16"/>
  <c r="E63" i="16"/>
  <c r="E64" i="16"/>
  <c r="E65" i="16"/>
  <c r="E66" i="16"/>
  <c r="E67" i="16"/>
  <c r="E68" i="16"/>
  <c r="E69" i="16"/>
  <c r="E61" i="16"/>
  <c r="H69" i="16" l="1"/>
  <c r="G69" i="16"/>
  <c r="F69" i="16"/>
  <c r="H68" i="16"/>
  <c r="G68" i="16"/>
  <c r="F68" i="16"/>
  <c r="H67" i="16"/>
  <c r="G67" i="16"/>
  <c r="I67" i="16" s="1"/>
  <c r="F67" i="16"/>
  <c r="H66" i="16"/>
  <c r="G66" i="16"/>
  <c r="F66" i="16"/>
  <c r="I66" i="16" s="1"/>
  <c r="H65" i="16"/>
  <c r="G65" i="16"/>
  <c r="F65" i="16"/>
  <c r="H64" i="16"/>
  <c r="G64" i="16"/>
  <c r="F64" i="16"/>
  <c r="H63" i="16"/>
  <c r="G63" i="16"/>
  <c r="I63" i="16" s="1"/>
  <c r="F63" i="16"/>
  <c r="H62" i="16"/>
  <c r="F62" i="16"/>
  <c r="I62" i="16" s="1"/>
  <c r="I65" i="16" l="1"/>
  <c r="I69" i="16"/>
  <c r="I64" i="16"/>
  <c r="I68" i="16"/>
  <c r="G190" i="7"/>
  <c r="G130" i="7" l="1"/>
  <c r="G136" i="7"/>
  <c r="H126" i="7"/>
  <c r="G125" i="7"/>
  <c r="G126" i="7" s="1"/>
  <c r="H146" i="7" l="1"/>
  <c r="F125" i="7"/>
  <c r="H164" i="7"/>
  <c r="H172" i="7"/>
  <c r="G155" i="7"/>
  <c r="D8" i="15"/>
  <c r="C8" i="15"/>
  <c r="D6" i="15"/>
  <c r="C6" i="15"/>
  <c r="H26" i="5" l="1"/>
  <c r="I26" i="5"/>
  <c r="I28" i="5"/>
  <c r="H24" i="5"/>
  <c r="H221" i="7" l="1"/>
  <c r="G221" i="7"/>
  <c r="H219" i="7"/>
  <c r="G219" i="7"/>
  <c r="H218" i="7"/>
  <c r="G218" i="7"/>
  <c r="G216" i="7"/>
  <c r="H215" i="7"/>
  <c r="G215" i="7"/>
  <c r="H154" i="7"/>
  <c r="H153" i="7"/>
  <c r="H152" i="7"/>
  <c r="H129" i="7"/>
  <c r="G89" i="7"/>
  <c r="K6" i="7"/>
  <c r="H28" i="5"/>
  <c r="H16" i="5"/>
  <c r="H22" i="5"/>
  <c r="H14" i="5"/>
  <c r="H13" i="5"/>
  <c r="H11" i="5"/>
  <c r="H9" i="5"/>
  <c r="H8" i="5"/>
  <c r="H6" i="5"/>
  <c r="H4" i="5"/>
  <c r="H2" i="5"/>
  <c r="H83" i="7"/>
  <c r="H155" i="7" s="1"/>
  <c r="K53" i="7"/>
  <c r="K21" i="7"/>
  <c r="K37" i="7"/>
  <c r="H150" i="7"/>
  <c r="E46" i="5"/>
  <c r="G25" i="7"/>
  <c r="G27" i="7" s="1"/>
  <c r="H25" i="7"/>
  <c r="I27" i="7"/>
  <c r="I167" i="7" s="1"/>
  <c r="G41" i="7"/>
  <c r="G43" i="7" s="1"/>
  <c r="G44" i="7" s="1"/>
  <c r="H41" i="7"/>
  <c r="H42" i="7" s="1"/>
  <c r="I41" i="7"/>
  <c r="I43" i="7"/>
  <c r="I166" i="7" s="1"/>
  <c r="G57" i="7"/>
  <c r="G59" i="7" s="1"/>
  <c r="H57" i="7"/>
  <c r="I57" i="7"/>
  <c r="I59" i="7" s="1"/>
  <c r="I168" i="7" s="1"/>
  <c r="F40" i="5"/>
  <c r="G40" i="5" s="1"/>
  <c r="F41" i="5"/>
  <c r="H81" i="7"/>
  <c r="F37" i="5" s="1"/>
  <c r="G37" i="5" s="1"/>
  <c r="F36" i="5"/>
  <c r="G146" i="7"/>
  <c r="E42" i="5"/>
  <c r="E36" i="5"/>
  <c r="E38" i="5" s="1"/>
  <c r="E139" i="9"/>
  <c r="E139" i="10"/>
  <c r="E139" i="8"/>
  <c r="E139" i="12"/>
  <c r="F139" i="7"/>
  <c r="E139" i="11"/>
  <c r="F41" i="12"/>
  <c r="G35" i="12"/>
  <c r="G41" i="12" s="1"/>
  <c r="H41" i="12"/>
  <c r="H43" i="12" s="1"/>
  <c r="H166" i="12" s="1"/>
  <c r="F25" i="12"/>
  <c r="F27" i="12" s="1"/>
  <c r="G19" i="12"/>
  <c r="G25" i="12" s="1"/>
  <c r="H25" i="12"/>
  <c r="H27" i="12" s="1"/>
  <c r="H167" i="12" s="1"/>
  <c r="F57" i="12"/>
  <c r="F59" i="12" s="1"/>
  <c r="G51" i="12"/>
  <c r="E51" i="12" s="1"/>
  <c r="H57" i="12"/>
  <c r="H59" i="12" s="1"/>
  <c r="H168" i="12" s="1"/>
  <c r="F119" i="12"/>
  <c r="F151" i="12"/>
  <c r="F185" i="12"/>
  <c r="G118" i="12"/>
  <c r="G147" i="12" s="1"/>
  <c r="G183" i="12" s="1"/>
  <c r="G151" i="12"/>
  <c r="G184" i="12"/>
  <c r="G185" i="12"/>
  <c r="G123" i="12"/>
  <c r="E123" i="12" s="1"/>
  <c r="E142" i="12" s="1"/>
  <c r="E108" i="12"/>
  <c r="E109" i="12"/>
  <c r="F10" i="12"/>
  <c r="F12" i="12" s="1"/>
  <c r="G4" i="12"/>
  <c r="G10" i="12" s="1"/>
  <c r="F87" i="12"/>
  <c r="F89" i="12" s="1"/>
  <c r="G81" i="12"/>
  <c r="E81" i="12" s="1"/>
  <c r="F146" i="12"/>
  <c r="G146" i="12"/>
  <c r="H146" i="12"/>
  <c r="I146" i="12"/>
  <c r="H10" i="12"/>
  <c r="H12" i="12" s="1"/>
  <c r="H164" i="12" s="1"/>
  <c r="H87" i="12"/>
  <c r="H88" i="12" s="1"/>
  <c r="H89" i="12"/>
  <c r="H169" i="12" s="1"/>
  <c r="G119" i="7"/>
  <c r="G118" i="7" s="1"/>
  <c r="G147" i="7" s="1"/>
  <c r="G183" i="7" s="1"/>
  <c r="H118" i="7"/>
  <c r="H147" i="7" s="1"/>
  <c r="H183" i="7" s="1"/>
  <c r="E20" i="5"/>
  <c r="Q20" i="5" s="1"/>
  <c r="F123" i="7"/>
  <c r="F142" i="7" s="1"/>
  <c r="E13" i="5" s="1"/>
  <c r="Q13" i="5" s="1"/>
  <c r="F108" i="7"/>
  <c r="F109" i="7"/>
  <c r="G10" i="7"/>
  <c r="G12" i="7" s="1"/>
  <c r="G13" i="7" s="1"/>
  <c r="H10" i="7"/>
  <c r="H11" i="7" s="1"/>
  <c r="G169" i="7"/>
  <c r="H87" i="7"/>
  <c r="H88" i="7" s="1"/>
  <c r="G117" i="7"/>
  <c r="G129" i="7" s="1"/>
  <c r="G131" i="7"/>
  <c r="G116" i="7"/>
  <c r="F116" i="7" s="1"/>
  <c r="G35" i="8"/>
  <c r="G41" i="8" s="1"/>
  <c r="G51" i="9"/>
  <c r="G57" i="9" s="1"/>
  <c r="G35" i="9"/>
  <c r="G41" i="9" s="1"/>
  <c r="G19" i="9"/>
  <c r="E19" i="9" s="1"/>
  <c r="G4" i="9"/>
  <c r="G10" i="9" s="1"/>
  <c r="G51" i="10"/>
  <c r="E51" i="10" s="1"/>
  <c r="G35" i="10"/>
  <c r="G41" i="10" s="1"/>
  <c r="G19" i="10"/>
  <c r="G25" i="10" s="1"/>
  <c r="G4" i="10"/>
  <c r="E4" i="10" s="1"/>
  <c r="E10" i="10" s="1"/>
  <c r="G51" i="11"/>
  <c r="E51" i="11" s="1"/>
  <c r="G35" i="11"/>
  <c r="G41" i="11" s="1"/>
  <c r="G19" i="11"/>
  <c r="G25" i="11" s="1"/>
  <c r="G4" i="11"/>
  <c r="E4" i="11" s="1"/>
  <c r="E10" i="11" s="1"/>
  <c r="G51" i="8"/>
  <c r="G57" i="8" s="1"/>
  <c r="G19" i="8"/>
  <c r="G25" i="8" s="1"/>
  <c r="G4" i="8"/>
  <c r="G10" i="8" s="1"/>
  <c r="I129" i="9"/>
  <c r="I130" i="9"/>
  <c r="I131" i="9"/>
  <c r="H129" i="9"/>
  <c r="H130" i="9"/>
  <c r="H131" i="9"/>
  <c r="G117" i="9"/>
  <c r="G129" i="9" s="1"/>
  <c r="G130" i="9"/>
  <c r="G131" i="9"/>
  <c r="F117" i="9"/>
  <c r="F129" i="9" s="1"/>
  <c r="F130" i="9"/>
  <c r="F131" i="9"/>
  <c r="E116" i="9"/>
  <c r="I129" i="10"/>
  <c r="I130" i="10"/>
  <c r="I131" i="10"/>
  <c r="H129" i="10"/>
  <c r="H130" i="10"/>
  <c r="H131" i="10"/>
  <c r="G117" i="10"/>
  <c r="G129" i="10" s="1"/>
  <c r="G130" i="10"/>
  <c r="G131" i="10"/>
  <c r="F117" i="10"/>
  <c r="F129" i="10"/>
  <c r="F130" i="10"/>
  <c r="E130" i="10" s="1"/>
  <c r="F131" i="10"/>
  <c r="E116" i="10"/>
  <c r="I129" i="11"/>
  <c r="I130" i="11"/>
  <c r="I131" i="11"/>
  <c r="H129" i="11"/>
  <c r="H130" i="11"/>
  <c r="H131" i="11"/>
  <c r="G117" i="11"/>
  <c r="G129" i="11" s="1"/>
  <c r="G130" i="11"/>
  <c r="G131" i="11"/>
  <c r="F117" i="11"/>
  <c r="F129" i="11"/>
  <c r="F130" i="11"/>
  <c r="E130" i="11" s="1"/>
  <c r="F131" i="11"/>
  <c r="E116" i="11"/>
  <c r="I129" i="12"/>
  <c r="I130" i="12"/>
  <c r="I131" i="12"/>
  <c r="H129" i="12"/>
  <c r="H130" i="12"/>
  <c r="H131" i="12"/>
  <c r="G117" i="12"/>
  <c r="G130" i="12"/>
  <c r="G131" i="12"/>
  <c r="F117" i="12"/>
  <c r="F129" i="12" s="1"/>
  <c r="F130" i="12"/>
  <c r="F131" i="12"/>
  <c r="E130" i="12"/>
  <c r="E116" i="12"/>
  <c r="F117" i="8"/>
  <c r="F129" i="8" s="1"/>
  <c r="F130" i="8"/>
  <c r="F131" i="8"/>
  <c r="G117" i="8"/>
  <c r="G129" i="8" s="1"/>
  <c r="G130" i="8"/>
  <c r="G131" i="8"/>
  <c r="H129" i="8"/>
  <c r="H133" i="8" s="1"/>
  <c r="H136" i="8" s="1"/>
  <c r="H130" i="8"/>
  <c r="H131" i="8"/>
  <c r="I129" i="8"/>
  <c r="I130" i="8"/>
  <c r="I131" i="8"/>
  <c r="E116" i="8"/>
  <c r="F95" i="7"/>
  <c r="G81" i="8"/>
  <c r="E81" i="8" s="1"/>
  <c r="G81" i="11"/>
  <c r="G87" i="11" s="1"/>
  <c r="G88" i="11" s="1"/>
  <c r="G81" i="10"/>
  <c r="G87" i="10" s="1"/>
  <c r="G81" i="9"/>
  <c r="E18" i="14"/>
  <c r="F18" i="14"/>
  <c r="F35" i="14"/>
  <c r="G18" i="14"/>
  <c r="G23" i="14" s="1"/>
  <c r="H18" i="14"/>
  <c r="H35" i="14" s="1"/>
  <c r="I18" i="14"/>
  <c r="J18" i="14"/>
  <c r="J25" i="14" s="1"/>
  <c r="J35" i="14"/>
  <c r="K18" i="14"/>
  <c r="L35" i="14"/>
  <c r="M18" i="14"/>
  <c r="N18" i="14"/>
  <c r="N19" i="14" s="1"/>
  <c r="O18" i="14"/>
  <c r="O35" i="14" s="1"/>
  <c r="P18" i="14"/>
  <c r="P35" i="14" s="1"/>
  <c r="Q18" i="14"/>
  <c r="R18" i="14"/>
  <c r="S18" i="14"/>
  <c r="S35" i="14" s="1"/>
  <c r="T18" i="14"/>
  <c r="T35" i="14" s="1"/>
  <c r="U18" i="14"/>
  <c r="V18" i="14"/>
  <c r="W18" i="14"/>
  <c r="W35" i="14" s="1"/>
  <c r="X18" i="14"/>
  <c r="X35" i="14" s="1"/>
  <c r="Y18" i="14"/>
  <c r="Z18" i="14"/>
  <c r="Z25" i="14" s="1"/>
  <c r="AA18" i="14"/>
  <c r="AA35" i="14" s="1"/>
  <c r="AB18" i="14"/>
  <c r="AB35" i="14" s="1"/>
  <c r="AC18" i="14"/>
  <c r="D18" i="14"/>
  <c r="D21" i="14" s="1"/>
  <c r="E26" i="14"/>
  <c r="E27" i="14" s="1"/>
  <c r="F26" i="14"/>
  <c r="F33" i="14" s="1"/>
  <c r="G26" i="14"/>
  <c r="H26" i="14"/>
  <c r="H31" i="14" s="1"/>
  <c r="I26" i="14"/>
  <c r="I29" i="14" s="1"/>
  <c r="J26" i="14"/>
  <c r="J33" i="14" s="1"/>
  <c r="K26" i="14"/>
  <c r="L26" i="14"/>
  <c r="L31" i="14" s="1"/>
  <c r="M26" i="14"/>
  <c r="N26" i="14"/>
  <c r="N33" i="14" s="1"/>
  <c r="O26" i="14"/>
  <c r="P26" i="14"/>
  <c r="Q26" i="14"/>
  <c r="R26" i="14"/>
  <c r="R33" i="14" s="1"/>
  <c r="S26" i="14"/>
  <c r="T26" i="14"/>
  <c r="T27" i="14" s="1"/>
  <c r="U26" i="14"/>
  <c r="U27" i="14" s="1"/>
  <c r="V26" i="14"/>
  <c r="V33" i="14" s="1"/>
  <c r="W26" i="14"/>
  <c r="X26" i="14"/>
  <c r="Y26" i="14"/>
  <c r="Y31" i="14" s="1"/>
  <c r="Z33" i="14"/>
  <c r="AA33" i="14"/>
  <c r="AB26" i="14"/>
  <c r="AB29" i="14" s="1"/>
  <c r="AC33" i="14"/>
  <c r="J31" i="14"/>
  <c r="N31" i="14"/>
  <c r="R31" i="14"/>
  <c r="Z31" i="14"/>
  <c r="AA31" i="14"/>
  <c r="AB31" i="14"/>
  <c r="AC31" i="14"/>
  <c r="E29" i="14"/>
  <c r="J29" i="14"/>
  <c r="M29" i="14"/>
  <c r="R29" i="14"/>
  <c r="U29" i="14"/>
  <c r="Z29" i="14"/>
  <c r="AA29" i="14"/>
  <c r="AC29" i="14"/>
  <c r="F27" i="14"/>
  <c r="H27" i="14"/>
  <c r="I27" i="14"/>
  <c r="J27" i="14"/>
  <c r="N27" i="14"/>
  <c r="Q27" i="14"/>
  <c r="V27" i="14"/>
  <c r="Z27" i="14"/>
  <c r="AA27" i="14"/>
  <c r="AC27" i="14"/>
  <c r="D26" i="14"/>
  <c r="D29" i="14"/>
  <c r="F19" i="14"/>
  <c r="I19" i="14"/>
  <c r="J19" i="14"/>
  <c r="L19" i="14"/>
  <c r="P19" i="14"/>
  <c r="T19" i="14"/>
  <c r="V19" i="14"/>
  <c r="AB19" i="14"/>
  <c r="F25" i="14"/>
  <c r="G25" i="14"/>
  <c r="L25" i="14"/>
  <c r="P25" i="14"/>
  <c r="X25" i="14"/>
  <c r="AB25" i="14"/>
  <c r="F23" i="14"/>
  <c r="J23" i="14"/>
  <c r="L23" i="14"/>
  <c r="O23" i="14"/>
  <c r="P23" i="14"/>
  <c r="R23" i="14"/>
  <c r="S23" i="14"/>
  <c r="T23" i="14"/>
  <c r="W23" i="14"/>
  <c r="X23" i="14"/>
  <c r="AA23" i="14"/>
  <c r="AB23" i="14"/>
  <c r="F21" i="14"/>
  <c r="G21" i="14"/>
  <c r="L21" i="14"/>
  <c r="P21" i="14"/>
  <c r="T21" i="14"/>
  <c r="X21" i="14"/>
  <c r="AB21" i="14"/>
  <c r="E16" i="14"/>
  <c r="F16" i="14"/>
  <c r="G16" i="14"/>
  <c r="H16" i="14"/>
  <c r="I16" i="14"/>
  <c r="J16" i="14"/>
  <c r="K16" i="14"/>
  <c r="L16" i="14"/>
  <c r="M16" i="14"/>
  <c r="N16" i="14"/>
  <c r="O16" i="14"/>
  <c r="P16" i="14"/>
  <c r="Q16" i="14"/>
  <c r="R16" i="14"/>
  <c r="S16" i="14"/>
  <c r="T16" i="14"/>
  <c r="U16" i="14"/>
  <c r="V16" i="14"/>
  <c r="W16" i="14"/>
  <c r="X16" i="14"/>
  <c r="Y16" i="14"/>
  <c r="Z16" i="14"/>
  <c r="AA16" i="14"/>
  <c r="AB16" i="14"/>
  <c r="AC16" i="14"/>
  <c r="E17" i="14"/>
  <c r="F17" i="14"/>
  <c r="G17" i="14"/>
  <c r="H17" i="14"/>
  <c r="I17" i="14"/>
  <c r="J17" i="14"/>
  <c r="K17" i="14"/>
  <c r="L17" i="14"/>
  <c r="M17" i="14"/>
  <c r="N17" i="14"/>
  <c r="O17" i="14"/>
  <c r="P17" i="14"/>
  <c r="Q17" i="14"/>
  <c r="R17" i="14"/>
  <c r="S17" i="14"/>
  <c r="T17" i="14"/>
  <c r="U17" i="14"/>
  <c r="V17" i="14"/>
  <c r="W17" i="14"/>
  <c r="X17" i="14"/>
  <c r="Y17" i="14"/>
  <c r="Z17" i="14"/>
  <c r="AA17" i="14"/>
  <c r="AB17" i="14"/>
  <c r="AC17" i="14"/>
  <c r="D17" i="14"/>
  <c r="D16" i="14"/>
  <c r="E13" i="14"/>
  <c r="F13" i="14"/>
  <c r="G13" i="14"/>
  <c r="H13" i="14"/>
  <c r="I13" i="14"/>
  <c r="J13" i="14"/>
  <c r="K13" i="14"/>
  <c r="L13" i="14"/>
  <c r="M13" i="14"/>
  <c r="N13" i="14"/>
  <c r="O13" i="14"/>
  <c r="P13" i="14"/>
  <c r="Q13" i="14"/>
  <c r="R13" i="14"/>
  <c r="S13" i="14"/>
  <c r="T13" i="14"/>
  <c r="U13" i="14"/>
  <c r="V13" i="14"/>
  <c r="W13" i="14"/>
  <c r="X13" i="14"/>
  <c r="Y13" i="14"/>
  <c r="Z13" i="14"/>
  <c r="AA13" i="14"/>
  <c r="AB13" i="14"/>
  <c r="AC13" i="14"/>
  <c r="D13" i="14"/>
  <c r="E11" i="14"/>
  <c r="F11" i="14"/>
  <c r="G11" i="14"/>
  <c r="H11" i="14"/>
  <c r="I11" i="14"/>
  <c r="J11" i="14"/>
  <c r="K11" i="14"/>
  <c r="L11" i="14"/>
  <c r="M11" i="14"/>
  <c r="N11" i="14"/>
  <c r="O11" i="14"/>
  <c r="P11" i="14"/>
  <c r="Q11" i="14"/>
  <c r="R11" i="14"/>
  <c r="S11" i="14"/>
  <c r="T11" i="14"/>
  <c r="U11" i="14"/>
  <c r="V11" i="14"/>
  <c r="W11" i="14"/>
  <c r="X11" i="14"/>
  <c r="Y11" i="14"/>
  <c r="Z11" i="14"/>
  <c r="AA11" i="14"/>
  <c r="AB11" i="14"/>
  <c r="AC11" i="14"/>
  <c r="D11" i="14"/>
  <c r="E8" i="14"/>
  <c r="F8" i="14"/>
  <c r="G8" i="14"/>
  <c r="H8" i="14"/>
  <c r="I8" i="14"/>
  <c r="J8" i="14"/>
  <c r="K8" i="14"/>
  <c r="L8" i="14"/>
  <c r="M8" i="14"/>
  <c r="N8" i="14"/>
  <c r="O8" i="14"/>
  <c r="P8" i="14"/>
  <c r="Q8" i="14"/>
  <c r="R8" i="14"/>
  <c r="S8" i="14"/>
  <c r="T8" i="14"/>
  <c r="U8" i="14"/>
  <c r="V8" i="14"/>
  <c r="W8" i="14"/>
  <c r="X8" i="14"/>
  <c r="Y8" i="14"/>
  <c r="Z8" i="14"/>
  <c r="AA8" i="14"/>
  <c r="AB8" i="14"/>
  <c r="AC8" i="14"/>
  <c r="E6" i="14"/>
  <c r="F6" i="14"/>
  <c r="G6" i="14"/>
  <c r="H6" i="14"/>
  <c r="I6" i="14"/>
  <c r="J6" i="14"/>
  <c r="K6" i="14"/>
  <c r="L6" i="14"/>
  <c r="M6" i="14"/>
  <c r="N6" i="14"/>
  <c r="O6" i="14"/>
  <c r="P6" i="14"/>
  <c r="Q6" i="14"/>
  <c r="R6" i="14"/>
  <c r="S6" i="14"/>
  <c r="T6" i="14"/>
  <c r="U6" i="14"/>
  <c r="V6" i="14"/>
  <c r="W6" i="14"/>
  <c r="X6" i="14"/>
  <c r="Y6" i="14"/>
  <c r="Z6" i="14"/>
  <c r="AA6" i="14"/>
  <c r="AB6" i="14"/>
  <c r="AC6" i="14"/>
  <c r="E4" i="14"/>
  <c r="F4" i="14"/>
  <c r="G4" i="14"/>
  <c r="H4" i="14"/>
  <c r="I4" i="14"/>
  <c r="J4" i="14"/>
  <c r="K4" i="14"/>
  <c r="L4" i="14"/>
  <c r="M4" i="14"/>
  <c r="N4" i="14"/>
  <c r="O4" i="14"/>
  <c r="P4" i="14"/>
  <c r="Q4" i="14"/>
  <c r="R4" i="14"/>
  <c r="S4" i="14"/>
  <c r="T4" i="14"/>
  <c r="U4" i="14"/>
  <c r="V4" i="14"/>
  <c r="W4" i="14"/>
  <c r="X4" i="14"/>
  <c r="Y4" i="14"/>
  <c r="Z4" i="14"/>
  <c r="AA4" i="14"/>
  <c r="AB4" i="14"/>
  <c r="AC4" i="14"/>
  <c r="D8" i="14"/>
  <c r="D6" i="14"/>
  <c r="D4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D18" i="14"/>
  <c r="AE18" i="14"/>
  <c r="AF18" i="14"/>
  <c r="AG18" i="14"/>
  <c r="AH18" i="14"/>
  <c r="AI18" i="14"/>
  <c r="AJ18" i="14"/>
  <c r="AK18" i="14"/>
  <c r="AL18" i="14"/>
  <c r="AM18" i="14"/>
  <c r="AN18" i="14"/>
  <c r="AO18" i="14"/>
  <c r="AP18" i="14"/>
  <c r="AQ18" i="14"/>
  <c r="AR18" i="14"/>
  <c r="AS18" i="14"/>
  <c r="AT18" i="14"/>
  <c r="AU18" i="14"/>
  <c r="AV18" i="14"/>
  <c r="AW18" i="14"/>
  <c r="I110" i="12"/>
  <c r="I158" i="12" s="1"/>
  <c r="I170" i="12"/>
  <c r="H110" i="12"/>
  <c r="G110" i="12"/>
  <c r="G158" i="12" s="1"/>
  <c r="F110" i="12"/>
  <c r="I151" i="12"/>
  <c r="I156" i="12"/>
  <c r="G156" i="12"/>
  <c r="F150" i="12"/>
  <c r="F152" i="12"/>
  <c r="E152" i="12" s="1"/>
  <c r="F153" i="12"/>
  <c r="F154" i="12"/>
  <c r="F155" i="12"/>
  <c r="H150" i="12"/>
  <c r="H151" i="12"/>
  <c r="H184" i="12" s="1"/>
  <c r="H186" i="12" s="1"/>
  <c r="H191" i="12" s="1"/>
  <c r="H152" i="12"/>
  <c r="H153" i="12"/>
  <c r="H154" i="12"/>
  <c r="E154" i="12" s="1"/>
  <c r="H155" i="12"/>
  <c r="E151" i="12"/>
  <c r="H185" i="12"/>
  <c r="E98" i="12"/>
  <c r="E185" i="12" s="1"/>
  <c r="I184" i="12"/>
  <c r="I186" i="12" s="1"/>
  <c r="I191" i="12" s="1"/>
  <c r="I143" i="12"/>
  <c r="I142" i="12"/>
  <c r="H142" i="12"/>
  <c r="G142" i="12"/>
  <c r="F142" i="12"/>
  <c r="I141" i="12"/>
  <c r="H141" i="12"/>
  <c r="G141" i="12"/>
  <c r="F141" i="12"/>
  <c r="E102" i="12"/>
  <c r="E141" i="12"/>
  <c r="E105" i="12"/>
  <c r="J105" i="12" s="1"/>
  <c r="G119" i="12"/>
  <c r="G121" i="12"/>
  <c r="E121" i="12" s="1"/>
  <c r="G120" i="12"/>
  <c r="E120" i="12" s="1"/>
  <c r="E108" i="8"/>
  <c r="E109" i="8"/>
  <c r="E102" i="8"/>
  <c r="E141" i="8"/>
  <c r="E108" i="9"/>
  <c r="E109" i="9"/>
  <c r="E102" i="9"/>
  <c r="E141" i="9" s="1"/>
  <c r="E108" i="10"/>
  <c r="E109" i="10"/>
  <c r="E102" i="10"/>
  <c r="E141" i="10" s="1"/>
  <c r="E108" i="11"/>
  <c r="E109" i="11"/>
  <c r="E110" i="11" s="1"/>
  <c r="E158" i="11" s="1"/>
  <c r="E143" i="11"/>
  <c r="E102" i="11"/>
  <c r="E141" i="11" s="1"/>
  <c r="I110" i="11"/>
  <c r="I158" i="11" s="1"/>
  <c r="I170" i="11"/>
  <c r="H110" i="11"/>
  <c r="H170" i="11"/>
  <c r="G123" i="11"/>
  <c r="E123" i="11" s="1"/>
  <c r="E142" i="11" s="1"/>
  <c r="G110" i="11"/>
  <c r="G158" i="11" s="1"/>
  <c r="F146" i="11"/>
  <c r="F110" i="11"/>
  <c r="F158" i="11" s="1"/>
  <c r="F10" i="11"/>
  <c r="F12" i="11" s="1"/>
  <c r="F164" i="11" s="1"/>
  <c r="F119" i="11"/>
  <c r="F151" i="11"/>
  <c r="F185" i="11"/>
  <c r="F41" i="11"/>
  <c r="F43" i="11" s="1"/>
  <c r="F166" i="11"/>
  <c r="F25" i="11"/>
  <c r="F57" i="11"/>
  <c r="F59" i="11" s="1"/>
  <c r="F168" i="11" s="1"/>
  <c r="F87" i="11"/>
  <c r="G118" i="11"/>
  <c r="G147" i="11"/>
  <c r="G183" i="11" s="1"/>
  <c r="G151" i="11"/>
  <c r="I151" i="11"/>
  <c r="I156" i="11"/>
  <c r="H151" i="11"/>
  <c r="F150" i="11"/>
  <c r="E150" i="11" s="1"/>
  <c r="F152" i="11"/>
  <c r="E152" i="11" s="1"/>
  <c r="F153" i="11"/>
  <c r="E153" i="11" s="1"/>
  <c r="F154" i="11"/>
  <c r="E154" i="11" s="1"/>
  <c r="F155" i="11"/>
  <c r="E155" i="11" s="1"/>
  <c r="I184" i="11"/>
  <c r="I186" i="11" s="1"/>
  <c r="I191" i="11"/>
  <c r="H185" i="11"/>
  <c r="G185" i="11"/>
  <c r="E98" i="11"/>
  <c r="E185" i="11"/>
  <c r="G143" i="11"/>
  <c r="I142" i="11"/>
  <c r="H142" i="11"/>
  <c r="F142" i="11"/>
  <c r="I141" i="11"/>
  <c r="H141" i="11"/>
  <c r="G141" i="11"/>
  <c r="F141" i="11"/>
  <c r="G121" i="11"/>
  <c r="E121" i="11" s="1"/>
  <c r="G119" i="11"/>
  <c r="G120" i="11"/>
  <c r="G123" i="9"/>
  <c r="E123" i="9"/>
  <c r="E142" i="9" s="1"/>
  <c r="F10" i="10"/>
  <c r="G123" i="10"/>
  <c r="E123" i="10"/>
  <c r="E142" i="10" s="1"/>
  <c r="F119" i="10"/>
  <c r="F151" i="10"/>
  <c r="F185" i="10"/>
  <c r="G118" i="10"/>
  <c r="G147" i="10"/>
  <c r="G151" i="10"/>
  <c r="G156" i="10" s="1"/>
  <c r="I110" i="10"/>
  <c r="I158" i="10"/>
  <c r="I172" i="10" s="1"/>
  <c r="I170" i="10"/>
  <c r="H110" i="10"/>
  <c r="H170" i="10"/>
  <c r="G146" i="10"/>
  <c r="G110" i="10"/>
  <c r="G158" i="10" s="1"/>
  <c r="F146" i="10"/>
  <c r="F110" i="10"/>
  <c r="F158" i="10" s="1"/>
  <c r="F41" i="10"/>
  <c r="F43" i="10"/>
  <c r="F44" i="10" s="1"/>
  <c r="F25" i="10"/>
  <c r="F57" i="10"/>
  <c r="F59" i="10"/>
  <c r="F60" i="10" s="1"/>
  <c r="F87" i="10"/>
  <c r="F89" i="10" s="1"/>
  <c r="I151" i="10"/>
  <c r="H151" i="10"/>
  <c r="H184" i="10" s="1"/>
  <c r="H156" i="10"/>
  <c r="F150" i="10"/>
  <c r="F152" i="10"/>
  <c r="E152" i="10" s="1"/>
  <c r="F153" i="10"/>
  <c r="E153" i="10" s="1"/>
  <c r="F154" i="10"/>
  <c r="E154" i="10" s="1"/>
  <c r="F155" i="10"/>
  <c r="E155" i="10" s="1"/>
  <c r="F110" i="9"/>
  <c r="F158" i="9" s="1"/>
  <c r="G110" i="9"/>
  <c r="G158" i="9" s="1"/>
  <c r="H110" i="9"/>
  <c r="H158" i="9" s="1"/>
  <c r="I110" i="9"/>
  <c r="I158" i="9" s="1"/>
  <c r="F150" i="9"/>
  <c r="F156" i="9" s="1"/>
  <c r="F151" i="9"/>
  <c r="F152" i="9"/>
  <c r="E152" i="9" s="1"/>
  <c r="F153" i="9"/>
  <c r="E153" i="9" s="1"/>
  <c r="F154" i="9"/>
  <c r="F155" i="9"/>
  <c r="E155" i="9" s="1"/>
  <c r="G151" i="9"/>
  <c r="G156" i="9" s="1"/>
  <c r="G159" i="9" s="1"/>
  <c r="H151" i="9"/>
  <c r="H184" i="9" s="1"/>
  <c r="I151" i="9"/>
  <c r="I156" i="9" s="1"/>
  <c r="E154" i="9"/>
  <c r="H185" i="10"/>
  <c r="G185" i="10"/>
  <c r="E98" i="10"/>
  <c r="E185" i="10" s="1"/>
  <c r="I143" i="10"/>
  <c r="G143" i="10"/>
  <c r="F143" i="10"/>
  <c r="I142" i="10"/>
  <c r="H142" i="10"/>
  <c r="G142" i="10"/>
  <c r="F142" i="10"/>
  <c r="I141" i="10"/>
  <c r="H141" i="10"/>
  <c r="G141" i="10"/>
  <c r="F141" i="10"/>
  <c r="G121" i="10"/>
  <c r="G119" i="10"/>
  <c r="G120" i="10"/>
  <c r="E120" i="10" s="1"/>
  <c r="G146" i="9"/>
  <c r="G172" i="9" s="1"/>
  <c r="F146" i="9"/>
  <c r="I110" i="8"/>
  <c r="H110" i="8"/>
  <c r="H158" i="8" s="1"/>
  <c r="G123" i="8"/>
  <c r="G146" i="8" s="1"/>
  <c r="G110" i="8"/>
  <c r="F146" i="8"/>
  <c r="E146" i="8" s="1"/>
  <c r="F110" i="8"/>
  <c r="F150" i="8"/>
  <c r="F151" i="8"/>
  <c r="F152" i="8"/>
  <c r="E152" i="8" s="1"/>
  <c r="F153" i="8"/>
  <c r="F154" i="8"/>
  <c r="E154" i="8" s="1"/>
  <c r="F155" i="8"/>
  <c r="E155" i="8" s="1"/>
  <c r="G151" i="8"/>
  <c r="G156" i="8" s="1"/>
  <c r="H151" i="8"/>
  <c r="H156" i="8"/>
  <c r="I151" i="8"/>
  <c r="I184" i="8" s="1"/>
  <c r="I186" i="8" s="1"/>
  <c r="F10" i="9"/>
  <c r="F12" i="9"/>
  <c r="F164" i="9"/>
  <c r="F10" i="8"/>
  <c r="F119" i="8"/>
  <c r="F118" i="8"/>
  <c r="F147" i="8" s="1"/>
  <c r="F183" i="8" s="1"/>
  <c r="F185" i="8"/>
  <c r="F41" i="8"/>
  <c r="F43" i="8" s="1"/>
  <c r="F44" i="8" s="1"/>
  <c r="F25" i="8"/>
  <c r="F27" i="8"/>
  <c r="F167" i="8" s="1"/>
  <c r="F57" i="8"/>
  <c r="F59" i="8" s="1"/>
  <c r="F87" i="8"/>
  <c r="F89" i="8" s="1"/>
  <c r="F90" i="8" s="1"/>
  <c r="F119" i="9"/>
  <c r="F118" i="9" s="1"/>
  <c r="F147" i="9" s="1"/>
  <c r="F183" i="9" s="1"/>
  <c r="G118" i="9"/>
  <c r="I170" i="9"/>
  <c r="H170" i="9"/>
  <c r="F41" i="9"/>
  <c r="F25" i="9"/>
  <c r="F27" i="9"/>
  <c r="F57" i="9"/>
  <c r="F59" i="9" s="1"/>
  <c r="F87" i="9"/>
  <c r="F89" i="9"/>
  <c r="F169" i="9"/>
  <c r="I184" i="9"/>
  <c r="I186" i="9" s="1"/>
  <c r="I191" i="9" s="1"/>
  <c r="H185" i="9"/>
  <c r="G185" i="9"/>
  <c r="F185" i="9"/>
  <c r="E98" i="9"/>
  <c r="E185" i="9" s="1"/>
  <c r="G121" i="9"/>
  <c r="E121" i="9" s="1"/>
  <c r="G119" i="9"/>
  <c r="G120" i="9"/>
  <c r="F120" i="9"/>
  <c r="E120" i="9" s="1"/>
  <c r="E123" i="8"/>
  <c r="E142" i="8" s="1"/>
  <c r="G118" i="8"/>
  <c r="G147" i="8" s="1"/>
  <c r="G185" i="8"/>
  <c r="H184" i="8"/>
  <c r="I170" i="8"/>
  <c r="H170" i="8"/>
  <c r="I191" i="8"/>
  <c r="H185" i="8"/>
  <c r="E98" i="8"/>
  <c r="E185" i="8" s="1"/>
  <c r="G119" i="8"/>
  <c r="E119" i="8" s="1"/>
  <c r="G121" i="8"/>
  <c r="E121" i="8" s="1"/>
  <c r="G120" i="8"/>
  <c r="D10" i="13"/>
  <c r="D38" i="13"/>
  <c r="D41" i="13" s="1"/>
  <c r="D42" i="13" s="1"/>
  <c r="C10" i="13"/>
  <c r="C11" i="13" s="1"/>
  <c r="D11" i="13"/>
  <c r="C13" i="13"/>
  <c r="C14" i="13" s="1"/>
  <c r="D13" i="13"/>
  <c r="D14" i="13" s="1"/>
  <c r="G10" i="13"/>
  <c r="G11" i="13" s="1"/>
  <c r="H10" i="13"/>
  <c r="H11" i="13" s="1"/>
  <c r="G13" i="13"/>
  <c r="G14" i="13" s="1"/>
  <c r="H13" i="13"/>
  <c r="H14" i="13" s="1"/>
  <c r="G36" i="13"/>
  <c r="H36" i="13"/>
  <c r="G23" i="13"/>
  <c r="H23" i="13"/>
  <c r="G37" i="13"/>
  <c r="H37" i="13"/>
  <c r="G24" i="13"/>
  <c r="H24" i="13"/>
  <c r="D39" i="13"/>
  <c r="G39" i="13"/>
  <c r="H39" i="13"/>
  <c r="G26" i="13"/>
  <c r="H26" i="13"/>
  <c r="G40" i="13"/>
  <c r="H40" i="13"/>
  <c r="G27" i="13"/>
  <c r="H27" i="13"/>
  <c r="H119" i="7"/>
  <c r="H120" i="7"/>
  <c r="F120" i="7" s="1"/>
  <c r="I110" i="7"/>
  <c r="I143" i="7" s="1"/>
  <c r="G150" i="7"/>
  <c r="G142" i="7"/>
  <c r="I10" i="7"/>
  <c r="I87" i="7"/>
  <c r="I88" i="7" s="1"/>
  <c r="I146" i="7"/>
  <c r="H131" i="7"/>
  <c r="I131" i="7"/>
  <c r="H130" i="7"/>
  <c r="I130" i="7"/>
  <c r="F102" i="7"/>
  <c r="F141" i="7" s="1"/>
  <c r="E11" i="5" s="1"/>
  <c r="Q11" i="5" s="1"/>
  <c r="G153" i="7"/>
  <c r="I153" i="7"/>
  <c r="G152" i="7"/>
  <c r="I152" i="7"/>
  <c r="G154" i="7"/>
  <c r="I154" i="7"/>
  <c r="F105" i="7"/>
  <c r="J146" i="7"/>
  <c r="I25" i="12"/>
  <c r="I27" i="12" s="1"/>
  <c r="H25" i="11"/>
  <c r="H27" i="11" s="1"/>
  <c r="I25" i="11"/>
  <c r="I27" i="11" s="1"/>
  <c r="E21" i="11"/>
  <c r="H25" i="8"/>
  <c r="H27" i="8" s="1"/>
  <c r="I25" i="8"/>
  <c r="I87" i="12"/>
  <c r="E124" i="12"/>
  <c r="E122" i="12"/>
  <c r="E96" i="12"/>
  <c r="E97" i="12" s="1"/>
  <c r="I89" i="12"/>
  <c r="E83" i="12"/>
  <c r="E80" i="12"/>
  <c r="F85" i="12"/>
  <c r="H84" i="12"/>
  <c r="F84" i="12"/>
  <c r="F64" i="12"/>
  <c r="I41" i="12"/>
  <c r="I43" i="12" s="1"/>
  <c r="I10" i="12"/>
  <c r="I12" i="12" s="1"/>
  <c r="I57" i="12"/>
  <c r="F67" i="12"/>
  <c r="F68" i="12" s="1"/>
  <c r="H67" i="12"/>
  <c r="G64" i="12"/>
  <c r="H64" i="12"/>
  <c r="I64" i="12"/>
  <c r="F65" i="12"/>
  <c r="I67" i="12"/>
  <c r="I65" i="12"/>
  <c r="H65" i="12"/>
  <c r="E53" i="12"/>
  <c r="F58" i="12"/>
  <c r="E50" i="12"/>
  <c r="F55" i="12"/>
  <c r="H54" i="12"/>
  <c r="F54" i="12"/>
  <c r="E37" i="12"/>
  <c r="E34" i="12"/>
  <c r="F39" i="12"/>
  <c r="F38" i="12"/>
  <c r="E21" i="12"/>
  <c r="E18" i="12"/>
  <c r="F23" i="12"/>
  <c r="F22" i="12"/>
  <c r="E6" i="12"/>
  <c r="F11" i="12"/>
  <c r="E3" i="12"/>
  <c r="F8" i="12"/>
  <c r="F7" i="12"/>
  <c r="I150" i="7"/>
  <c r="J130" i="7"/>
  <c r="J131" i="7"/>
  <c r="I155" i="7"/>
  <c r="I58" i="7"/>
  <c r="I26" i="7"/>
  <c r="I142" i="7"/>
  <c r="F141" i="9"/>
  <c r="G141" i="9"/>
  <c r="H141" i="9"/>
  <c r="I141" i="9"/>
  <c r="F141" i="8"/>
  <c r="G141" i="8"/>
  <c r="H141" i="8"/>
  <c r="I141" i="8"/>
  <c r="G141" i="7"/>
  <c r="H141" i="7"/>
  <c r="I141" i="7"/>
  <c r="J141" i="7"/>
  <c r="F142" i="8"/>
  <c r="F142" i="9"/>
  <c r="I142" i="9"/>
  <c r="H142" i="9"/>
  <c r="G142" i="9"/>
  <c r="G143" i="9"/>
  <c r="H143" i="9"/>
  <c r="I143" i="9"/>
  <c r="H142" i="8"/>
  <c r="I142" i="8"/>
  <c r="J110" i="7"/>
  <c r="J143" i="7" s="1"/>
  <c r="H110" i="7"/>
  <c r="H143" i="7" s="1"/>
  <c r="G110" i="7"/>
  <c r="G143" i="7" s="1"/>
  <c r="J142" i="7"/>
  <c r="I129" i="7"/>
  <c r="J129" i="7"/>
  <c r="I151" i="7"/>
  <c r="I184" i="7" s="1"/>
  <c r="J151" i="7"/>
  <c r="J184" i="7" s="1"/>
  <c r="J186" i="7" s="1"/>
  <c r="J191" i="7" s="1"/>
  <c r="E120" i="8"/>
  <c r="E121" i="10"/>
  <c r="E120" i="11"/>
  <c r="E105" i="11"/>
  <c r="J105" i="11" s="1"/>
  <c r="E105" i="10"/>
  <c r="J105" i="10" s="1"/>
  <c r="E105" i="8"/>
  <c r="E105" i="9"/>
  <c r="J105" i="9" s="1"/>
  <c r="F98" i="7"/>
  <c r="F185" i="7" s="1"/>
  <c r="F7" i="9"/>
  <c r="E3" i="8"/>
  <c r="E124" i="11"/>
  <c r="E122" i="11"/>
  <c r="E96" i="11"/>
  <c r="E97" i="11" s="1"/>
  <c r="H87" i="11"/>
  <c r="H88" i="11" s="1"/>
  <c r="H89" i="11"/>
  <c r="I87" i="11"/>
  <c r="I89" i="11" s="1"/>
  <c r="F85" i="11"/>
  <c r="H84" i="11"/>
  <c r="F84" i="11"/>
  <c r="E83" i="11"/>
  <c r="E80" i="11"/>
  <c r="I67" i="11"/>
  <c r="H67" i="11"/>
  <c r="F67" i="11"/>
  <c r="F64" i="11"/>
  <c r="I65" i="11"/>
  <c r="H65" i="11"/>
  <c r="F65" i="11"/>
  <c r="I64" i="11"/>
  <c r="H64" i="11"/>
  <c r="G64" i="11"/>
  <c r="I57" i="11"/>
  <c r="I59" i="11" s="1"/>
  <c r="H57" i="11"/>
  <c r="F58" i="11"/>
  <c r="F55" i="11"/>
  <c r="H54" i="11"/>
  <c r="F54" i="11"/>
  <c r="E53" i="11"/>
  <c r="E50" i="11"/>
  <c r="F42" i="11"/>
  <c r="I41" i="11"/>
  <c r="I43" i="11"/>
  <c r="I10" i="11"/>
  <c r="I12" i="11" s="1"/>
  <c r="H41" i="11"/>
  <c r="E37" i="11"/>
  <c r="F39" i="11"/>
  <c r="F38" i="11"/>
  <c r="E34" i="11"/>
  <c r="F23" i="11"/>
  <c r="F22" i="11"/>
  <c r="E18" i="11"/>
  <c r="H10" i="11"/>
  <c r="H12" i="11" s="1"/>
  <c r="F11" i="11"/>
  <c r="E3" i="11"/>
  <c r="E6" i="11"/>
  <c r="F8" i="11"/>
  <c r="F7" i="11"/>
  <c r="E150" i="10"/>
  <c r="E124" i="10"/>
  <c r="E122" i="10"/>
  <c r="E96" i="10"/>
  <c r="E97" i="10" s="1"/>
  <c r="H87" i="10"/>
  <c r="F88" i="10"/>
  <c r="E80" i="10"/>
  <c r="I87" i="10"/>
  <c r="I89" i="10" s="1"/>
  <c r="E83" i="10"/>
  <c r="F85" i="10"/>
  <c r="H84" i="10"/>
  <c r="F84" i="10"/>
  <c r="F64" i="10"/>
  <c r="I67" i="10"/>
  <c r="H67" i="10"/>
  <c r="F67" i="10"/>
  <c r="F69" i="10"/>
  <c r="I65" i="10"/>
  <c r="H65" i="10"/>
  <c r="F65" i="10"/>
  <c r="I64" i="10"/>
  <c r="H64" i="10"/>
  <c r="G64" i="10"/>
  <c r="I57" i="10"/>
  <c r="I59" i="10"/>
  <c r="H57" i="10"/>
  <c r="H59" i="10" s="1"/>
  <c r="F58" i="10"/>
  <c r="F55" i="10"/>
  <c r="H54" i="10"/>
  <c r="F54" i="10"/>
  <c r="E53" i="10"/>
  <c r="E50" i="10"/>
  <c r="H41" i="10"/>
  <c r="H43" i="10" s="1"/>
  <c r="H10" i="10"/>
  <c r="H71" i="10" s="1"/>
  <c r="H25" i="10"/>
  <c r="H27" i="10" s="1"/>
  <c r="F42" i="10"/>
  <c r="I41" i="10"/>
  <c r="I43" i="10" s="1"/>
  <c r="I25" i="10"/>
  <c r="I10" i="10"/>
  <c r="I12" i="10" s="1"/>
  <c r="F39" i="10"/>
  <c r="F38" i="10"/>
  <c r="E37" i="10"/>
  <c r="E34" i="10"/>
  <c r="I27" i="10"/>
  <c r="E18" i="10"/>
  <c r="E21" i="10"/>
  <c r="F23" i="10"/>
  <c r="F22" i="10"/>
  <c r="E6" i="10"/>
  <c r="F8" i="10"/>
  <c r="F7" i="10"/>
  <c r="E3" i="10"/>
  <c r="E124" i="9"/>
  <c r="E122" i="9"/>
  <c r="E96" i="9"/>
  <c r="E97" i="9" s="1"/>
  <c r="F90" i="9"/>
  <c r="H87" i="9"/>
  <c r="H88" i="9" s="1"/>
  <c r="F88" i="9"/>
  <c r="I87" i="9"/>
  <c r="I89" i="9" s="1"/>
  <c r="H89" i="9"/>
  <c r="F85" i="9"/>
  <c r="H84" i="9"/>
  <c r="F84" i="9"/>
  <c r="E83" i="9"/>
  <c r="E80" i="9"/>
  <c r="I41" i="9"/>
  <c r="I25" i="9"/>
  <c r="I27" i="9" s="1"/>
  <c r="I10" i="9"/>
  <c r="I12" i="9" s="1"/>
  <c r="I57" i="9"/>
  <c r="I59" i="9" s="1"/>
  <c r="F64" i="9"/>
  <c r="F67" i="9"/>
  <c r="F69" i="9"/>
  <c r="F65" i="9"/>
  <c r="I67" i="9"/>
  <c r="H67" i="9"/>
  <c r="I65" i="9"/>
  <c r="H65" i="9"/>
  <c r="I64" i="9"/>
  <c r="H64" i="9"/>
  <c r="G64" i="9"/>
  <c r="H57" i="9"/>
  <c r="H58" i="9" s="1"/>
  <c r="E50" i="9"/>
  <c r="E53" i="9"/>
  <c r="F55" i="9"/>
  <c r="H54" i="9"/>
  <c r="F54" i="9"/>
  <c r="I43" i="9"/>
  <c r="H41" i="9"/>
  <c r="H10" i="9"/>
  <c r="H12" i="9" s="1"/>
  <c r="H25" i="9"/>
  <c r="H27" i="9" s="1"/>
  <c r="F39" i="9"/>
  <c r="F38" i="9"/>
  <c r="E37" i="9"/>
  <c r="E34" i="9"/>
  <c r="F26" i="9"/>
  <c r="F23" i="9"/>
  <c r="F22" i="9"/>
  <c r="E21" i="9"/>
  <c r="E18" i="9"/>
  <c r="F11" i="9"/>
  <c r="E3" i="9"/>
  <c r="E6" i="9"/>
  <c r="F8" i="9"/>
  <c r="E153" i="8"/>
  <c r="E124" i="8"/>
  <c r="E122" i="8"/>
  <c r="E118" i="8"/>
  <c r="E96" i="8"/>
  <c r="E97" i="8" s="1"/>
  <c r="I87" i="8"/>
  <c r="I89" i="8" s="1"/>
  <c r="H87" i="8"/>
  <c r="H88" i="8" s="1"/>
  <c r="H89" i="8"/>
  <c r="F85" i="8"/>
  <c r="H84" i="8"/>
  <c r="F84" i="8"/>
  <c r="E83" i="8"/>
  <c r="E80" i="8"/>
  <c r="H10" i="8"/>
  <c r="H41" i="8"/>
  <c r="H57" i="8"/>
  <c r="H59" i="8" s="1"/>
  <c r="I67" i="8"/>
  <c r="H67" i="8"/>
  <c r="F67" i="8"/>
  <c r="E67" i="8" s="1"/>
  <c r="I65" i="8"/>
  <c r="H65" i="8"/>
  <c r="F65" i="8"/>
  <c r="F68" i="8" s="1"/>
  <c r="I64" i="8"/>
  <c r="H64" i="8"/>
  <c r="G64" i="8"/>
  <c r="F64" i="8"/>
  <c r="I57" i="8"/>
  <c r="I59" i="8" s="1"/>
  <c r="F55" i="8"/>
  <c r="H54" i="8"/>
  <c r="F54" i="8"/>
  <c r="E53" i="8"/>
  <c r="E50" i="8"/>
  <c r="I41" i="8"/>
  <c r="I43" i="8" s="1"/>
  <c r="F42" i="8"/>
  <c r="E34" i="8"/>
  <c r="F39" i="8"/>
  <c r="F38" i="8"/>
  <c r="E37" i="8"/>
  <c r="I27" i="8"/>
  <c r="F26" i="8"/>
  <c r="F23" i="8"/>
  <c r="F22" i="8"/>
  <c r="E21" i="8"/>
  <c r="E18" i="8"/>
  <c r="I10" i="8"/>
  <c r="H12" i="8"/>
  <c r="F8" i="8"/>
  <c r="F7" i="8"/>
  <c r="E6" i="8"/>
  <c r="H43" i="11"/>
  <c r="F44" i="11"/>
  <c r="F68" i="11"/>
  <c r="E67" i="10"/>
  <c r="F68" i="10"/>
  <c r="F13" i="9"/>
  <c r="J170" i="7"/>
  <c r="J41" i="7"/>
  <c r="J25" i="7"/>
  <c r="J27" i="7" s="1"/>
  <c r="J10" i="7"/>
  <c r="J12" i="7" s="1"/>
  <c r="J57" i="7"/>
  <c r="J59" i="7" s="1"/>
  <c r="J87" i="7"/>
  <c r="J89" i="7" s="1"/>
  <c r="G67" i="7"/>
  <c r="F67" i="7" s="1"/>
  <c r="G65" i="7"/>
  <c r="G64" i="7"/>
  <c r="G8" i="7"/>
  <c r="F124" i="7"/>
  <c r="F122" i="7"/>
  <c r="F96" i="7"/>
  <c r="G7" i="7"/>
  <c r="G85" i="7"/>
  <c r="I84" i="7"/>
  <c r="G84" i="7"/>
  <c r="F81" i="7"/>
  <c r="F80" i="7"/>
  <c r="J67" i="7"/>
  <c r="J65" i="7"/>
  <c r="H65" i="7"/>
  <c r="J64" i="7"/>
  <c r="H64" i="7"/>
  <c r="G55" i="7"/>
  <c r="I54" i="7"/>
  <c r="G54" i="7"/>
  <c r="F53" i="7"/>
  <c r="F51" i="7"/>
  <c r="F50" i="7"/>
  <c r="G39" i="7"/>
  <c r="G38" i="7"/>
  <c r="F37" i="7"/>
  <c r="F35" i="7"/>
  <c r="F34" i="7"/>
  <c r="H26" i="7"/>
  <c r="G23" i="7"/>
  <c r="G22" i="7"/>
  <c r="F21" i="7"/>
  <c r="F19" i="7"/>
  <c r="F18" i="7"/>
  <c r="F6" i="7"/>
  <c r="F4" i="7"/>
  <c r="F10" i="7" s="1"/>
  <c r="F3" i="7"/>
  <c r="F11" i="2"/>
  <c r="G11" i="2"/>
  <c r="H11" i="2"/>
  <c r="I11" i="2"/>
  <c r="E10" i="2"/>
  <c r="E9" i="2"/>
  <c r="E11" i="2" s="1"/>
  <c r="E13" i="2"/>
  <c r="J43" i="7"/>
  <c r="H58" i="7"/>
  <c r="F86" i="2"/>
  <c r="G3" i="2"/>
  <c r="E3" i="2"/>
  <c r="E6" i="2"/>
  <c r="G5" i="2"/>
  <c r="F5" i="2"/>
  <c r="G4" i="2"/>
  <c r="F4" i="2"/>
  <c r="E14" i="1"/>
  <c r="C14" i="1"/>
  <c r="D2" i="1"/>
  <c r="D14" i="1" s="1"/>
  <c r="B3" i="1"/>
  <c r="B4" i="1"/>
  <c r="B5" i="1"/>
  <c r="B6" i="1"/>
  <c r="B7" i="1"/>
  <c r="B8" i="1"/>
  <c r="B9" i="1"/>
  <c r="B10" i="1"/>
  <c r="B11" i="1"/>
  <c r="B12" i="1"/>
  <c r="B13" i="1"/>
  <c r="G84" i="2"/>
  <c r="H84" i="2"/>
  <c r="I84" i="2"/>
  <c r="F84" i="2"/>
  <c r="G83" i="2"/>
  <c r="E83" i="2" s="1"/>
  <c r="H83" i="2"/>
  <c r="F83" i="2"/>
  <c r="I106" i="2"/>
  <c r="I108" i="2"/>
  <c r="H106" i="2"/>
  <c r="H107" i="2" s="1"/>
  <c r="G106" i="2"/>
  <c r="G107" i="2"/>
  <c r="F106" i="2"/>
  <c r="F108" i="2" s="1"/>
  <c r="F109" i="2" s="1"/>
  <c r="F104" i="2"/>
  <c r="H103" i="2"/>
  <c r="F103" i="2"/>
  <c r="E102" i="2"/>
  <c r="E100" i="2"/>
  <c r="E99" i="2"/>
  <c r="F58" i="2"/>
  <c r="I60" i="2"/>
  <c r="I62" i="2" s="1"/>
  <c r="G60" i="2"/>
  <c r="G61" i="2" s="1"/>
  <c r="H60" i="2"/>
  <c r="E54" i="2"/>
  <c r="F60" i="2"/>
  <c r="F61" i="2" s="1"/>
  <c r="F57" i="2"/>
  <c r="F74" i="2"/>
  <c r="F42" i="2"/>
  <c r="F27" i="2"/>
  <c r="I86" i="2"/>
  <c r="H86" i="2"/>
  <c r="I83" i="2"/>
  <c r="G44" i="2"/>
  <c r="G45" i="2" s="1"/>
  <c r="H44" i="2"/>
  <c r="H46" i="2"/>
  <c r="I44" i="2"/>
  <c r="I46" i="2" s="1"/>
  <c r="F44" i="2"/>
  <c r="F45" i="2"/>
  <c r="F41" i="2"/>
  <c r="G76" i="2"/>
  <c r="G77" i="2" s="1"/>
  <c r="H76" i="2"/>
  <c r="H77" i="2" s="1"/>
  <c r="I76" i="2"/>
  <c r="I78" i="2" s="1"/>
  <c r="F76" i="2"/>
  <c r="F78" i="2" s="1"/>
  <c r="F79" i="2" s="1"/>
  <c r="G29" i="2"/>
  <c r="F73" i="2"/>
  <c r="H73" i="2"/>
  <c r="F46" i="2"/>
  <c r="F47" i="2" s="1"/>
  <c r="G90" i="2"/>
  <c r="E22" i="2"/>
  <c r="E86" i="2"/>
  <c r="E72" i="2"/>
  <c r="E70" i="2"/>
  <c r="E69" i="2"/>
  <c r="E56" i="2"/>
  <c r="E53" i="2"/>
  <c r="E38" i="2"/>
  <c r="E37" i="2"/>
  <c r="E40" i="2"/>
  <c r="E23" i="2"/>
  <c r="E29" i="2" s="1"/>
  <c r="F26" i="2"/>
  <c r="G7" i="2"/>
  <c r="E7" i="2"/>
  <c r="F29" i="2"/>
  <c r="F30" i="2" s="1"/>
  <c r="H29" i="2"/>
  <c r="H31" i="2" s="1"/>
  <c r="I29" i="2"/>
  <c r="I31" i="2" s="1"/>
  <c r="E25" i="2"/>
  <c r="F16" i="2"/>
  <c r="F18" i="2" s="1"/>
  <c r="H16" i="2"/>
  <c r="H18" i="2"/>
  <c r="I16" i="2"/>
  <c r="I18" i="2" s="1"/>
  <c r="E15" i="2"/>
  <c r="E8" i="2"/>
  <c r="G2" i="2"/>
  <c r="E2" i="2" s="1"/>
  <c r="G30" i="2"/>
  <c r="F31" i="2"/>
  <c r="F32" i="2" s="1"/>
  <c r="I185" i="7"/>
  <c r="G88" i="7"/>
  <c r="H71" i="12"/>
  <c r="F60" i="12"/>
  <c r="F28" i="12"/>
  <c r="F26" i="12"/>
  <c r="F13" i="12"/>
  <c r="F121" i="7"/>
  <c r="G90" i="7"/>
  <c r="I89" i="7"/>
  <c r="I169" i="7" s="1"/>
  <c r="H142" i="7"/>
  <c r="G88" i="10"/>
  <c r="G33" i="5"/>
  <c r="I33" i="5"/>
  <c r="K33" i="5"/>
  <c r="O33" i="5"/>
  <c r="M33" i="5"/>
  <c r="F60" i="8" l="1"/>
  <c r="F168" i="8"/>
  <c r="G196" i="8"/>
  <c r="E196" i="8" s="1"/>
  <c r="E147" i="8"/>
  <c r="G183" i="8"/>
  <c r="E183" i="8" s="1"/>
  <c r="Z21" i="14"/>
  <c r="F133" i="10"/>
  <c r="F136" i="10" s="1"/>
  <c r="E110" i="12"/>
  <c r="E143" i="12" s="1"/>
  <c r="E67" i="12"/>
  <c r="G91" i="2"/>
  <c r="F62" i="2"/>
  <c r="F63" i="2" s="1"/>
  <c r="E5" i="2"/>
  <c r="F58" i="8"/>
  <c r="H59" i="9"/>
  <c r="E119" i="9"/>
  <c r="H58" i="12"/>
  <c r="E150" i="9"/>
  <c r="G172" i="10"/>
  <c r="E155" i="12"/>
  <c r="J21" i="14"/>
  <c r="F133" i="11"/>
  <c r="F136" i="11" s="1"/>
  <c r="E130" i="9"/>
  <c r="E151" i="10"/>
  <c r="F69" i="12"/>
  <c r="F60" i="11"/>
  <c r="I71" i="11"/>
  <c r="F13" i="11"/>
  <c r="F71" i="8"/>
  <c r="F72" i="8" s="1"/>
  <c r="E64" i="12"/>
  <c r="H23" i="14"/>
  <c r="L27" i="14"/>
  <c r="G133" i="10"/>
  <c r="G136" i="10" s="1"/>
  <c r="F117" i="7"/>
  <c r="F129" i="7" s="1"/>
  <c r="F196" i="8"/>
  <c r="H12" i="10"/>
  <c r="H73" i="10" s="1"/>
  <c r="H143" i="8"/>
  <c r="G142" i="8"/>
  <c r="F143" i="9"/>
  <c r="I156" i="8"/>
  <c r="G142" i="11"/>
  <c r="I143" i="11"/>
  <c r="G143" i="12"/>
  <c r="H21" i="14"/>
  <c r="T25" i="14"/>
  <c r="H25" i="14"/>
  <c r="X19" i="14"/>
  <c r="H19" i="14"/>
  <c r="N29" i="14"/>
  <c r="T31" i="14"/>
  <c r="G133" i="8"/>
  <c r="F169" i="12"/>
  <c r="F90" i="12"/>
  <c r="E31" i="2"/>
  <c r="E30" i="2"/>
  <c r="F168" i="9"/>
  <c r="F60" i="9"/>
  <c r="H186" i="9"/>
  <c r="H191" i="9" s="1"/>
  <c r="G196" i="12"/>
  <c r="E146" i="12"/>
  <c r="F43" i="12"/>
  <c r="F42" i="12"/>
  <c r="E76" i="2"/>
  <c r="E77" i="2" s="1"/>
  <c r="F71" i="12"/>
  <c r="F72" i="12" s="1"/>
  <c r="I71" i="7"/>
  <c r="I72" i="7" s="1"/>
  <c r="E150" i="8"/>
  <c r="F156" i="8"/>
  <c r="E156" i="8" s="1"/>
  <c r="F169" i="10"/>
  <c r="F90" i="10"/>
  <c r="H158" i="10"/>
  <c r="H172" i="10" s="1"/>
  <c r="H173" i="10" s="1"/>
  <c r="H143" i="10"/>
  <c r="F172" i="11"/>
  <c r="K35" i="14"/>
  <c r="K19" i="14"/>
  <c r="G133" i="9"/>
  <c r="G136" i="9" s="1"/>
  <c r="E41" i="9"/>
  <c r="E42" i="9" s="1"/>
  <c r="I71" i="8"/>
  <c r="I12" i="8"/>
  <c r="E146" i="10"/>
  <c r="F172" i="10"/>
  <c r="E106" i="2"/>
  <c r="E107" i="2" s="1"/>
  <c r="E84" i="2"/>
  <c r="F58" i="9"/>
  <c r="F154" i="7"/>
  <c r="G158" i="8"/>
  <c r="G159" i="8" s="1"/>
  <c r="G143" i="8"/>
  <c r="F118" i="11"/>
  <c r="E119" i="11"/>
  <c r="J156" i="7"/>
  <c r="F92" i="2"/>
  <c r="F93" i="2" s="1"/>
  <c r="F28" i="8"/>
  <c r="F71" i="9"/>
  <c r="F72" i="9" s="1"/>
  <c r="H71" i="9"/>
  <c r="H43" i="9"/>
  <c r="H73" i="9" s="1"/>
  <c r="I73" i="10"/>
  <c r="E64" i="10"/>
  <c r="F118" i="10"/>
  <c r="E119" i="10"/>
  <c r="H158" i="11"/>
  <c r="H172" i="11" s="1"/>
  <c r="H173" i="11" s="1"/>
  <c r="H143" i="11"/>
  <c r="G159" i="12"/>
  <c r="K21" i="14"/>
  <c r="K23" i="14"/>
  <c r="K25" i="14"/>
  <c r="X31" i="14"/>
  <c r="X27" i="14"/>
  <c r="P27" i="14"/>
  <c r="P31" i="14"/>
  <c r="D35" i="14"/>
  <c r="D25" i="14"/>
  <c r="D23" i="14"/>
  <c r="Z35" i="14"/>
  <c r="Z19" i="14"/>
  <c r="Z23" i="14"/>
  <c r="V35" i="14"/>
  <c r="V25" i="14"/>
  <c r="V21" i="14"/>
  <c r="R35" i="14"/>
  <c r="R19" i="14"/>
  <c r="N35" i="14"/>
  <c r="N25" i="14"/>
  <c r="N23" i="14"/>
  <c r="N21" i="14"/>
  <c r="E35" i="14"/>
  <c r="E25" i="14"/>
  <c r="E23" i="14"/>
  <c r="E21" i="14"/>
  <c r="E117" i="11"/>
  <c r="E129" i="11" s="1"/>
  <c r="E117" i="10"/>
  <c r="E129" i="10" s="1"/>
  <c r="E117" i="9"/>
  <c r="E129" i="9" s="1"/>
  <c r="E133" i="9" s="1"/>
  <c r="E136" i="9" s="1"/>
  <c r="F118" i="12"/>
  <c r="E119" i="12"/>
  <c r="H90" i="2"/>
  <c r="F27" i="10"/>
  <c r="F26" i="10"/>
  <c r="F89" i="11"/>
  <c r="F88" i="11"/>
  <c r="I35" i="14"/>
  <c r="I25" i="14"/>
  <c r="I23" i="14"/>
  <c r="I21" i="14"/>
  <c r="F88" i="12"/>
  <c r="H73" i="12"/>
  <c r="E4" i="2"/>
  <c r="F83" i="7"/>
  <c r="H58" i="8"/>
  <c r="E64" i="8"/>
  <c r="H71" i="8"/>
  <c r="H43" i="8"/>
  <c r="H73" i="8" s="1"/>
  <c r="H58" i="11"/>
  <c r="H71" i="11"/>
  <c r="H59" i="11"/>
  <c r="H73" i="11" s="1"/>
  <c r="E64" i="11"/>
  <c r="H186" i="8"/>
  <c r="H191" i="8" s="1"/>
  <c r="E151" i="8"/>
  <c r="H156" i="9"/>
  <c r="E156" i="9" s="1"/>
  <c r="E151" i="9"/>
  <c r="H186" i="10"/>
  <c r="H191" i="10" s="1"/>
  <c r="F143" i="11"/>
  <c r="F27" i="11"/>
  <c r="F71" i="11"/>
  <c r="F72" i="11" s="1"/>
  <c r="F26" i="11"/>
  <c r="G146" i="11"/>
  <c r="R21" i="14"/>
  <c r="V23" i="14"/>
  <c r="R25" i="14"/>
  <c r="D19" i="14"/>
  <c r="E19" i="14"/>
  <c r="AB27" i="14"/>
  <c r="G35" i="14"/>
  <c r="G19" i="14"/>
  <c r="H170" i="12"/>
  <c r="G43" i="12"/>
  <c r="G166" i="12" s="1"/>
  <c r="E44" i="2"/>
  <c r="E45" i="2" s="1"/>
  <c r="E64" i="9"/>
  <c r="H58" i="10"/>
  <c r="G136" i="8"/>
  <c r="E110" i="9"/>
  <c r="E153" i="12"/>
  <c r="E87" i="10"/>
  <c r="E88" i="10" s="1"/>
  <c r="E131" i="11"/>
  <c r="I133" i="10"/>
  <c r="I136" i="10" s="1"/>
  <c r="E131" i="9"/>
  <c r="E25" i="12"/>
  <c r="F88" i="2"/>
  <c r="F155" i="7"/>
  <c r="F150" i="7"/>
  <c r="I159" i="9"/>
  <c r="G133" i="11"/>
  <c r="H133" i="11"/>
  <c r="H136" i="11" s="1"/>
  <c r="H133" i="10"/>
  <c r="H136" i="10" s="1"/>
  <c r="I133" i="9"/>
  <c r="I136" i="9" s="1"/>
  <c r="G12" i="9"/>
  <c r="G164" i="9" s="1"/>
  <c r="E164" i="9" s="1"/>
  <c r="E41" i="8"/>
  <c r="E42" i="8" s="1"/>
  <c r="F218" i="7"/>
  <c r="F221" i="7"/>
  <c r="E48" i="5"/>
  <c r="G57" i="11"/>
  <c r="G59" i="11" s="1"/>
  <c r="G168" i="11" s="1"/>
  <c r="E168" i="11" s="1"/>
  <c r="E35" i="8"/>
  <c r="E4" i="9"/>
  <c r="E10" i="9" s="1"/>
  <c r="E87" i="11"/>
  <c r="E89" i="11" s="1"/>
  <c r="G10" i="10"/>
  <c r="G11" i="10" s="1"/>
  <c r="G69" i="7"/>
  <c r="F12" i="7"/>
  <c r="F130" i="7"/>
  <c r="E4" i="5" s="1"/>
  <c r="Q4" i="5" s="1"/>
  <c r="G201" i="7"/>
  <c r="F87" i="7"/>
  <c r="F88" i="7" s="1"/>
  <c r="G156" i="7"/>
  <c r="J133" i="7"/>
  <c r="J136" i="7" s="1"/>
  <c r="H89" i="7"/>
  <c r="H169" i="7" s="1"/>
  <c r="E22" i="5" s="1"/>
  <c r="G57" i="12"/>
  <c r="G58" i="12" s="1"/>
  <c r="E25" i="8"/>
  <c r="E27" i="8" s="1"/>
  <c r="G26" i="8"/>
  <c r="H156" i="7"/>
  <c r="G68" i="7"/>
  <c r="H220" i="7"/>
  <c r="F131" i="7"/>
  <c r="E6" i="5" s="1"/>
  <c r="Q6" i="5" s="1"/>
  <c r="F151" i="7"/>
  <c r="F146" i="7"/>
  <c r="E19" i="8"/>
  <c r="E35" i="11"/>
  <c r="F153" i="7"/>
  <c r="G172" i="7"/>
  <c r="F172" i="7" s="1"/>
  <c r="F42" i="5"/>
  <c r="G42" i="5" s="1"/>
  <c r="F215" i="7"/>
  <c r="G220" i="7"/>
  <c r="E41" i="11"/>
  <c r="E43" i="11" s="1"/>
  <c r="G42" i="11"/>
  <c r="G43" i="11"/>
  <c r="G166" i="11" s="1"/>
  <c r="E166" i="11" s="1"/>
  <c r="G42" i="10"/>
  <c r="E41" i="10"/>
  <c r="E42" i="10" s="1"/>
  <c r="G26" i="7"/>
  <c r="G25" i="9"/>
  <c r="E25" i="9" s="1"/>
  <c r="E26" i="9" s="1"/>
  <c r="G27" i="8"/>
  <c r="G167" i="8" s="1"/>
  <c r="E167" i="8" s="1"/>
  <c r="F119" i="7"/>
  <c r="G58" i="7"/>
  <c r="E35" i="9"/>
  <c r="E35" i="10"/>
  <c r="E4" i="12"/>
  <c r="E10" i="12" s="1"/>
  <c r="E12" i="12" s="1"/>
  <c r="G158" i="7"/>
  <c r="H158" i="7"/>
  <c r="E51" i="9"/>
  <c r="E81" i="10"/>
  <c r="I156" i="7"/>
  <c r="I133" i="7"/>
  <c r="I136" i="7" s="1"/>
  <c r="G11" i="7"/>
  <c r="F110" i="7"/>
  <c r="H216" i="7"/>
  <c r="H217" i="7" s="1"/>
  <c r="F219" i="7"/>
  <c r="G217" i="7"/>
  <c r="E43" i="9"/>
  <c r="G59" i="8"/>
  <c r="G168" i="8" s="1"/>
  <c r="E168" i="8" s="1"/>
  <c r="G58" i="8"/>
  <c r="G59" i="9"/>
  <c r="G168" i="9" s="1"/>
  <c r="E168" i="9" s="1"/>
  <c r="E57" i="9"/>
  <c r="E58" i="9" s="1"/>
  <c r="G58" i="9"/>
  <c r="E12" i="11"/>
  <c r="E11" i="11"/>
  <c r="E12" i="10"/>
  <c r="E11" i="10"/>
  <c r="G89" i="11"/>
  <c r="G169" i="11" s="1"/>
  <c r="G57" i="10"/>
  <c r="G71" i="10" s="1"/>
  <c r="G72" i="10" s="1"/>
  <c r="G65" i="10"/>
  <c r="E65" i="10" s="1"/>
  <c r="G89" i="10"/>
  <c r="G169" i="10" s="1"/>
  <c r="G42" i="9"/>
  <c r="E57" i="11"/>
  <c r="E58" i="11" s="1"/>
  <c r="G65" i="9"/>
  <c r="E65" i="9" s="1"/>
  <c r="E35" i="12"/>
  <c r="E81" i="11"/>
  <c r="E41" i="12"/>
  <c r="E51" i="8"/>
  <c r="G10" i="11"/>
  <c r="G87" i="12"/>
  <c r="G71" i="12" s="1"/>
  <c r="G42" i="12"/>
  <c r="E4" i="8"/>
  <c r="E10" i="8" s="1"/>
  <c r="E11" i="8" s="1"/>
  <c r="G65" i="12"/>
  <c r="E65" i="12" s="1"/>
  <c r="G41" i="5"/>
  <c r="G11" i="8"/>
  <c r="G26" i="11"/>
  <c r="G27" i="11"/>
  <c r="G167" i="11" s="1"/>
  <c r="E26" i="12"/>
  <c r="E27" i="12"/>
  <c r="G168" i="7"/>
  <c r="G60" i="7"/>
  <c r="G73" i="7"/>
  <c r="G74" i="7" s="1"/>
  <c r="G28" i="7"/>
  <c r="E12" i="9"/>
  <c r="E11" i="9"/>
  <c r="G11" i="12"/>
  <c r="G42" i="8"/>
  <c r="F41" i="7"/>
  <c r="F43" i="7" s="1"/>
  <c r="G11" i="9"/>
  <c r="G42" i="7"/>
  <c r="F25" i="7"/>
  <c r="J73" i="7"/>
  <c r="G26" i="10"/>
  <c r="E19" i="12"/>
  <c r="G87" i="8"/>
  <c r="G88" i="8" s="1"/>
  <c r="H71" i="7"/>
  <c r="H72" i="7" s="1"/>
  <c r="E89" i="10"/>
  <c r="G71" i="7"/>
  <c r="G72" i="7" s="1"/>
  <c r="G26" i="12"/>
  <c r="F11" i="7"/>
  <c r="F64" i="7"/>
  <c r="J158" i="7"/>
  <c r="E19" i="10"/>
  <c r="E25" i="10"/>
  <c r="I158" i="7"/>
  <c r="G65" i="11"/>
  <c r="E65" i="11" s="1"/>
  <c r="F57" i="7"/>
  <c r="F152" i="7"/>
  <c r="G65" i="8"/>
  <c r="E65" i="8" s="1"/>
  <c r="E19" i="11"/>
  <c r="I186" i="7"/>
  <c r="I191" i="7" s="1"/>
  <c r="I73" i="8"/>
  <c r="E2" i="5"/>
  <c r="I92" i="2"/>
  <c r="F167" i="9"/>
  <c r="F158" i="8"/>
  <c r="F143" i="8"/>
  <c r="E12" i="8"/>
  <c r="F65" i="7"/>
  <c r="F118" i="7"/>
  <c r="G16" i="2"/>
  <c r="I90" i="2"/>
  <c r="H62" i="2"/>
  <c r="H108" i="2"/>
  <c r="F69" i="8"/>
  <c r="F28" i="9"/>
  <c r="H89" i="10"/>
  <c r="H88" i="10"/>
  <c r="H172" i="8"/>
  <c r="H173" i="8" s="1"/>
  <c r="H159" i="8"/>
  <c r="G172" i="11"/>
  <c r="G196" i="11"/>
  <c r="W33" i="14"/>
  <c r="W27" i="14"/>
  <c r="W31" i="14"/>
  <c r="W29" i="14"/>
  <c r="S27" i="14"/>
  <c r="S33" i="14"/>
  <c r="S31" i="14"/>
  <c r="S29" i="14"/>
  <c r="O27" i="14"/>
  <c r="O33" i="14"/>
  <c r="O31" i="14"/>
  <c r="K27" i="14"/>
  <c r="K33" i="14"/>
  <c r="K31" i="14"/>
  <c r="K29" i="14"/>
  <c r="G27" i="14"/>
  <c r="G33" i="14"/>
  <c r="G31" i="14"/>
  <c r="G29" i="14"/>
  <c r="AC35" i="14"/>
  <c r="AC19" i="14"/>
  <c r="AC21" i="14"/>
  <c r="AC25" i="14"/>
  <c r="Y35" i="14"/>
  <c r="Y19" i="14"/>
  <c r="Y21" i="14"/>
  <c r="Y25" i="14"/>
  <c r="U35" i="14"/>
  <c r="U19" i="14"/>
  <c r="U21" i="14"/>
  <c r="U25" i="14"/>
  <c r="Q35" i="14"/>
  <c r="Q19" i="14"/>
  <c r="Q21" i="14"/>
  <c r="Q25" i="14"/>
  <c r="M35" i="14"/>
  <c r="M19" i="14"/>
  <c r="M21" i="14"/>
  <c r="M25" i="14"/>
  <c r="G87" i="9"/>
  <c r="E81" i="9"/>
  <c r="F147" i="10"/>
  <c r="E118" i="10"/>
  <c r="G129" i="12"/>
  <c r="G133" i="12" s="1"/>
  <c r="G136" i="12" s="1"/>
  <c r="E117" i="12"/>
  <c r="E129" i="12" s="1"/>
  <c r="H184" i="7"/>
  <c r="H186" i="7" s="1"/>
  <c r="H165" i="7" s="1"/>
  <c r="F147" i="7"/>
  <c r="F183" i="7" s="1"/>
  <c r="J71" i="7"/>
  <c r="F90" i="2"/>
  <c r="E60" i="2"/>
  <c r="H78" i="2"/>
  <c r="F77" i="2"/>
  <c r="F87" i="2"/>
  <c r="E108" i="2"/>
  <c r="F107" i="2"/>
  <c r="B2" i="1"/>
  <c r="B14" i="1" s="1"/>
  <c r="F88" i="8"/>
  <c r="I73" i="9"/>
  <c r="I71" i="10"/>
  <c r="I73" i="11"/>
  <c r="F69" i="11"/>
  <c r="E67" i="11"/>
  <c r="E25" i="11"/>
  <c r="G184" i="8"/>
  <c r="G186" i="8" s="1"/>
  <c r="F43" i="9"/>
  <c r="F42" i="9"/>
  <c r="G147" i="9"/>
  <c r="E118" i="9"/>
  <c r="F184" i="8"/>
  <c r="F168" i="10"/>
  <c r="F166" i="10"/>
  <c r="G43" i="10"/>
  <c r="G166" i="10" s="1"/>
  <c r="AC23" i="14"/>
  <c r="Y23" i="14"/>
  <c r="U23" i="14"/>
  <c r="Q23" i="14"/>
  <c r="M23" i="14"/>
  <c r="O29" i="14"/>
  <c r="F169" i="8"/>
  <c r="F12" i="8"/>
  <c r="F11" i="8"/>
  <c r="F172" i="9"/>
  <c r="E146" i="9"/>
  <c r="F196" i="9"/>
  <c r="G156" i="11"/>
  <c r="G159" i="11" s="1"/>
  <c r="E151" i="11"/>
  <c r="E57" i="8"/>
  <c r="H201" i="7"/>
  <c r="E67" i="9"/>
  <c r="I71" i="9"/>
  <c r="I59" i="12"/>
  <c r="I73" i="12" s="1"/>
  <c r="I71" i="12"/>
  <c r="I12" i="7"/>
  <c r="I11" i="7"/>
  <c r="F184" i="9"/>
  <c r="F186" i="9"/>
  <c r="F166" i="8"/>
  <c r="G43" i="8"/>
  <c r="G166" i="8" s="1"/>
  <c r="G172" i="8"/>
  <c r="I158" i="8"/>
  <c r="I143" i="8"/>
  <c r="I172" i="9"/>
  <c r="I173" i="9" s="1"/>
  <c r="I190" i="9" s="1"/>
  <c r="I192" i="9" s="1"/>
  <c r="F12" i="10"/>
  <c r="F71" i="10"/>
  <c r="F11" i="10"/>
  <c r="E146" i="11"/>
  <c r="E172" i="11" s="1"/>
  <c r="H159" i="9"/>
  <c r="I173" i="10"/>
  <c r="G184" i="11"/>
  <c r="G186" i="11" s="1"/>
  <c r="E110" i="10"/>
  <c r="H156" i="12"/>
  <c r="I172" i="12"/>
  <c r="I173" i="12" s="1"/>
  <c r="I159" i="12"/>
  <c r="F133" i="8"/>
  <c r="F136" i="8" s="1"/>
  <c r="E130" i="8"/>
  <c r="K12" i="7"/>
  <c r="G164" i="7"/>
  <c r="G184" i="7"/>
  <c r="G186" i="7" s="1"/>
  <c r="G165" i="7" s="1"/>
  <c r="F68" i="9"/>
  <c r="F156" i="10"/>
  <c r="G159" i="10"/>
  <c r="G183" i="10"/>
  <c r="G196" i="10"/>
  <c r="E150" i="12"/>
  <c r="F168" i="12"/>
  <c r="H172" i="9"/>
  <c r="H173" i="9" s="1"/>
  <c r="F159" i="9"/>
  <c r="I156" i="10"/>
  <c r="I159" i="10" s="1"/>
  <c r="I184" i="10"/>
  <c r="I186" i="10" s="1"/>
  <c r="I191" i="10" s="1"/>
  <c r="H159" i="10"/>
  <c r="H190" i="10" s="1"/>
  <c r="F156" i="11"/>
  <c r="H184" i="11"/>
  <c r="H186" i="11" s="1"/>
  <c r="H191" i="11" s="1"/>
  <c r="H156" i="11"/>
  <c r="H159" i="11" s="1"/>
  <c r="H190" i="11" s="1"/>
  <c r="H192" i="11" s="1"/>
  <c r="F159" i="11"/>
  <c r="I172" i="11"/>
  <c r="I173" i="11" s="1"/>
  <c r="I159" i="11"/>
  <c r="I190" i="11" s="1"/>
  <c r="I192" i="11" s="1"/>
  <c r="E110" i="8"/>
  <c r="F158" i="12"/>
  <c r="F143" i="12"/>
  <c r="H158" i="12"/>
  <c r="H143" i="12"/>
  <c r="D27" i="14"/>
  <c r="D33" i="14"/>
  <c r="D31" i="14"/>
  <c r="F156" i="12"/>
  <c r="G172" i="12"/>
  <c r="AA21" i="14"/>
  <c r="W21" i="14"/>
  <c r="S21" i="14"/>
  <c r="O21" i="14"/>
  <c r="AA19" i="14"/>
  <c r="W19" i="14"/>
  <c r="S19" i="14"/>
  <c r="O19" i="14"/>
  <c r="Y27" i="14"/>
  <c r="Y29" i="14"/>
  <c r="AB33" i="14"/>
  <c r="Y33" i="14"/>
  <c r="E131" i="12"/>
  <c r="E133" i="12" s="1"/>
  <c r="E136" i="12" s="1"/>
  <c r="G12" i="12"/>
  <c r="G164" i="12" s="1"/>
  <c r="F164" i="12"/>
  <c r="G36" i="5"/>
  <c r="F38" i="5"/>
  <c r="G38" i="5" s="1"/>
  <c r="G166" i="7"/>
  <c r="K43" i="7"/>
  <c r="H166" i="7" s="1"/>
  <c r="G167" i="7"/>
  <c r="K27" i="7"/>
  <c r="H167" i="7" s="1"/>
  <c r="U31" i="14"/>
  <c r="U33" i="14"/>
  <c r="Q31" i="14"/>
  <c r="Q33" i="14"/>
  <c r="M31" i="14"/>
  <c r="M33" i="14"/>
  <c r="I31" i="14"/>
  <c r="I33" i="14"/>
  <c r="E31" i="14"/>
  <c r="E33" i="14"/>
  <c r="I133" i="8"/>
  <c r="I136" i="8" s="1"/>
  <c r="I133" i="12"/>
  <c r="I136" i="12" s="1"/>
  <c r="F133" i="9"/>
  <c r="F136" i="9" s="1"/>
  <c r="H133" i="9"/>
  <c r="H136" i="9" s="1"/>
  <c r="G133" i="7"/>
  <c r="G186" i="12"/>
  <c r="K59" i="7"/>
  <c r="H168" i="7" s="1"/>
  <c r="H133" i="7"/>
  <c r="H136" i="7" s="1"/>
  <c r="AA25" i="14"/>
  <c r="W25" i="14"/>
  <c r="S25" i="14"/>
  <c r="O25" i="14"/>
  <c r="R27" i="14"/>
  <c r="M27" i="14"/>
  <c r="V29" i="14"/>
  <c r="Q29" i="14"/>
  <c r="F29" i="14"/>
  <c r="V31" i="14"/>
  <c r="F31" i="14"/>
  <c r="X33" i="14"/>
  <c r="X29" i="14"/>
  <c r="T33" i="14"/>
  <c r="T29" i="14"/>
  <c r="P33" i="14"/>
  <c r="P29" i="14"/>
  <c r="L33" i="14"/>
  <c r="L29" i="14"/>
  <c r="H33" i="14"/>
  <c r="H29" i="14"/>
  <c r="E117" i="8"/>
  <c r="E129" i="8" s="1"/>
  <c r="E131" i="8"/>
  <c r="F133" i="12"/>
  <c r="F136" i="12" s="1"/>
  <c r="H133" i="12"/>
  <c r="H136" i="12" s="1"/>
  <c r="E133" i="11"/>
  <c r="E136" i="11" s="1"/>
  <c r="I133" i="11"/>
  <c r="I136" i="11" s="1"/>
  <c r="E131" i="10"/>
  <c r="E133" i="10" s="1"/>
  <c r="E136" i="10" s="1"/>
  <c r="G27" i="12"/>
  <c r="G167" i="12" s="1"/>
  <c r="F167" i="12"/>
  <c r="F169" i="7" l="1"/>
  <c r="E158" i="12"/>
  <c r="E78" i="2"/>
  <c r="E46" i="2"/>
  <c r="G71" i="11"/>
  <c r="E133" i="8"/>
  <c r="E136" i="8" s="1"/>
  <c r="G136" i="11"/>
  <c r="H192" i="10"/>
  <c r="F159" i="8"/>
  <c r="F133" i="7"/>
  <c r="F166" i="12"/>
  <c r="E166" i="12" s="1"/>
  <c r="F44" i="12"/>
  <c r="F73" i="12"/>
  <c r="F74" i="12" s="1"/>
  <c r="E159" i="12"/>
  <c r="G59" i="12"/>
  <c r="G168" i="12" s="1"/>
  <c r="E168" i="12" s="1"/>
  <c r="F172" i="8"/>
  <c r="E158" i="9"/>
  <c r="E159" i="9" s="1"/>
  <c r="E143" i="9"/>
  <c r="F167" i="11"/>
  <c r="E167" i="11" s="1"/>
  <c r="F28" i="11"/>
  <c r="F73" i="11"/>
  <c r="F74" i="11" s="1"/>
  <c r="F167" i="10"/>
  <c r="F28" i="10"/>
  <c r="E57" i="12"/>
  <c r="E184" i="8"/>
  <c r="F89" i="7"/>
  <c r="E11" i="12"/>
  <c r="G58" i="11"/>
  <c r="E169" i="10"/>
  <c r="F220" i="7"/>
  <c r="F147" i="12"/>
  <c r="E118" i="12"/>
  <c r="F147" i="11"/>
  <c r="E118" i="11"/>
  <c r="I190" i="10"/>
  <c r="I192" i="10" s="1"/>
  <c r="E156" i="12"/>
  <c r="F201" i="7"/>
  <c r="F186" i="8"/>
  <c r="F165" i="8" s="1"/>
  <c r="E165" i="8" s="1"/>
  <c r="H190" i="8"/>
  <c r="H192" i="8" s="1"/>
  <c r="E43" i="8"/>
  <c r="G159" i="7"/>
  <c r="F169" i="11"/>
  <c r="E169" i="11" s="1"/>
  <c r="F90" i="11"/>
  <c r="G27" i="10"/>
  <c r="G167" i="10" s="1"/>
  <c r="H159" i="7"/>
  <c r="G27" i="9"/>
  <c r="G167" i="9" s="1"/>
  <c r="E167" i="9" s="1"/>
  <c r="E88" i="11"/>
  <c r="E27" i="9"/>
  <c r="G59" i="10"/>
  <c r="G168" i="10" s="1"/>
  <c r="E168" i="10" s="1"/>
  <c r="E43" i="10"/>
  <c r="F156" i="7"/>
  <c r="E59" i="11"/>
  <c r="E26" i="8"/>
  <c r="G26" i="9"/>
  <c r="E42" i="11"/>
  <c r="E71" i="12"/>
  <c r="E72" i="12" s="1"/>
  <c r="F158" i="7"/>
  <c r="F143" i="7"/>
  <c r="E14" i="5" s="1"/>
  <c r="F216" i="7"/>
  <c r="F217" i="7" s="1"/>
  <c r="E166" i="10"/>
  <c r="E57" i="10"/>
  <c r="G58" i="10"/>
  <c r="G12" i="11"/>
  <c r="G164" i="11" s="1"/>
  <c r="E164" i="11" s="1"/>
  <c r="G11" i="11"/>
  <c r="E59" i="9"/>
  <c r="G89" i="12"/>
  <c r="G169" i="12" s="1"/>
  <c r="E169" i="12" s="1"/>
  <c r="G88" i="12"/>
  <c r="E87" i="12"/>
  <c r="E42" i="12"/>
  <c r="E43" i="12"/>
  <c r="J159" i="7"/>
  <c r="J172" i="7"/>
  <c r="J173" i="7" s="1"/>
  <c r="G71" i="8"/>
  <c r="F166" i="7"/>
  <c r="E87" i="8"/>
  <c r="E88" i="8" s="1"/>
  <c r="F58" i="7"/>
  <c r="F59" i="7"/>
  <c r="I172" i="7"/>
  <c r="I159" i="7"/>
  <c r="F26" i="7"/>
  <c r="F27" i="7"/>
  <c r="G72" i="12"/>
  <c r="E71" i="11"/>
  <c r="E72" i="11" s="1"/>
  <c r="G72" i="11"/>
  <c r="E166" i="8"/>
  <c r="H73" i="7"/>
  <c r="G89" i="8"/>
  <c r="G169" i="8" s="1"/>
  <c r="E169" i="8" s="1"/>
  <c r="F71" i="7"/>
  <c r="F72" i="7" s="1"/>
  <c r="E27" i="10"/>
  <c r="E26" i="10"/>
  <c r="F42" i="7"/>
  <c r="F168" i="7"/>
  <c r="F184" i="7"/>
  <c r="H191" i="7"/>
  <c r="G73" i="11"/>
  <c r="G191" i="8"/>
  <c r="G165" i="8"/>
  <c r="G165" i="12"/>
  <c r="G191" i="12"/>
  <c r="H159" i="12"/>
  <c r="H172" i="12"/>
  <c r="H173" i="12" s="1"/>
  <c r="G170" i="7"/>
  <c r="G191" i="7"/>
  <c r="E58" i="8"/>
  <c r="E59" i="8"/>
  <c r="G43" i="9"/>
  <c r="G166" i="9" s="1"/>
  <c r="F166" i="9"/>
  <c r="F44" i="9"/>
  <c r="F73" i="9"/>
  <c r="G18" i="2"/>
  <c r="E16" i="2"/>
  <c r="E18" i="2" s="1"/>
  <c r="F136" i="7"/>
  <c r="E9" i="5" s="1"/>
  <c r="E8" i="5"/>
  <c r="E3" i="5" s="1"/>
  <c r="Q3" i="5" s="1"/>
  <c r="Q22" i="5"/>
  <c r="F191" i="9"/>
  <c r="F165" i="9"/>
  <c r="E62" i="2"/>
  <c r="E61" i="2"/>
  <c r="F183" i="10"/>
  <c r="F196" i="10"/>
  <c r="E196" i="10" s="1"/>
  <c r="E147" i="10"/>
  <c r="F167" i="7"/>
  <c r="F172" i="12"/>
  <c r="F159" i="12"/>
  <c r="E156" i="10"/>
  <c r="F159" i="10"/>
  <c r="E143" i="10"/>
  <c r="E158" i="10"/>
  <c r="H190" i="9"/>
  <c r="H192" i="9" s="1"/>
  <c r="F72" i="10"/>
  <c r="E71" i="10"/>
  <c r="I159" i="8"/>
  <c r="I172" i="8"/>
  <c r="I173" i="8" s="1"/>
  <c r="E59" i="12"/>
  <c r="E58" i="12"/>
  <c r="G183" i="9"/>
  <c r="G196" i="9"/>
  <c r="E147" i="9"/>
  <c r="E90" i="2"/>
  <c r="F91" i="2"/>
  <c r="H92" i="2"/>
  <c r="G165" i="11"/>
  <c r="G191" i="11"/>
  <c r="I164" i="7"/>
  <c r="I170" i="7" s="1"/>
  <c r="I73" i="7"/>
  <c r="E196" i="9"/>
  <c r="F164" i="8"/>
  <c r="F13" i="8"/>
  <c r="G12" i="8"/>
  <c r="G164" i="8" s="1"/>
  <c r="F73" i="8"/>
  <c r="E167" i="12"/>
  <c r="E172" i="12"/>
  <c r="E164" i="12"/>
  <c r="E143" i="8"/>
  <c r="E158" i="8"/>
  <c r="E156" i="11"/>
  <c r="E159" i="11" s="1"/>
  <c r="G184" i="10"/>
  <c r="G186" i="10"/>
  <c r="E18" i="5"/>
  <c r="I190" i="12"/>
  <c r="I192" i="12" s="1"/>
  <c r="F164" i="10"/>
  <c r="G12" i="10"/>
  <c r="G164" i="10" s="1"/>
  <c r="F13" i="10"/>
  <c r="F73" i="10"/>
  <c r="E26" i="11"/>
  <c r="E27" i="11"/>
  <c r="G89" i="9"/>
  <c r="G169" i="9" s="1"/>
  <c r="E169" i="9" s="1"/>
  <c r="G88" i="9"/>
  <c r="E87" i="9"/>
  <c r="G71" i="9"/>
  <c r="Q2" i="5"/>
  <c r="E186" i="8" l="1"/>
  <c r="E191" i="8" s="1"/>
  <c r="F183" i="11"/>
  <c r="F196" i="11"/>
  <c r="E196" i="11" s="1"/>
  <c r="E147" i="11"/>
  <c r="E172" i="9"/>
  <c r="F191" i="8"/>
  <c r="I190" i="8"/>
  <c r="I192" i="8" s="1"/>
  <c r="G73" i="12"/>
  <c r="F73" i="7"/>
  <c r="E167" i="10"/>
  <c r="F183" i="12"/>
  <c r="E147" i="12"/>
  <c r="E183" i="12" s="1"/>
  <c r="F196" i="12"/>
  <c r="E196" i="12" s="1"/>
  <c r="G173" i="7"/>
  <c r="G192" i="7" s="1"/>
  <c r="E73" i="12"/>
  <c r="F159" i="7"/>
  <c r="G170" i="11"/>
  <c r="G173" i="11" s="1"/>
  <c r="G190" i="11" s="1"/>
  <c r="G192" i="11" s="1"/>
  <c r="E28" i="5"/>
  <c r="Q28" i="5" s="1"/>
  <c r="G170" i="12"/>
  <c r="G173" i="12" s="1"/>
  <c r="G190" i="12" s="1"/>
  <c r="G192" i="12" s="1"/>
  <c r="E15" i="5"/>
  <c r="Q14" i="5"/>
  <c r="F164" i="7"/>
  <c r="E89" i="8"/>
  <c r="E166" i="9"/>
  <c r="E89" i="12"/>
  <c r="E88" i="12"/>
  <c r="E58" i="10"/>
  <c r="E59" i="10"/>
  <c r="H170" i="7"/>
  <c r="H173" i="7" s="1"/>
  <c r="H190" i="7" s="1"/>
  <c r="H192" i="7" s="1"/>
  <c r="G170" i="8"/>
  <c r="G173" i="8" s="1"/>
  <c r="G190" i="8" s="1"/>
  <c r="G192" i="8" s="1"/>
  <c r="F186" i="7"/>
  <c r="F191" i="7" s="1"/>
  <c r="I173" i="7"/>
  <c r="I190" i="7" s="1"/>
  <c r="I192" i="7" s="1"/>
  <c r="G72" i="8"/>
  <c r="E71" i="8"/>
  <c r="E73" i="11"/>
  <c r="J190" i="7"/>
  <c r="J192" i="7" s="1"/>
  <c r="E89" i="9"/>
  <c r="E88" i="9"/>
  <c r="G191" i="10"/>
  <c r="G165" i="10"/>
  <c r="G170" i="10" s="1"/>
  <c r="G173" i="10" s="1"/>
  <c r="G190" i="10" s="1"/>
  <c r="G192" i="10" s="1"/>
  <c r="G184" i="9"/>
  <c r="E184" i="9" s="1"/>
  <c r="E183" i="9"/>
  <c r="F184" i="10"/>
  <c r="E184" i="10" s="1"/>
  <c r="E183" i="10"/>
  <c r="E159" i="8"/>
  <c r="E172" i="8"/>
  <c r="E91" i="2"/>
  <c r="E92" i="2"/>
  <c r="E72" i="10"/>
  <c r="E73" i="10"/>
  <c r="F170" i="9"/>
  <c r="F173" i="9" s="1"/>
  <c r="F190" i="9" s="1"/>
  <c r="F192" i="9" s="1"/>
  <c r="E159" i="10"/>
  <c r="E172" i="10"/>
  <c r="Q9" i="5"/>
  <c r="E10" i="5"/>
  <c r="Q10" i="5" s="1"/>
  <c r="G73" i="8"/>
  <c r="F74" i="8"/>
  <c r="E164" i="10"/>
  <c r="F165" i="7"/>
  <c r="E26" i="5" s="1"/>
  <c r="H190" i="12"/>
  <c r="H192" i="12" s="1"/>
  <c r="F170" i="8"/>
  <c r="F173" i="8" s="1"/>
  <c r="F190" i="8" s="1"/>
  <c r="F192" i="8" s="1"/>
  <c r="E164" i="8"/>
  <c r="E170" i="8" s="1"/>
  <c r="G72" i="9"/>
  <c r="E71" i="9"/>
  <c r="F74" i="10"/>
  <c r="G73" i="10"/>
  <c r="Q18" i="5"/>
  <c r="E16" i="5"/>
  <c r="E19" i="5" s="1"/>
  <c r="Q19" i="5" s="1"/>
  <c r="Q8" i="5"/>
  <c r="E12" i="5"/>
  <c r="Q12" i="5" s="1"/>
  <c r="E7" i="5"/>
  <c r="Q7" i="5" s="1"/>
  <c r="E5" i="5"/>
  <c r="Q5" i="5" s="1"/>
  <c r="G73" i="9"/>
  <c r="F74" i="9"/>
  <c r="F184" i="12" l="1"/>
  <c r="E184" i="12" s="1"/>
  <c r="F186" i="12"/>
  <c r="F184" i="11"/>
  <c r="E184" i="11" s="1"/>
  <c r="E183" i="11"/>
  <c r="K164" i="7"/>
  <c r="E72" i="8"/>
  <c r="E73" i="8"/>
  <c r="F170" i="7"/>
  <c r="E73" i="9"/>
  <c r="E72" i="9"/>
  <c r="Q26" i="5"/>
  <c r="E21" i="5"/>
  <c r="Q21" i="5" s="1"/>
  <c r="Q16" i="5"/>
  <c r="Q33" i="5" s="1"/>
  <c r="E17" i="5"/>
  <c r="Q17" i="5" s="1"/>
  <c r="E33" i="5"/>
  <c r="E23" i="5"/>
  <c r="Q23" i="5" s="1"/>
  <c r="E173" i="8"/>
  <c r="E190" i="8" s="1"/>
  <c r="E192" i="8" s="1"/>
  <c r="F186" i="10"/>
  <c r="G186" i="9"/>
  <c r="F191" i="12" l="1"/>
  <c r="E186" i="12"/>
  <c r="E191" i="12" s="1"/>
  <c r="F165" i="12"/>
  <c r="F186" i="11"/>
  <c r="F173" i="7"/>
  <c r="E30" i="5" s="1"/>
  <c r="E24" i="5" s="1"/>
  <c r="E25" i="5" s="1"/>
  <c r="Q25" i="5" s="1"/>
  <c r="G165" i="9"/>
  <c r="G191" i="9"/>
  <c r="E186" i="9"/>
  <c r="E191" i="9" s="1"/>
  <c r="E186" i="10"/>
  <c r="E191" i="10" s="1"/>
  <c r="F191" i="10"/>
  <c r="F165" i="10"/>
  <c r="E186" i="11" l="1"/>
  <c r="E191" i="11" s="1"/>
  <c r="F165" i="11"/>
  <c r="F191" i="11"/>
  <c r="E165" i="12"/>
  <c r="E170" i="12" s="1"/>
  <c r="E173" i="12" s="1"/>
  <c r="E190" i="12" s="1"/>
  <c r="E192" i="12" s="1"/>
  <c r="F170" i="12"/>
  <c r="F173" i="12" s="1"/>
  <c r="F190" i="12" s="1"/>
  <c r="F192" i="12" s="1"/>
  <c r="E31" i="5"/>
  <c r="Q31" i="5" s="1"/>
  <c r="E27" i="5"/>
  <c r="Q27" i="5" s="1"/>
  <c r="E29" i="5"/>
  <c r="Q29" i="5" s="1"/>
  <c r="Q24" i="5"/>
  <c r="Q30" i="5"/>
  <c r="F190" i="7"/>
  <c r="F192" i="7" s="1"/>
  <c r="G170" i="9"/>
  <c r="G173" i="9" s="1"/>
  <c r="G190" i="9" s="1"/>
  <c r="G192" i="9" s="1"/>
  <c r="E165" i="9"/>
  <c r="E170" i="9" s="1"/>
  <c r="E173" i="9" s="1"/>
  <c r="E190" i="9" s="1"/>
  <c r="E192" i="9" s="1"/>
  <c r="E165" i="10"/>
  <c r="E170" i="10" s="1"/>
  <c r="E173" i="10" s="1"/>
  <c r="E190" i="10" s="1"/>
  <c r="E192" i="10" s="1"/>
  <c r="F170" i="10"/>
  <c r="F173" i="10" s="1"/>
  <c r="F190" i="10" s="1"/>
  <c r="F192" i="10" s="1"/>
  <c r="F170" i="11" l="1"/>
  <c r="F173" i="11" s="1"/>
  <c r="F190" i="11" s="1"/>
  <c r="F192" i="11" s="1"/>
  <c r="E165" i="11"/>
  <c r="E170" i="11" s="1"/>
  <c r="E173" i="11" s="1"/>
  <c r="E190" i="11" s="1"/>
  <c r="E192" i="11" s="1"/>
</calcChain>
</file>

<file path=xl/comments1.xml><?xml version="1.0" encoding="utf-8"?>
<comments xmlns="http://schemas.openxmlformats.org/spreadsheetml/2006/main">
  <authors>
    <author>Laurent Le</author>
  </authors>
  <commentList>
    <comment ref="H51" authorId="0" shapeId="0">
      <text>
        <r>
          <rPr>
            <b/>
            <sz val="9"/>
            <color indexed="81"/>
            <rFont val="Tahoma"/>
            <family val="2"/>
          </rPr>
          <t>Must be correct since it is provided by Apple Dashboard normaly;
I think it is the badpage at qr.kinder.com that is also correct, but I suppose Akamai get it in cache and serve to the client instead going to MISS and get it on AWS - TBC</t>
        </r>
      </text>
    </comment>
    <comment ref="H81" authorId="0" shapeId="0">
      <text>
        <r>
          <rPr>
            <b/>
            <sz val="9"/>
            <color indexed="81"/>
            <rFont val="Tahoma"/>
            <family val="2"/>
          </rPr>
          <t>Must be correct since it is provided by Apple Dashboard normaly;
I think it is the badpage at qr.kinder.com that is also correct, but I suppose Akamai get it in cache and serve to the client instead going to MISS and get it on AWS - TBC</t>
        </r>
      </text>
    </comment>
    <comment ref="H116" authorId="0" shapeId="0">
      <text>
        <r>
          <rPr>
            <b/>
            <sz val="9"/>
            <color indexed="81"/>
            <rFont val="Tahoma"/>
            <family val="2"/>
          </rPr>
          <t>https://appstoreconnect.apple.com/analytics/app/r:20220301:20230228/1476035637/metrics?annotationsVisible=true&amp;chartType=singleaxis&amp;measureKey=pageViewCount&amp;zoomType=day</t>
        </r>
      </text>
    </comment>
    <comment ref="G124" authorId="0" shapeId="0">
      <text>
        <r>
          <rPr>
            <b/>
            <sz val="9"/>
            <color indexed="81"/>
            <rFont val="Tahoma"/>
            <family val="2"/>
          </rPr>
          <t>Google API provide only ALL USERS and not NEW USER data for download.
On the Google Dashboard it shoe for NEW USER</t>
        </r>
      </text>
    </comment>
    <comment ref="G125" authorId="0" shapeId="0">
      <text>
        <r>
          <rPr>
            <b/>
            <sz val="9"/>
            <color indexed="81"/>
            <rFont val="Tahoma"/>
            <family val="2"/>
          </rPr>
          <t>Google API provide only ALL USERS and not NEW USER data for download.
On the Google Dashboard it shoe for NEW USER</t>
        </r>
      </text>
    </comment>
  </commentList>
</comments>
</file>

<file path=xl/comments2.xml><?xml version="1.0" encoding="utf-8"?>
<comments xmlns="http://schemas.openxmlformats.org/spreadsheetml/2006/main">
  <authors>
    <author>Laurent Le</author>
  </authors>
  <commentList>
    <comment ref="G7" authorId="0" shapeId="0">
      <text>
        <r>
          <rPr>
            <b/>
            <sz val="9"/>
            <color indexed="81"/>
            <rFont val="Tahoma"/>
            <family val="2"/>
          </rPr>
          <t>5.54M for redownload user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8" authorId="0" shapeId="0">
      <text>
        <r>
          <rPr>
            <b/>
            <sz val="9"/>
            <color indexed="81"/>
            <rFont val="Tahoma"/>
            <family val="2"/>
          </rPr>
          <t>Google API provide only ALL USERS and not NEW USER data for download.
On the Google Dashboard it shoe for NEW USER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https://dashboard.applaydu.com/question?idate=2022-01-01~2022-12-31#eyJkYXRhc2V0X3F1ZXJ5Ijp7InR5cGUiOiJuYXRpdmUiLCJuYXRpdmUiOnsidGVtcGxhdGUtdGFncyI6eyJpZGF0ZSI6eyJpZCI6ImI3NTk2MWQzLTc3MzYtOTg3My0xNGQ4LTA4NjJjOGI3N2UyNSIsIm5hbWUiOiJpZGF0ZSIsImRpc3BsYXktbmFtZSI6IklkYXRlIiwidHlwZSI6ImRpbWVuc2lvbiIsImRpbWVuc2lvbiI6WyJmaWVsZCIsMTIxODcsbnVsbF0sIndpZGdldC10eXBlIjoiZGF0ZS9yYW5nZSIsImRlZmF1bHQiOm51bGx9LCJpY291bnRyeSI6eyJpZCI6ImU3NjdhM2IxLWI4NzAtNmY3ZC1mZGE3LWM0M2RhNjJhNjA0NiIsIm5hbWUiOiJpY291bnRyeSIsImRpc3BsYXktbmFtZSI6Ikljb3VudHJ5IiwidHlwZSI6ImRpbWVuc2lvbiIsImRpbWVuc2lvbiI6WyJmaWVsZCIsMTIxODgsbnVsbF0sIndpZGdldC10eXBlIjoic3RyaW5nLz0iLCJkZWZhdWx0IjpudWxsfX0sInF1ZXJ5IjoiXG53aXRoIGEgYXMgKFNFTEVDVCBnYW1lX2lkLGFwcGxheWR1X25vdF9jZXJ0aWZpZWQua3BpX2lkZW50X2NhbXBhaWduLmlkZW50X2lkIGFzIFwiVHJhY2tpbmcgSURcIlxuICAgICxzdW0oY2xpY2tzKSBhcyBcIlNjYW5zXCJcbiAgICAsc3VtKERvd25sb2FkcykgYXMgXCJEb3dubG9hZHNcIlxuICAgICxyb3VuZChDQVNFIFdoZW4gXCJTY2Fuc1wiPTAgVGhlbiAwIEVsc2UgXCJEb3dubG9hZHNcIi9cIlNjYW5zXCIgRW5kLCAzKSBhcyBcIkNvbnZlcnNpb24gKCUpKVwiXG4gICAgLHN1bShJbnN0YWxsUmVmZXJyYWxfSW5BcHBfQW5kX1NjYW4pIGFzIFwiVXNlcnMgdGhhdCBzY2FucyBhdCBsZWFzdCAxIHRveVwiXG4gICAgLFwiRG93bmxvYWRzXCIgLSBcIlVzZXJzIHRoYXQgc2NhbnMgYXQgbGVhc3QgMSB0b3lcIiBhcyBcIlVzZXJzIHRoYXQgU2NhbiBsZWFmbGV0IGFuZCBkb3dubG9hZCB3aXRob3V0IHNjYW5uaW5nIGFueSB0b3lzXCJcbiBcbmZyb21cbiAgICBhcHBsYXlkdV9ub3RfY2VydGlmaWVkLmtwaV9pZGVudF9jYW1wYWlnbiBcbiAgICBqb2luIEVMRVBIQU5UX0RCLkFQUExBWURVX05PVF9DRVJUSUZJRUQuSURFTlRfSU5GT19CSyBiIG9uIGFwcGxheWR1X25vdF9jZXJ0aWZpZWQua3BpX2lkZW50X2NhbXBhaWduLmlkZW50X2lkID0gYi5pZGVudF9pZFxud2hlcmUgIDE9MSBhbmQgXG4gICAgZmRhdGUgPj0gKFNFTEVDVCBtaW4oU0VSVkVSX0RBVEUpIGZyb20gdGJsX2RhdGVfZmlsdGVyIHdoZXJlIDE9MSBbW0FORCB7e2lkYXRlfX1dXSApXG4gICAgYW5kIGZkYXRlIDwgZGF0ZWFkZChkYXksIDEsKFNFTEVDVCBtYXgoU0VSVkVSX0RBVEUpIGZyb20gdGJsX2RhdGVfZmlsdGVyIHdoZXJlIDE9MSBbW0FORCB7e2lkYXRlfX1dXSApKVxuICAgIGFuZCBmY291bnRyeSBpbiAoc2VsZWN0IENPVU5UUllfTkFNRSBmcm9tIHRibF9jb3VudHJ5X2ZpbHRlciB3aGVyZSAxPTEgIFtbQU5EIHt7aWNvdW50cnl9fV1dKSAgXG4gICAgIFxuICAgIFxuICAgIGFuZCBHQU1FX0lEIGluKDgxMzM1LDgxMzM3LDgyNDcxKVxuICAgIGFuZCBmZGF0ZSA8PSBkYXRlYWRkKGRheSwgLTMsIENVUlJFTlRfREFURSgpKVxuICAgIGFuZCBNRVRIT0RTIG5vdCBJTiAgKCdXaXNoTGlzdCcgICAsJ2Jhbm5lcicpXG4gICAgYW5kIG5vdChhcHBsYXlkdV9ub3RfY2VydGlmaWVkLmtwaV9pZGVudF9jYW1wYWlnbi5pZGVudF9pZCBMSUtFIEFOWSAoJ0NfX18nLCAnQ19fJywnQ19fX18nLCdDOTIxJScsJ0NURVNUJScpKVxuICAgIGFuZCBhcHBsYXlkdV9ub3RfY2VydGlmaWVkLmtwaV9pZGVudF9jYW1wYWlnbi5pZGVudF9pZCAhPSAnTi9BJ1xuICAgIGFuZCBhcHBsYXlkdV9ub3RfY2VydGlmaWVkLmtwaV9pZGVudF9jYW1wYWlnbi5pZGVudF9pZCAhPSAnQUJPVVQ6QkxBTksnXG4gICAgXG5ncm91cCBieSAxLFwiVHJhY2tpbmcgSURcIlxub3JkZXIgYnkgXCJTY2Fuc1wiIGRlc2MgTlVMTFMgTEFTVClcbnNlbGVjdCByZXBsYWNlKHJlcGxhY2UocmVwbGFjZShHQU1FX0lELDgxMzM3LCdBbmRyb2lkJyksODEzMzUsJ0lPUycpLDgyNDcxLCdDaGluYSBNYXJrZXQnKSBhcyBwbGF0Zm9ybSxTdW0oXCJTY2Fuc1wiKSBhcyBTY2FuLFN1bShcIkRvd25sb2Fkc1wiKSBhcyBEb3dubG9hZCwgU3VtKFwiVXNlcnMgdGhhdCBzY2FucyBhdCBsZWFzdCAxIHRveVwiKWFzIFNjYW5uZWRfaW5fYXBwX3VzZXJzICwgc3VtKFwiVXNlcnMgdGhhdCBTY2FuIGxlYWZsZXQgYW5kIGRvd25sb2FkIHdpdGhvdXQgc2Nhbm5pbmcgYW55IHRveXNcIilhcyBOb3RfU2Nhbm5lZF9pbl9hcHBcbmZyb20gYVxuZ3JvdXAgYnkgMVxudW5pb25cblNlbGVjdCAnVG90YWwnIGFzIHBsYXRmb3JtLCBTdW0oXCJTY2Fuc1wiKSBhcyBTY2FuLFN1bShcIkRvd25sb2Fkc1wiKSBhcyBEb3dubG9hZCwgU3VtKFwiVXNlcnMgdGhhdCBzY2FucyBhdCBsZWFzdCAxIHRveVwiKWFzIFNjYW5uZWRfaW5fYXBwX3VzZXJzICwgc3VtKFwiVXNlcnMgdGhhdCBTY2FuIGxlYWZsZXQgYW5kIGRvd25sb2FkIHdpdGhvdXQgc2Nhbm5pbmcgYW55IHRveXNcIilhcyBOb3RfU2Nhbm5lZF9pbl9hcHBcbmZyb20gYSJ9LCJkYXRhYmFzZSI6N30sImRpc3BsYXkiOiJ0YWJsZSIsImRpc3BsYXlJc0xvY2tlZCI6dHJ1ZSwicGFyYW1ldGVycyI6W3siaWQiOiJiNzU5NjFkMy03NzM2LTk4NzMtMTRkOC0wODYyYzhiNzdlMjUiLCJ0eXBlIjoiZGF0ZS9yYW5nZSIsInRhcmdldCI6WyJkaW1lbnNpb24iLFsidGVtcGxhdGUtdGFnIiwiaWRhdGUiXV0sIm5hbWUiOiJJZGF0ZSIsInNsdWciOiJpZGF0ZSIsImRlZmF1bHQiOm51bGx9LHsiaWQiOiJlNzY3YTNiMS1iODcwLTZmN2QtZmRhNy1jNDNkYTYyYTYwNDYiLCJ0eXBlIjoic3RyaW5nLz0iLCJ0YXJnZXQiOlsiZGltZW5zaW9uIixbInRlbXBsYXRlLXRhZyIsImljb3VudHJ5Il1dLCJuYW1lIjoiSWNvdW50cnkiLCJzbHVnIjoiaWNvdW50cnkiLCJkZWZhdWx0IjpudWxsfV0sInZpc3VhbGl6YXRpb25fc2V0dGluZ3MiOnsidGFibGUucGl2b3RfY29sdW1uIjoiRE9XTkxPQURTIiwidGFibGUuY2VsbF9jb2x1bW4iOiJJRCIsImNhcmQudGl0bGUiOiJRUiBzY2FucyAoaW50ZXJuYWwvZXh0ZXJuYWwgdG8gdGhlIGFwcCkgYW5kIHRoZSBkb3dubG9hZCBjb252ZXJzaW9uIGJ5IGlkZW50X2lkIiwiY29sdW1uX3NldHRpbmdzIjp7IltcIm5hbWVcIixcIkNPTlZFUlNJT05cIl0iOnsibnVtYmVyX3N0eWxlIjoicGVyY2VudCJ9LCJbXCJuYW1lXCIsXCJDb252ZXJzaW9uICglKVwiXSI6eyJudW1iZXJfc3R5bGUiOiJwZXJjZW50In0sIltcIm5hbWVcIixcIkNvbnZlcnNpb24gKCUpKVwiXSI6eyJudW1iZXJfc3R5bGUiOiJwZXJjZW50In19fSwib3JpZ2luYWxfY2FyZF9pZCI6MjI5N30=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Must be correct since it is provided by Apple Dashboard normaly;
I think it is the badpage at qr.kinder.com that is also correct, but I suppose Akamai get it in cache and serve to the client instead going to MISS and get it on AWS - TBC</t>
        </r>
      </text>
    </comment>
    <comment ref="G100" authorId="0" shapeId="0">
      <text>
        <r>
          <rPr>
            <b/>
            <sz val="9"/>
            <color indexed="81"/>
            <rFont val="Tahoma"/>
            <family val="2"/>
          </rPr>
          <t>Must be correct since it is provided by Apple Dashboard normaly;
I think it is the badpage at qr.kinder.com that is also correct, but I suppose Akamai get it in cache and serve to the client instead going to MISS and get it on AWS - TBC</t>
        </r>
      </text>
    </comment>
  </commentList>
</comments>
</file>

<file path=xl/comments3.xml><?xml version="1.0" encoding="utf-8"?>
<comments xmlns="http://schemas.openxmlformats.org/spreadsheetml/2006/main">
  <authors>
    <author>Laurent Le</author>
  </authors>
  <commentList>
    <comment ref="F118" authorId="0" shapeId="0">
      <text>
        <r>
          <rPr>
            <b/>
            <sz val="9"/>
            <color indexed="81"/>
            <rFont val="Tahoma"/>
            <family val="2"/>
          </rPr>
          <t xml:space="preserve">for simplication reusie the sane NEW as Android below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F124" authorId="0" shapeId="0">
      <text>
        <r>
          <rPr>
            <b/>
            <sz val="9"/>
            <color indexed="81"/>
            <rFont val="Tahoma"/>
            <family val="2"/>
          </rPr>
          <t>Google API provide only ALL USERS and not NEW USER data for download.
On the Google Dashboard it shoe for NEW USER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  <author>Laurent Le</author>
  </authors>
  <commentList>
    <comment ref="G116" authorId="0" shapeId="0">
      <text>
        <r>
          <rPr>
            <b/>
            <sz val="10"/>
            <color indexed="81"/>
            <rFont val="Calibri"/>
            <family val="2"/>
          </rPr>
          <t>https://appstoreconnect.apple.com/analytics/app/r:20210301:20220228/1476035637/metrics?annotationsVisible=true&amp;chartType=singleaxis&amp;dimensionFilters=storefront%7C143487%7CRomania&amp;measureKey=pageViewCount&amp;zoomType=dayr: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 xml:space="preserve">for simplication reusie the sane NEW as Android below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8" authorId="0" shapeId="0">
      <text>
        <r>
          <rPr>
            <b/>
            <sz val="10"/>
            <color indexed="81"/>
            <rFont val="Calibri"/>
            <family val="2"/>
          </rPr>
          <t>https://appstoreconnect.apple.com/analytics/app/r:20210301:20220228/1476035637/metrics?annotationsVisible=true&amp;chartType=singleaxis&amp;dimensionFilters=storefront%7C143487%7CRomania&amp;groupDimensionKey=source&amp;measureKey=totalDownloads&amp;zoomType=day</t>
        </r>
      </text>
    </comment>
    <comment ref="G123" authorId="0" shapeId="0">
      <text>
        <r>
          <rPr>
            <b/>
            <sz val="10"/>
            <color indexed="81"/>
            <rFont val="Calibri"/>
            <family val="2"/>
          </rPr>
          <t>https://appstoreconnect.apple.com/analytics/app/r:20210301:20220228/1476035637/metrics?annotationsVisible=true&amp;chartType=singleaxis&amp;dimensionFilters=storefront%7C143487%7CRomania&amp;groupDimensionKey=source&amp;measureKey=units&amp;zoomType=day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Google API provide only ALL USERS and not NEW USER data for download.
On the Google Dashboard it shoe for NEW USER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  <author>Laurent Le</author>
  </authors>
  <commentList>
    <comment ref="G116" authorId="0" shapeId="0">
      <text>
        <r>
          <rPr>
            <b/>
            <sz val="10"/>
            <color indexed="81"/>
            <rFont val="Calibri"/>
            <family val="2"/>
          </rPr>
          <t>https://appstoreconnect.apple.com/analytics/app/r:20210301:20220228/1476035637/metrics?annotationsVisible=true&amp;chartType=singleaxis&amp;dimensionFilters=storefront%7C143487%7CRomania&amp;measureKey=pageViewCount&amp;zoomType=dayr: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 xml:space="preserve">for simplication reusie the sane NEW as Android below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8" authorId="0" shapeId="0">
      <text>
        <r>
          <rPr>
            <b/>
            <sz val="10"/>
            <color indexed="81"/>
            <rFont val="Calibri"/>
            <family val="2"/>
          </rPr>
          <t>https://appstoreconnect.apple.com/analytics/app/r:20210301:20220228/1476035637/metrics?annotationsVisible=true&amp;chartType=singleaxis&amp;dimensionFilters=storefront%7C143487%7CRomania&amp;groupDimensionKey=source&amp;measureKey=totalDownloads&amp;zoomType=day</t>
        </r>
      </text>
    </comment>
    <comment ref="G123" authorId="0" shapeId="0">
      <text>
        <r>
          <rPr>
            <b/>
            <sz val="10"/>
            <color indexed="81"/>
            <rFont val="Calibri"/>
            <family val="2"/>
          </rPr>
          <t>https://appstoreconnect.apple.com/analytics/app/r:20210301:20220228/1476035637/metrics?annotationsVisible=true&amp;chartType=singleaxis&amp;dimensionFilters=storefront%7C143487%7CRomania&amp;groupDimensionKey=source&amp;measureKey=units&amp;zoomType=day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Google API provide only ALL USERS and not NEW USER data for download.
On the Google Dashboard it shoe for NEW USER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  <author>Laurent Le</author>
  </authors>
  <commentList>
    <comment ref="G116" authorId="0" shapeId="0">
      <text>
        <r>
          <rPr>
            <b/>
            <sz val="10"/>
            <color indexed="81"/>
            <rFont val="Calibri"/>
            <family val="2"/>
          </rPr>
          <t>https://appstoreconnect.apple.com/analytics/app/r:20210301:20220228/1476035637/metrics?annotationsVisible=true&amp;chartType=singleaxis&amp;dimensionFilters=storefront%7C143469%7CRussia&amp;measureKey=pageViewCount&amp;zoomType=day</t>
        </r>
      </text>
    </comment>
    <comment ref="G117" authorId="0" shapeId="0">
      <text>
        <r>
          <rPr>
            <b/>
            <sz val="10"/>
            <color indexed="81"/>
            <rFont val="Calibri"/>
            <family val="2"/>
          </rPr>
          <t>https://appstoreconnect.apple.com/analytics/app/r:20210301:20220228/1476035637/metrics?annotationsVisible=true&amp;chartType=singleaxis&amp;dimensionFilters=storefront%7C143469%7CRussia&amp;groupDimensionKey=source&amp;measureKey=pageViewCount&amp;zoomType=day</t>
        </r>
      </text>
    </comment>
    <comment ref="F118" authorId="1" shapeId="0">
      <text>
        <r>
          <rPr>
            <b/>
            <sz val="9"/>
            <color indexed="81"/>
            <rFont val="Tahoma"/>
            <family val="2"/>
          </rPr>
          <t xml:space="preserve">for simplication reusie the sane NEW as Android below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G118" authorId="0" shapeId="0">
      <text>
        <r>
          <rPr>
            <b/>
            <sz val="10"/>
            <color indexed="81"/>
            <rFont val="Calibri"/>
            <family val="2"/>
          </rPr>
          <t>https://appstoreconnect.apple.com/analytics/app/r:20210301:20220228/1476035637/metrics?annotationsVisible=true&amp;chartType=singleaxis&amp;dimensionFilters=storefront%7C143469%7CRussia&amp;groupDimensionKey=source&amp;measureKey=totalDownloads&amp;zoomType=day</t>
        </r>
      </text>
    </comment>
    <comment ref="G123" authorId="0" shapeId="0">
      <text>
        <r>
          <rPr>
            <b/>
            <sz val="10"/>
            <color indexed="81"/>
            <rFont val="Calibri"/>
            <family val="2"/>
          </rPr>
          <t>https://appstoreconnect.apple.com/analytics/app/r:20210301:20220228/1476035637/metrics?annotationsVisible=true&amp;chartType=singleaxis&amp;dimensionFilters=storefront%7C143469%7CRussia&amp;groupDimensionKey=source&amp;measureKey=units&amp;zoomType=day</t>
        </r>
      </text>
    </comment>
    <comment ref="F124" authorId="1" shapeId="0">
      <text>
        <r>
          <rPr>
            <b/>
            <sz val="9"/>
            <color indexed="81"/>
            <rFont val="Tahoma"/>
            <family val="2"/>
          </rPr>
          <t>Google API provide only ALL USERS and not NEW USER data for download.
On the Google Dashboard it shoe for NEW USER</t>
        </r>
      </text>
    </comment>
  </commentList>
</comments>
</file>

<file path=xl/comments7.xml><?xml version="1.0" encoding="utf-8"?>
<comments xmlns="http://schemas.openxmlformats.org/spreadsheetml/2006/main">
  <authors>
    <author>Laurent Le</author>
  </authors>
  <commentList>
    <comment ref="F124" authorId="0" shapeId="0">
      <text>
        <r>
          <rPr>
            <b/>
            <sz val="9"/>
            <color indexed="81"/>
            <rFont val="Tahoma"/>
            <family val="2"/>
          </rPr>
          <t>Google API provide only ALL USERS and not NEW USER data for download.
On the Google Dashboard it shoe for NEW USER</t>
        </r>
      </text>
    </comment>
  </commentList>
</comments>
</file>

<file path=xl/sharedStrings.xml><?xml version="1.0" encoding="utf-8"?>
<sst xmlns="http://schemas.openxmlformats.org/spreadsheetml/2006/main" count="5043" uniqueCount="2657">
  <si>
    <t>Utm Medium</t>
  </si>
  <si>
    <t>(not%20set)</t>
  </si>
  <si>
    <t>CAMPAIGN_B</t>
  </si>
  <si>
    <t>DIRECT</t>
  </si>
  <si>
    <t>KRC_DIRECT</t>
  </si>
  <si>
    <t>LEAFLET_A</t>
  </si>
  <si>
    <t>LEAFLET_B</t>
  </si>
  <si>
    <t>MINIGAME</t>
  </si>
  <si>
    <t>N/A</t>
  </si>
  <si>
    <t>POS_A</t>
  </si>
  <si>
    <t>WishList</t>
  </si>
  <si>
    <t>banner</t>
  </si>
  <si>
    <t>organic</t>
  </si>
  <si>
    <t>Android</t>
  </si>
  <si>
    <t>iOS</t>
  </si>
  <si>
    <t>AppInChina</t>
  </si>
  <si>
    <t>ORGANIC</t>
  </si>
  <si>
    <t>All traffic sources</t>
  </si>
  <si>
    <t>Third-party referrals</t>
  </si>
  <si>
    <t>Google Play search</t>
  </si>
  <si>
    <t>Google Play explore</t>
  </si>
  <si>
    <t>All</t>
  </si>
  <si>
    <t>Store</t>
  </si>
  <si>
    <t>Source</t>
  </si>
  <si>
    <t>qr.kinder.com</t>
  </si>
  <si>
    <t>number of click or scan from qr.kinder.com</t>
  </si>
  <si>
    <t>QR.KINDER.COM (click/scan)</t>
  </si>
  <si>
    <t>Download</t>
  </si>
  <si>
    <t>ETS dashboard 14</t>
  </si>
  <si>
    <t>Samsung</t>
  </si>
  <si>
    <t>https://dashboard.applaydu.com/question/249-total-downloads?idate=2022-01-01~2022-12-31</t>
  </si>
  <si>
    <t>Store listing</t>
  </si>
  <si>
    <t>Store acquisition</t>
  </si>
  <si>
    <t>ETS</t>
  </si>
  <si>
    <t>UserID (anonymousID)</t>
  </si>
  <si>
    <t>for iOS, the download is based on "user account" and not on device</t>
  </si>
  <si>
    <t>Description/Comments</t>
  </si>
  <si>
    <t>anonymousID generated per device after installation the app</t>
  </si>
  <si>
    <t>Install_referral tracking</t>
  </si>
  <si>
    <t>UTM_MEDIUM distribution install_referral</t>
  </si>
  <si>
    <t xml:space="preserve">Leaflet Download </t>
  </si>
  <si>
    <t>Leaflet Download follow by 1 scan toy at least</t>
  </si>
  <si>
    <t>number of user that download App using the  Applaydu MPGCODE  Leaflet -  DIRECT (filter by the list of MPGCODE) + LEAFLET_B</t>
  </si>
  <si>
    <t>number of user that download App using the  Applaydu MPGCODE  Leaflet -  DIRECT (filter by the list of MPGCODE) + LEAFLET_B - and has scan at least 1 toys</t>
  </si>
  <si>
    <t>Buyers</t>
  </si>
  <si>
    <t>Buyers are user that has bought the product that has Applaydu MPGCODE Leaflet</t>
  </si>
  <si>
    <t>Buyers non toys scan</t>
  </si>
  <si>
    <t>Buyers are user that has bought the product that has Applaydu MPGCODE Leaflet, but never scan toys</t>
  </si>
  <si>
    <t>% buyers non toys scan / QR scan</t>
  </si>
  <si>
    <t>% buyers / QR scan</t>
  </si>
  <si>
    <t>% based on leaflet download</t>
  </si>
  <si>
    <t>%  between the user who has scan at least one toys after downloading the App using the Applaydu MPGCODE Leaflet</t>
  </si>
  <si>
    <t>% based on number of QR scan</t>
  </si>
  <si>
    <t>all</t>
  </si>
  <si>
    <t>Leaflet Scan</t>
  </si>
  <si>
    <t>qr.kinder.com (CMS)</t>
  </si>
  <si>
    <t>Buyers are user that has install the application from the POS QR scan, and later, bought the product, start the app but never scan at least 1 toys</t>
  </si>
  <si>
    <t>Buyers are user that has install the application from the Magic Link QR link, and later, bought the product, start the app but never scan at least 1 toys</t>
  </si>
  <si>
    <t>APD02</t>
  </si>
  <si>
    <t>APD100</t>
  </si>
  <si>
    <t>APD1002</t>
  </si>
  <si>
    <t>APD1003</t>
  </si>
  <si>
    <t>APD1004</t>
  </si>
  <si>
    <t>APD1005</t>
  </si>
  <si>
    <t>APD1006</t>
  </si>
  <si>
    <t>APD1007</t>
  </si>
  <si>
    <t>APD1008</t>
  </si>
  <si>
    <t>APD1009</t>
  </si>
  <si>
    <t>APD1010</t>
  </si>
  <si>
    <t>APD1011</t>
  </si>
  <si>
    <t>APD1012</t>
  </si>
  <si>
    <t>APD1013</t>
  </si>
  <si>
    <t>APD1014</t>
  </si>
  <si>
    <t>APD1015</t>
  </si>
  <si>
    <t>APD1016</t>
  </si>
  <si>
    <t>APD1017</t>
  </si>
  <si>
    <t>APD102</t>
  </si>
  <si>
    <t>APD109</t>
  </si>
  <si>
    <t>APD111</t>
  </si>
  <si>
    <t>APD113</t>
  </si>
  <si>
    <t>APD114</t>
  </si>
  <si>
    <t>APD115</t>
  </si>
  <si>
    <t>APD119</t>
  </si>
  <si>
    <t>APD121</t>
  </si>
  <si>
    <t>APD124</t>
  </si>
  <si>
    <t>APD125</t>
  </si>
  <si>
    <t>APD126</t>
  </si>
  <si>
    <t>APD128</t>
  </si>
  <si>
    <t>APD129</t>
  </si>
  <si>
    <t>APD130</t>
  </si>
  <si>
    <t>APD131</t>
  </si>
  <si>
    <t>APD132</t>
  </si>
  <si>
    <t>APD133</t>
  </si>
  <si>
    <t>APD134</t>
  </si>
  <si>
    <t>APD135</t>
  </si>
  <si>
    <t>APD136</t>
  </si>
  <si>
    <t>APD137</t>
  </si>
  <si>
    <t>APD138</t>
  </si>
  <si>
    <t>APD139</t>
  </si>
  <si>
    <t>APD141</t>
  </si>
  <si>
    <t>APD142</t>
  </si>
  <si>
    <t>APD143</t>
  </si>
  <si>
    <t>APD144</t>
  </si>
  <si>
    <t>APD145</t>
  </si>
  <si>
    <t>APD146</t>
  </si>
  <si>
    <t>APD147</t>
  </si>
  <si>
    <t>APD148</t>
  </si>
  <si>
    <t>APD151</t>
  </si>
  <si>
    <t>APD152</t>
  </si>
  <si>
    <t>APD153</t>
  </si>
  <si>
    <t>APD154</t>
  </si>
  <si>
    <t>APD155</t>
  </si>
  <si>
    <t>APD156</t>
  </si>
  <si>
    <t>APD157</t>
  </si>
  <si>
    <t>APD158</t>
  </si>
  <si>
    <t>APD159</t>
  </si>
  <si>
    <t>APD160</t>
  </si>
  <si>
    <t>APD161</t>
  </si>
  <si>
    <t>APD162</t>
  </si>
  <si>
    <t>APD163</t>
  </si>
  <si>
    <t>APD164</t>
  </si>
  <si>
    <t>APD165</t>
  </si>
  <si>
    <t>APD166</t>
  </si>
  <si>
    <t>APD167</t>
  </si>
  <si>
    <t>APD168</t>
  </si>
  <si>
    <t>APD169</t>
  </si>
  <si>
    <t>APD170</t>
  </si>
  <si>
    <t>APD171</t>
  </si>
  <si>
    <t>APD172</t>
  </si>
  <si>
    <t>APD173</t>
  </si>
  <si>
    <t>APD174</t>
  </si>
  <si>
    <t>APD175</t>
  </si>
  <si>
    <t>APD176</t>
  </si>
  <si>
    <t>APD177</t>
  </si>
  <si>
    <t>APD178</t>
  </si>
  <si>
    <t>APD179</t>
  </si>
  <si>
    <t>APD181</t>
  </si>
  <si>
    <t>APD182</t>
  </si>
  <si>
    <t>APD183</t>
  </si>
  <si>
    <t>APD184</t>
  </si>
  <si>
    <t>APD185</t>
  </si>
  <si>
    <t>APD186</t>
  </si>
  <si>
    <t>APD187</t>
  </si>
  <si>
    <t>APD188</t>
  </si>
  <si>
    <t>APD189</t>
  </si>
  <si>
    <t>APD190</t>
  </si>
  <si>
    <t>APD191</t>
  </si>
  <si>
    <t>APD192</t>
  </si>
  <si>
    <t>APD197</t>
  </si>
  <si>
    <t>APD198</t>
  </si>
  <si>
    <t>APD199</t>
  </si>
  <si>
    <t>APD200</t>
  </si>
  <si>
    <t>APD201</t>
  </si>
  <si>
    <t>APD202</t>
  </si>
  <si>
    <t>APD67</t>
  </si>
  <si>
    <t>APD68</t>
  </si>
  <si>
    <t>APD69</t>
  </si>
  <si>
    <t>APD70</t>
  </si>
  <si>
    <t>APDC2173</t>
  </si>
  <si>
    <t>APDPOS</t>
  </si>
  <si>
    <t>any Cxxxx where xxxx is a NUMBER</t>
  </si>
  <si>
    <t>IdentID for POS detection</t>
  </si>
  <si>
    <t>IdentID for Campaign B detection</t>
  </si>
  <si>
    <t>APD_S_VV029</t>
  </si>
  <si>
    <t>APD_S_VV100</t>
  </si>
  <si>
    <t>APD_S_VV114</t>
  </si>
  <si>
    <t>APD_S_VV126</t>
  </si>
  <si>
    <t>APD_S_VV145</t>
  </si>
  <si>
    <t>APD_S_VV148</t>
  </si>
  <si>
    <t>APD_S_VV158</t>
  </si>
  <si>
    <t>APD_S_VV193</t>
  </si>
  <si>
    <t>APD01</t>
  </si>
  <si>
    <t>APD03</t>
  </si>
  <si>
    <t>APD04</t>
  </si>
  <si>
    <t>APD05</t>
  </si>
  <si>
    <t>APD06</t>
  </si>
  <si>
    <t>APD07</t>
  </si>
  <si>
    <t>APD08</t>
  </si>
  <si>
    <t>APD09</t>
  </si>
  <si>
    <t>APD10</t>
  </si>
  <si>
    <t>APD103</t>
  </si>
  <si>
    <t>APD104</t>
  </si>
  <si>
    <t>APD105</t>
  </si>
  <si>
    <t>APD106</t>
  </si>
  <si>
    <t>APD107</t>
  </si>
  <si>
    <t>APD108</t>
  </si>
  <si>
    <t>APD11</t>
  </si>
  <si>
    <t>APD110</t>
  </si>
  <si>
    <t>APD112</t>
  </si>
  <si>
    <t>APD116</t>
  </si>
  <si>
    <t>APD117</t>
  </si>
  <si>
    <t>APD118</t>
  </si>
  <si>
    <t>APD12</t>
  </si>
  <si>
    <t>APD120</t>
  </si>
  <si>
    <t>APD122</t>
  </si>
  <si>
    <t>APD123</t>
  </si>
  <si>
    <t>APD127</t>
  </si>
  <si>
    <t>APD13</t>
  </si>
  <si>
    <t>APD14</t>
  </si>
  <si>
    <t>APD140</t>
  </si>
  <si>
    <t>APD149</t>
  </si>
  <si>
    <t>APD15</t>
  </si>
  <si>
    <t>APD150</t>
  </si>
  <si>
    <t>APD16</t>
  </si>
  <si>
    <t>APD17</t>
  </si>
  <si>
    <t>APD18</t>
  </si>
  <si>
    <t>APD180</t>
  </si>
  <si>
    <t>APD19</t>
  </si>
  <si>
    <t>APD20</t>
  </si>
  <si>
    <t>APD208</t>
  </si>
  <si>
    <t>APD21</t>
  </si>
  <si>
    <t>APD210</t>
  </si>
  <si>
    <t>APD212</t>
  </si>
  <si>
    <t>APD213</t>
  </si>
  <si>
    <t>APD214</t>
  </si>
  <si>
    <t>APD215</t>
  </si>
  <si>
    <t>APD216</t>
  </si>
  <si>
    <t>APD217</t>
  </si>
  <si>
    <t>APD218</t>
  </si>
  <si>
    <t>APD219</t>
  </si>
  <si>
    <t>APD22</t>
  </si>
  <si>
    <t>APD220</t>
  </si>
  <si>
    <t>APD221</t>
  </si>
  <si>
    <t>APD222</t>
  </si>
  <si>
    <t>APD224</t>
  </si>
  <si>
    <t>APD225</t>
  </si>
  <si>
    <t>APD226</t>
  </si>
  <si>
    <t>APD23</t>
  </si>
  <si>
    <t>APD24</t>
  </si>
  <si>
    <t>APD25</t>
  </si>
  <si>
    <t>APD26</t>
  </si>
  <si>
    <t>APD27</t>
  </si>
  <si>
    <t>APD28</t>
  </si>
  <si>
    <t>APD29</t>
  </si>
  <si>
    <t>APD30</t>
  </si>
  <si>
    <t>APD31</t>
  </si>
  <si>
    <t>APD32</t>
  </si>
  <si>
    <t>APD33</t>
  </si>
  <si>
    <t>APD34</t>
  </si>
  <si>
    <t>APD35</t>
  </si>
  <si>
    <t>APD36</t>
  </si>
  <si>
    <t>APD37</t>
  </si>
  <si>
    <t>APD38</t>
  </si>
  <si>
    <t>APD39</t>
  </si>
  <si>
    <t>APD40</t>
  </si>
  <si>
    <t>APD41</t>
  </si>
  <si>
    <t>APD42</t>
  </si>
  <si>
    <t>APD43</t>
  </si>
  <si>
    <t>APD44</t>
  </si>
  <si>
    <t>APD45</t>
  </si>
  <si>
    <t>APD46</t>
  </si>
  <si>
    <t>APD47</t>
  </si>
  <si>
    <t>APD48</t>
  </si>
  <si>
    <t>APD49</t>
  </si>
  <si>
    <t>APD50</t>
  </si>
  <si>
    <t>APD51</t>
  </si>
  <si>
    <t>APD52</t>
  </si>
  <si>
    <t>APD53</t>
  </si>
  <si>
    <t>APD54</t>
  </si>
  <si>
    <t>APD55</t>
  </si>
  <si>
    <t>APD56</t>
  </si>
  <si>
    <t>APD57</t>
  </si>
  <si>
    <t>APD58</t>
  </si>
  <si>
    <t>APD59</t>
  </si>
  <si>
    <t>APD60</t>
  </si>
  <si>
    <t>APD61</t>
  </si>
  <si>
    <t>APD63</t>
  </si>
  <si>
    <t>APD64</t>
  </si>
  <si>
    <t>APD65</t>
  </si>
  <si>
    <t>APD71</t>
  </si>
  <si>
    <t>APD72</t>
  </si>
  <si>
    <t>APD73</t>
  </si>
  <si>
    <t>APD74</t>
  </si>
  <si>
    <t>APD75</t>
  </si>
  <si>
    <t>APD76</t>
  </si>
  <si>
    <t>APD77</t>
  </si>
  <si>
    <t>APD78</t>
  </si>
  <si>
    <t>APD79</t>
  </si>
  <si>
    <t>APD80</t>
  </si>
  <si>
    <t>APD81</t>
  </si>
  <si>
    <t>APD82</t>
  </si>
  <si>
    <t>APD83</t>
  </si>
  <si>
    <t>APD84</t>
  </si>
  <si>
    <t>APD85</t>
  </si>
  <si>
    <t>APD86</t>
  </si>
  <si>
    <t>APD87</t>
  </si>
  <si>
    <t>APD88</t>
  </si>
  <si>
    <t>APD89</t>
  </si>
  <si>
    <t>APD90</t>
  </si>
  <si>
    <t>APD91</t>
  </si>
  <si>
    <t>APD92</t>
  </si>
  <si>
    <t>APD93</t>
  </si>
  <si>
    <t>APD94</t>
  </si>
  <si>
    <t>APD95</t>
  </si>
  <si>
    <t>APD96</t>
  </si>
  <si>
    <t>APD97</t>
  </si>
  <si>
    <t>APD98</t>
  </si>
  <si>
    <t>APD99</t>
  </si>
  <si>
    <t>C210</t>
  </si>
  <si>
    <t>IdentId for LEAFLET (including LEAFLET_B)</t>
  </si>
  <si>
    <t>DV014A</t>
  </si>
  <si>
    <t>DV015</t>
  </si>
  <si>
    <t>DV015A</t>
  </si>
  <si>
    <t>DV022</t>
  </si>
  <si>
    <t>DV023</t>
  </si>
  <si>
    <t>DV024</t>
  </si>
  <si>
    <t>DV051</t>
  </si>
  <si>
    <t>DV109</t>
  </si>
  <si>
    <t>DV138</t>
  </si>
  <si>
    <t>DV139</t>
  </si>
  <si>
    <t>DV139B</t>
  </si>
  <si>
    <t>DV174</t>
  </si>
  <si>
    <t>DV174B</t>
  </si>
  <si>
    <t>DV232</t>
  </si>
  <si>
    <t>DV233</t>
  </si>
  <si>
    <t>DV234</t>
  </si>
  <si>
    <t>DV238B</t>
  </si>
  <si>
    <t>DV250</t>
  </si>
  <si>
    <t>DV255</t>
  </si>
  <si>
    <t>DV258</t>
  </si>
  <si>
    <t>DV272</t>
  </si>
  <si>
    <t>DV273A</t>
  </si>
  <si>
    <t>DV282</t>
  </si>
  <si>
    <t>DV318</t>
  </si>
  <si>
    <t>DV334</t>
  </si>
  <si>
    <t>DV362A</t>
  </si>
  <si>
    <t>DV362C</t>
  </si>
  <si>
    <t>DV362D</t>
  </si>
  <si>
    <t>DV378A</t>
  </si>
  <si>
    <t>DV395</t>
  </si>
  <si>
    <t>DV396</t>
  </si>
  <si>
    <t>DV397</t>
  </si>
  <si>
    <t>DV398</t>
  </si>
  <si>
    <t>DV399</t>
  </si>
  <si>
    <t>DV400</t>
  </si>
  <si>
    <t>DV401</t>
  </si>
  <si>
    <t>DV402</t>
  </si>
  <si>
    <t>DV433</t>
  </si>
  <si>
    <t>DV434</t>
  </si>
  <si>
    <t>DV435</t>
  </si>
  <si>
    <t>DV436</t>
  </si>
  <si>
    <t>DV437</t>
  </si>
  <si>
    <t>DV438</t>
  </si>
  <si>
    <t>DV439</t>
  </si>
  <si>
    <t>DV440</t>
  </si>
  <si>
    <t>DV442A</t>
  </si>
  <si>
    <t>DV442C</t>
  </si>
  <si>
    <t>DV442D</t>
  </si>
  <si>
    <t>DV443A</t>
  </si>
  <si>
    <t>DV443C</t>
  </si>
  <si>
    <t>DV443D</t>
  </si>
  <si>
    <t>DV457</t>
  </si>
  <si>
    <t>DV457A</t>
  </si>
  <si>
    <t>DV460B</t>
  </si>
  <si>
    <t>DV460G</t>
  </si>
  <si>
    <t>DV460H</t>
  </si>
  <si>
    <t>DV475B</t>
  </si>
  <si>
    <t>DV475C</t>
  </si>
  <si>
    <t>DV499</t>
  </si>
  <si>
    <t>DV499A</t>
  </si>
  <si>
    <t>DV506</t>
  </si>
  <si>
    <t>DV507</t>
  </si>
  <si>
    <t>DV508</t>
  </si>
  <si>
    <t>DV509</t>
  </si>
  <si>
    <t>DV510</t>
  </si>
  <si>
    <t>DV511</t>
  </si>
  <si>
    <t>DV512</t>
  </si>
  <si>
    <t>DV521</t>
  </si>
  <si>
    <t>DV522A</t>
  </si>
  <si>
    <t>DV522C</t>
  </si>
  <si>
    <t>DV532A</t>
  </si>
  <si>
    <t>DV542A</t>
  </si>
  <si>
    <t>DV542C</t>
  </si>
  <si>
    <t>DV547</t>
  </si>
  <si>
    <t>DV547A</t>
  </si>
  <si>
    <t>DV547C</t>
  </si>
  <si>
    <t>DV547D</t>
  </si>
  <si>
    <t>DV547E</t>
  </si>
  <si>
    <t>DV547H</t>
  </si>
  <si>
    <t>DV560B</t>
  </si>
  <si>
    <t>DV560C</t>
  </si>
  <si>
    <t>DV560D</t>
  </si>
  <si>
    <t>DV560E</t>
  </si>
  <si>
    <t>DV560F</t>
  </si>
  <si>
    <t>DV575</t>
  </si>
  <si>
    <t>DV576</t>
  </si>
  <si>
    <t>DV577</t>
  </si>
  <si>
    <t>DV578</t>
  </si>
  <si>
    <t>DV579</t>
  </si>
  <si>
    <t>DV580</t>
  </si>
  <si>
    <t>DV581</t>
  </si>
  <si>
    <t>DV582</t>
  </si>
  <si>
    <t>DV597</t>
  </si>
  <si>
    <t>DV598</t>
  </si>
  <si>
    <t>DV599</t>
  </si>
  <si>
    <t>DV600</t>
  </si>
  <si>
    <t>DV601</t>
  </si>
  <si>
    <t>DV602</t>
  </si>
  <si>
    <t>DV603</t>
  </si>
  <si>
    <t>DV604</t>
  </si>
  <si>
    <t>DVA02</t>
  </si>
  <si>
    <t>DVA03</t>
  </si>
  <si>
    <t>DVA04</t>
  </si>
  <si>
    <t>DVA05</t>
  </si>
  <si>
    <t>DVA06</t>
  </si>
  <si>
    <t>DVA07</t>
  </si>
  <si>
    <t>DVB21</t>
  </si>
  <si>
    <t>DVB22</t>
  </si>
  <si>
    <t>DVB23</t>
  </si>
  <si>
    <t>DVB24</t>
  </si>
  <si>
    <t>DVB25</t>
  </si>
  <si>
    <t>DVB26</t>
  </si>
  <si>
    <t>DVB27</t>
  </si>
  <si>
    <t>DVD06A</t>
  </si>
  <si>
    <t>DVD23A</t>
  </si>
  <si>
    <t>DVD24A</t>
  </si>
  <si>
    <t>DVD25A</t>
  </si>
  <si>
    <t>DVD26A</t>
  </si>
  <si>
    <t>DVE09A</t>
  </si>
  <si>
    <t>DVE10A</t>
  </si>
  <si>
    <t>DVE12A</t>
  </si>
  <si>
    <t>DVE13</t>
  </si>
  <si>
    <t>DVE14</t>
  </si>
  <si>
    <t>DVE15</t>
  </si>
  <si>
    <t>DVE16</t>
  </si>
  <si>
    <t>DVE17</t>
  </si>
  <si>
    <t>DVE18</t>
  </si>
  <si>
    <t>DVE19</t>
  </si>
  <si>
    <t>DVE20</t>
  </si>
  <si>
    <t>EN042</t>
  </si>
  <si>
    <t>EN043</t>
  </si>
  <si>
    <t>EN130</t>
  </si>
  <si>
    <t>EN147A</t>
  </si>
  <si>
    <t>EN266A</t>
  </si>
  <si>
    <t>EN266B</t>
  </si>
  <si>
    <t>EN266C</t>
  </si>
  <si>
    <t>EN296B</t>
  </si>
  <si>
    <t>EN298C</t>
  </si>
  <si>
    <t>EN301I</t>
  </si>
  <si>
    <t>EN301J</t>
  </si>
  <si>
    <t>EN301K</t>
  </si>
  <si>
    <t>EN301L</t>
  </si>
  <si>
    <t>EN348C</t>
  </si>
  <si>
    <t>EN349A</t>
  </si>
  <si>
    <t>EN373</t>
  </si>
  <si>
    <t>EN374</t>
  </si>
  <si>
    <t>EN375A</t>
  </si>
  <si>
    <t>EN378</t>
  </si>
  <si>
    <t>EN390</t>
  </si>
  <si>
    <t>EN391</t>
  </si>
  <si>
    <t>EN392</t>
  </si>
  <si>
    <t>EN393A</t>
  </si>
  <si>
    <t>EN394</t>
  </si>
  <si>
    <t>EN399</t>
  </si>
  <si>
    <t>EN399B</t>
  </si>
  <si>
    <t>EN401A</t>
  </si>
  <si>
    <t>EN403A</t>
  </si>
  <si>
    <t>EN410</t>
  </si>
  <si>
    <t>EN413A</t>
  </si>
  <si>
    <t>EN415A</t>
  </si>
  <si>
    <t>EN416A</t>
  </si>
  <si>
    <t>EN423</t>
  </si>
  <si>
    <t>EN424A</t>
  </si>
  <si>
    <t>EN427A</t>
  </si>
  <si>
    <t>EN428A</t>
  </si>
  <si>
    <t>EN429A</t>
  </si>
  <si>
    <t>EN430</t>
  </si>
  <si>
    <t>EN500A</t>
  </si>
  <si>
    <t>EN525</t>
  </si>
  <si>
    <t>EN526</t>
  </si>
  <si>
    <t>EN527</t>
  </si>
  <si>
    <t>EN528</t>
  </si>
  <si>
    <t>EN529</t>
  </si>
  <si>
    <t>EN530</t>
  </si>
  <si>
    <t>EN531</t>
  </si>
  <si>
    <t>EN532</t>
  </si>
  <si>
    <t>EN533</t>
  </si>
  <si>
    <t>EN534</t>
  </si>
  <si>
    <t>EN537</t>
  </si>
  <si>
    <t>EN539A</t>
  </si>
  <si>
    <t>EN539B</t>
  </si>
  <si>
    <t>EN539D</t>
  </si>
  <si>
    <t>EN539E</t>
  </si>
  <si>
    <t>EN539G</t>
  </si>
  <si>
    <t>EN539H</t>
  </si>
  <si>
    <t>EN543A</t>
  </si>
  <si>
    <t>EN543B</t>
  </si>
  <si>
    <t>EN543D</t>
  </si>
  <si>
    <t>EN549</t>
  </si>
  <si>
    <t>EN551</t>
  </si>
  <si>
    <t>EN552</t>
  </si>
  <si>
    <t>EN554</t>
  </si>
  <si>
    <t>EN555</t>
  </si>
  <si>
    <t>EN556</t>
  </si>
  <si>
    <t>EN571</t>
  </si>
  <si>
    <t>EN596C</t>
  </si>
  <si>
    <t>EN608</t>
  </si>
  <si>
    <t>EN609</t>
  </si>
  <si>
    <t>EN610</t>
  </si>
  <si>
    <t>EN611</t>
  </si>
  <si>
    <t>EN612</t>
  </si>
  <si>
    <t>EN613</t>
  </si>
  <si>
    <t>EN614</t>
  </si>
  <si>
    <t>EN615</t>
  </si>
  <si>
    <t>EN616</t>
  </si>
  <si>
    <t>ENB07A</t>
  </si>
  <si>
    <t>ENB13</t>
  </si>
  <si>
    <t>ENB14</t>
  </si>
  <si>
    <t>ENB15</t>
  </si>
  <si>
    <t>ENB16</t>
  </si>
  <si>
    <t>ENB27</t>
  </si>
  <si>
    <t>ENB28</t>
  </si>
  <si>
    <t>ENB29</t>
  </si>
  <si>
    <t>ENB34A</t>
  </si>
  <si>
    <t>END10A</t>
  </si>
  <si>
    <t>END19</t>
  </si>
  <si>
    <t>END21</t>
  </si>
  <si>
    <t>END22</t>
  </si>
  <si>
    <t>END23</t>
  </si>
  <si>
    <t>FF111M</t>
  </si>
  <si>
    <t>FF111N</t>
  </si>
  <si>
    <t>FF111Q</t>
  </si>
  <si>
    <t>FF111S</t>
  </si>
  <si>
    <t>FF111T</t>
  </si>
  <si>
    <t>FF111W</t>
  </si>
  <si>
    <t>FF111X</t>
  </si>
  <si>
    <t>FF534K</t>
  </si>
  <si>
    <t>FF534L</t>
  </si>
  <si>
    <t>FF534N</t>
  </si>
  <si>
    <t>FS144E</t>
  </si>
  <si>
    <t>FS144F</t>
  </si>
  <si>
    <t>FS577A</t>
  </si>
  <si>
    <t>FS577B</t>
  </si>
  <si>
    <t>SD285A</t>
  </si>
  <si>
    <t>SD289</t>
  </si>
  <si>
    <t>SD560A</t>
  </si>
  <si>
    <t>SD596</t>
  </si>
  <si>
    <t>SD598</t>
  </si>
  <si>
    <t>SD603</t>
  </si>
  <si>
    <t>SD671D</t>
  </si>
  <si>
    <t>SD671E</t>
  </si>
  <si>
    <t>SD672D</t>
  </si>
  <si>
    <t>SD672E</t>
  </si>
  <si>
    <t>SD672I</t>
  </si>
  <si>
    <t>SD672J</t>
  </si>
  <si>
    <t>SDB38</t>
  </si>
  <si>
    <t>SDB39</t>
  </si>
  <si>
    <t>SDB40</t>
  </si>
  <si>
    <t>SDB42</t>
  </si>
  <si>
    <t>SDB44</t>
  </si>
  <si>
    <t>SDD06A</t>
  </si>
  <si>
    <t>SE056A</t>
  </si>
  <si>
    <t>SE173A</t>
  </si>
  <si>
    <t>SE304</t>
  </si>
  <si>
    <t>SE306</t>
  </si>
  <si>
    <t>SE521A</t>
  </si>
  <si>
    <t>SE528L</t>
  </si>
  <si>
    <t>SE528M</t>
  </si>
  <si>
    <t>SE528O</t>
  </si>
  <si>
    <t>SE566A</t>
  </si>
  <si>
    <t>SE574A</t>
  </si>
  <si>
    <t>SE575B</t>
  </si>
  <si>
    <t>SE575C</t>
  </si>
  <si>
    <t>SE575F</t>
  </si>
  <si>
    <t>SE575G</t>
  </si>
  <si>
    <t>SE628</t>
  </si>
  <si>
    <t>SE629</t>
  </si>
  <si>
    <t>SE630</t>
  </si>
  <si>
    <t>SE631</t>
  </si>
  <si>
    <t>SE632</t>
  </si>
  <si>
    <t>SE633</t>
  </si>
  <si>
    <t>SE662N</t>
  </si>
  <si>
    <t>SE662O</t>
  </si>
  <si>
    <t>SE662P</t>
  </si>
  <si>
    <t>SE662Q</t>
  </si>
  <si>
    <t>SE662R</t>
  </si>
  <si>
    <t>SE662S</t>
  </si>
  <si>
    <t>SE662T</t>
  </si>
  <si>
    <t>SE662U</t>
  </si>
  <si>
    <t>SE675</t>
  </si>
  <si>
    <t>SE676</t>
  </si>
  <si>
    <t>SE677</t>
  </si>
  <si>
    <t>SE685</t>
  </si>
  <si>
    <t>SE704</t>
  </si>
  <si>
    <t>SE705</t>
  </si>
  <si>
    <t>SE706</t>
  </si>
  <si>
    <t>SE725A</t>
  </si>
  <si>
    <t>SE753C</t>
  </si>
  <si>
    <t>SE754B</t>
  </si>
  <si>
    <t>SE755C</t>
  </si>
  <si>
    <t>SE755D</t>
  </si>
  <si>
    <t>SE756C</t>
  </si>
  <si>
    <t>SE757B</t>
  </si>
  <si>
    <t>SE758C</t>
  </si>
  <si>
    <t>SE759B</t>
  </si>
  <si>
    <t>SE768A</t>
  </si>
  <si>
    <t>SE771C</t>
  </si>
  <si>
    <t>SE781C</t>
  </si>
  <si>
    <t>SE781D</t>
  </si>
  <si>
    <t>SE785K</t>
  </si>
  <si>
    <t>SE785L</t>
  </si>
  <si>
    <t>SE785M</t>
  </si>
  <si>
    <t>SE789M</t>
  </si>
  <si>
    <t>SE789Q</t>
  </si>
  <si>
    <t>SE790E</t>
  </si>
  <si>
    <t>SE790F</t>
  </si>
  <si>
    <t>SE790G</t>
  </si>
  <si>
    <t>SE794U</t>
  </si>
  <si>
    <t>SEB09</t>
  </si>
  <si>
    <t>SEB10</t>
  </si>
  <si>
    <t>SED17A</t>
  </si>
  <si>
    <t>SED18</t>
  </si>
  <si>
    <t>SED18A</t>
  </si>
  <si>
    <t>Test1</t>
  </si>
  <si>
    <t>VD001</t>
  </si>
  <si>
    <t>VD002</t>
  </si>
  <si>
    <t>VD003</t>
  </si>
  <si>
    <t>VD004</t>
  </si>
  <si>
    <t>VD007</t>
  </si>
  <si>
    <t>VD009</t>
  </si>
  <si>
    <t>VD015</t>
  </si>
  <si>
    <t>VD016</t>
  </si>
  <si>
    <t>VD023</t>
  </si>
  <si>
    <t>VD024</t>
  </si>
  <si>
    <t>VD025</t>
  </si>
  <si>
    <t>VD026</t>
  </si>
  <si>
    <t>VD035</t>
  </si>
  <si>
    <t>VD036</t>
  </si>
  <si>
    <t>VD043</t>
  </si>
  <si>
    <t>VD044</t>
  </si>
  <si>
    <t>VD049</t>
  </si>
  <si>
    <t>VD050</t>
  </si>
  <si>
    <t>VD053</t>
  </si>
  <si>
    <t>VD054</t>
  </si>
  <si>
    <t>VD057</t>
  </si>
  <si>
    <t>VD057A</t>
  </si>
  <si>
    <t>VD058</t>
  </si>
  <si>
    <t>VD058A</t>
  </si>
  <si>
    <t>VD059</t>
  </si>
  <si>
    <t>VD059A</t>
  </si>
  <si>
    <t>VD060</t>
  </si>
  <si>
    <t>VD060A</t>
  </si>
  <si>
    <t>VD067</t>
  </si>
  <si>
    <t>VD068</t>
  </si>
  <si>
    <t>VD071</t>
  </si>
  <si>
    <t>VD072</t>
  </si>
  <si>
    <t>VD077</t>
  </si>
  <si>
    <t>VD077A</t>
  </si>
  <si>
    <t>VD080</t>
  </si>
  <si>
    <t>VD080A</t>
  </si>
  <si>
    <t>VD083</t>
  </si>
  <si>
    <t>VD083A</t>
  </si>
  <si>
    <t>VD084</t>
  </si>
  <si>
    <t>VD085</t>
  </si>
  <si>
    <t>VD093</t>
  </si>
  <si>
    <t>VD093A</t>
  </si>
  <si>
    <t>VD094</t>
  </si>
  <si>
    <t>VD095</t>
  </si>
  <si>
    <t>VD096</t>
  </si>
  <si>
    <t>VD097</t>
  </si>
  <si>
    <t>VD106</t>
  </si>
  <si>
    <t>VD107</t>
  </si>
  <si>
    <t>VD108</t>
  </si>
  <si>
    <t>VD109</t>
  </si>
  <si>
    <t>VD110</t>
  </si>
  <si>
    <t>VD111</t>
  </si>
  <si>
    <t>VD112</t>
  </si>
  <si>
    <t>VD113</t>
  </si>
  <si>
    <t>VD116</t>
  </si>
  <si>
    <t>VD117</t>
  </si>
  <si>
    <t>VD118</t>
  </si>
  <si>
    <t>VD119</t>
  </si>
  <si>
    <t>VD122</t>
  </si>
  <si>
    <t>VD122A</t>
  </si>
  <si>
    <t>VD124</t>
  </si>
  <si>
    <t>VD125</t>
  </si>
  <si>
    <t>VD126</t>
  </si>
  <si>
    <t>VD127</t>
  </si>
  <si>
    <t>VD128</t>
  </si>
  <si>
    <t>VD129</t>
  </si>
  <si>
    <t>VD134</t>
  </si>
  <si>
    <t>VD134A</t>
  </si>
  <si>
    <t>VD135</t>
  </si>
  <si>
    <t>VD138</t>
  </si>
  <si>
    <t>VD139</t>
  </si>
  <si>
    <t>VD140</t>
  </si>
  <si>
    <t>VD141</t>
  </si>
  <si>
    <t>VD142</t>
  </si>
  <si>
    <t>VD143</t>
  </si>
  <si>
    <t>VD144</t>
  </si>
  <si>
    <t>VD144A</t>
  </si>
  <si>
    <t>VD145</t>
  </si>
  <si>
    <t>VD145A</t>
  </si>
  <si>
    <t>VD146</t>
  </si>
  <si>
    <t>VD147</t>
  </si>
  <si>
    <t>VD148</t>
  </si>
  <si>
    <t>VD149</t>
  </si>
  <si>
    <t>VD150</t>
  </si>
  <si>
    <t>VD151</t>
  </si>
  <si>
    <t>VD152</t>
  </si>
  <si>
    <t>VD153</t>
  </si>
  <si>
    <t>VD157</t>
  </si>
  <si>
    <t>VD157A</t>
  </si>
  <si>
    <t>VD158</t>
  </si>
  <si>
    <t>VD159</t>
  </si>
  <si>
    <t>VD160</t>
  </si>
  <si>
    <t>VD161</t>
  </si>
  <si>
    <t>VD163</t>
  </si>
  <si>
    <t>VD164</t>
  </si>
  <si>
    <t>VD165</t>
  </si>
  <si>
    <t>VD166</t>
  </si>
  <si>
    <t>VD167</t>
  </si>
  <si>
    <t>VD167A</t>
  </si>
  <si>
    <t>VD168</t>
  </si>
  <si>
    <t>VD168A</t>
  </si>
  <si>
    <t>VD169</t>
  </si>
  <si>
    <t>VD169A</t>
  </si>
  <si>
    <t>VD175</t>
  </si>
  <si>
    <t>VD175A</t>
  </si>
  <si>
    <t>VD176</t>
  </si>
  <si>
    <t>VD177</t>
  </si>
  <si>
    <t>VD178</t>
  </si>
  <si>
    <t>VD179</t>
  </si>
  <si>
    <t>VD180</t>
  </si>
  <si>
    <t>VD181</t>
  </si>
  <si>
    <t>VD184</t>
  </si>
  <si>
    <t>VD185</t>
  </si>
  <si>
    <t>VD186</t>
  </si>
  <si>
    <t>VD187</t>
  </si>
  <si>
    <t>VD188</t>
  </si>
  <si>
    <t>VD197</t>
  </si>
  <si>
    <t>VD197A</t>
  </si>
  <si>
    <t>VD198</t>
  </si>
  <si>
    <t>VD198A</t>
  </si>
  <si>
    <t>VD199</t>
  </si>
  <si>
    <t>VD200</t>
  </si>
  <si>
    <t>VD204</t>
  </si>
  <si>
    <t>VD205</t>
  </si>
  <si>
    <t>VD207</t>
  </si>
  <si>
    <t>VD208</t>
  </si>
  <si>
    <t>VD209</t>
  </si>
  <si>
    <t>VD210</t>
  </si>
  <si>
    <t>VD213</t>
  </si>
  <si>
    <t>VD214</t>
  </si>
  <si>
    <t>VD215</t>
  </si>
  <si>
    <t>VD216</t>
  </si>
  <si>
    <t>VD217</t>
  </si>
  <si>
    <t>VD218</t>
  </si>
  <si>
    <t>VD219</t>
  </si>
  <si>
    <t>VD219A</t>
  </si>
  <si>
    <t>VD222</t>
  </si>
  <si>
    <t>VD223</t>
  </si>
  <si>
    <t>VD224</t>
  </si>
  <si>
    <t>VD224A</t>
  </si>
  <si>
    <t>VD224B</t>
  </si>
  <si>
    <t>VD224C</t>
  </si>
  <si>
    <t>VD226</t>
  </si>
  <si>
    <t>VD226A</t>
  </si>
  <si>
    <t>VD227</t>
  </si>
  <si>
    <t>VD227A</t>
  </si>
  <si>
    <t>VD227B</t>
  </si>
  <si>
    <t>VD227C</t>
  </si>
  <si>
    <t>VD227E</t>
  </si>
  <si>
    <t>VD227F</t>
  </si>
  <si>
    <t>VD227G</t>
  </si>
  <si>
    <t>VD227H</t>
  </si>
  <si>
    <t>VD227I</t>
  </si>
  <si>
    <t>VD227N</t>
  </si>
  <si>
    <t>VD229</t>
  </si>
  <si>
    <t>VD230</t>
  </si>
  <si>
    <t>VD233</t>
  </si>
  <si>
    <t>VD234</t>
  </si>
  <si>
    <t>VD238</t>
  </si>
  <si>
    <t>VD239</t>
  </si>
  <si>
    <t>VD240</t>
  </si>
  <si>
    <t>VD241</t>
  </si>
  <si>
    <t>VD242</t>
  </si>
  <si>
    <t>VD243</t>
  </si>
  <si>
    <t>VD244</t>
  </si>
  <si>
    <t>VD245</t>
  </si>
  <si>
    <t>VD246</t>
  </si>
  <si>
    <t>VD247</t>
  </si>
  <si>
    <t>VD248</t>
  </si>
  <si>
    <t>VD249</t>
  </si>
  <si>
    <t>VD251</t>
  </si>
  <si>
    <t>VD252</t>
  </si>
  <si>
    <t>VD257</t>
  </si>
  <si>
    <t>VD258</t>
  </si>
  <si>
    <t>VD259</t>
  </si>
  <si>
    <t>VD260</t>
  </si>
  <si>
    <t>VD261</t>
  </si>
  <si>
    <t>VD262</t>
  </si>
  <si>
    <t>VD263</t>
  </si>
  <si>
    <t>VD264</t>
  </si>
  <si>
    <t>VD265</t>
  </si>
  <si>
    <t>VD266</t>
  </si>
  <si>
    <t>VD267</t>
  </si>
  <si>
    <t>VD268</t>
  </si>
  <si>
    <t>VD269</t>
  </si>
  <si>
    <t>VD270</t>
  </si>
  <si>
    <t>VD272</t>
  </si>
  <si>
    <t>VD273</t>
  </si>
  <si>
    <t>VD275</t>
  </si>
  <si>
    <t>VD276</t>
  </si>
  <si>
    <t>VD276A</t>
  </si>
  <si>
    <t>VD277</t>
  </si>
  <si>
    <t>VD278</t>
  </si>
  <si>
    <t>VD278A</t>
  </si>
  <si>
    <t>VD280</t>
  </si>
  <si>
    <t>VD281</t>
  </si>
  <si>
    <t>VD282</t>
  </si>
  <si>
    <t>VD283</t>
  </si>
  <si>
    <t>VD284</t>
  </si>
  <si>
    <t>VD285</t>
  </si>
  <si>
    <t>VD285B</t>
  </si>
  <si>
    <t>VD286</t>
  </si>
  <si>
    <t>VD286C</t>
  </si>
  <si>
    <t>VD287</t>
  </si>
  <si>
    <t>VD288</t>
  </si>
  <si>
    <t>VD289</t>
  </si>
  <si>
    <t>VD290</t>
  </si>
  <si>
    <t>VD291</t>
  </si>
  <si>
    <t>VD292</t>
  </si>
  <si>
    <t>VD293</t>
  </si>
  <si>
    <t>VD293C</t>
  </si>
  <si>
    <t>VD294</t>
  </si>
  <si>
    <t>VD295</t>
  </si>
  <si>
    <t>VD297</t>
  </si>
  <si>
    <t>VD299</t>
  </si>
  <si>
    <t>VD300</t>
  </si>
  <si>
    <t>VD301</t>
  </si>
  <si>
    <t>VD302</t>
  </si>
  <si>
    <t>VD303</t>
  </si>
  <si>
    <t>VD305</t>
  </si>
  <si>
    <t>VD306</t>
  </si>
  <si>
    <t>VD306A</t>
  </si>
  <si>
    <t>VD307</t>
  </si>
  <si>
    <t>VD307A</t>
  </si>
  <si>
    <t>VD308</t>
  </si>
  <si>
    <t>VD309</t>
  </si>
  <si>
    <t>VD310</t>
  </si>
  <si>
    <t>VD340</t>
  </si>
  <si>
    <t>VD341</t>
  </si>
  <si>
    <t>VD342</t>
  </si>
  <si>
    <t>VD343</t>
  </si>
  <si>
    <t>VD344</t>
  </si>
  <si>
    <t>VD345</t>
  </si>
  <si>
    <t>VD346</t>
  </si>
  <si>
    <t>VD347</t>
  </si>
  <si>
    <t>VD348</t>
  </si>
  <si>
    <t>VD349</t>
  </si>
  <si>
    <t>VD350</t>
  </si>
  <si>
    <t>VD351</t>
  </si>
  <si>
    <t>VD352</t>
  </si>
  <si>
    <t>VD353</t>
  </si>
  <si>
    <t>VD354</t>
  </si>
  <si>
    <t>VD358</t>
  </si>
  <si>
    <t>VD361</t>
  </si>
  <si>
    <t>VD362</t>
  </si>
  <si>
    <t>VD362B</t>
  </si>
  <si>
    <t>VD364</t>
  </si>
  <si>
    <t>VD374</t>
  </si>
  <si>
    <t>VD375</t>
  </si>
  <si>
    <t>VD376</t>
  </si>
  <si>
    <t>VD377</t>
  </si>
  <si>
    <t>VD378</t>
  </si>
  <si>
    <t>VD379</t>
  </si>
  <si>
    <t>VD380</t>
  </si>
  <si>
    <t>VD381</t>
  </si>
  <si>
    <t>VD384</t>
  </si>
  <si>
    <t>VD398</t>
  </si>
  <si>
    <t>VD398A</t>
  </si>
  <si>
    <t>VD399</t>
  </si>
  <si>
    <t>VD400</t>
  </si>
  <si>
    <t>VD401</t>
  </si>
  <si>
    <t>VD402</t>
  </si>
  <si>
    <t>VD403</t>
  </si>
  <si>
    <t>VD404</t>
  </si>
  <si>
    <t>VD405</t>
  </si>
  <si>
    <t>VD406</t>
  </si>
  <si>
    <t>VD407</t>
  </si>
  <si>
    <t>VD407A</t>
  </si>
  <si>
    <t>VD408</t>
  </si>
  <si>
    <t>VD409</t>
  </si>
  <si>
    <t>VD410</t>
  </si>
  <si>
    <t>VD411</t>
  </si>
  <si>
    <t>VD414</t>
  </si>
  <si>
    <t>VD415</t>
  </si>
  <si>
    <t>VD416</t>
  </si>
  <si>
    <t>VD428</t>
  </si>
  <si>
    <t>VD431</t>
  </si>
  <si>
    <t>VD431B</t>
  </si>
  <si>
    <t>VD431C</t>
  </si>
  <si>
    <t>VD434</t>
  </si>
  <si>
    <t>VD441</t>
  </si>
  <si>
    <t>VD442</t>
  </si>
  <si>
    <t>VD443</t>
  </si>
  <si>
    <t>VD444</t>
  </si>
  <si>
    <t>VD445</t>
  </si>
  <si>
    <t>VD446</t>
  </si>
  <si>
    <t>VD447</t>
  </si>
  <si>
    <t>VD448</t>
  </si>
  <si>
    <t>VD476</t>
  </si>
  <si>
    <t>VD477</t>
  </si>
  <si>
    <t>VD477B</t>
  </si>
  <si>
    <t>VD478</t>
  </si>
  <si>
    <t>VD478A</t>
  </si>
  <si>
    <t>VD485</t>
  </si>
  <si>
    <t>VDA01</t>
  </si>
  <si>
    <t>VDA01A</t>
  </si>
  <si>
    <t>VDA02</t>
  </si>
  <si>
    <t>VDA02A</t>
  </si>
  <si>
    <t>VDB01</t>
  </si>
  <si>
    <t>VDB02</t>
  </si>
  <si>
    <t>VDB03</t>
  </si>
  <si>
    <t>VDB06</t>
  </si>
  <si>
    <t>VDB07</t>
  </si>
  <si>
    <t>VDB08</t>
  </si>
  <si>
    <t>VDB09</t>
  </si>
  <si>
    <t>VDB10</t>
  </si>
  <si>
    <t>VDB11</t>
  </si>
  <si>
    <t>VDB12</t>
  </si>
  <si>
    <t>VDB13</t>
  </si>
  <si>
    <t>VDB16</t>
  </si>
  <si>
    <t>VDB23</t>
  </si>
  <si>
    <t>VDB24</t>
  </si>
  <si>
    <t>VDB25</t>
  </si>
  <si>
    <t>VDB26</t>
  </si>
  <si>
    <t>VDB27</t>
  </si>
  <si>
    <t>VDB28</t>
  </si>
  <si>
    <t>VDB29</t>
  </si>
  <si>
    <t>VDB30</t>
  </si>
  <si>
    <t>VDB31</t>
  </si>
  <si>
    <t>VDB32</t>
  </si>
  <si>
    <t>VDB33</t>
  </si>
  <si>
    <t>VDD02</t>
  </si>
  <si>
    <t>VDD02A</t>
  </si>
  <si>
    <t>VDD03</t>
  </si>
  <si>
    <t>VDD03A</t>
  </si>
  <si>
    <t>VDD03B</t>
  </si>
  <si>
    <t>VDD04</t>
  </si>
  <si>
    <t>VDD04A</t>
  </si>
  <si>
    <t>VDD04B</t>
  </si>
  <si>
    <t>VDD05</t>
  </si>
  <si>
    <t>VDD05A</t>
  </si>
  <si>
    <t>VDD06</t>
  </si>
  <si>
    <t>VDD07</t>
  </si>
  <si>
    <t>VDD08</t>
  </si>
  <si>
    <t>VDD09</t>
  </si>
  <si>
    <t>VDD10</t>
  </si>
  <si>
    <t>VDD11</t>
  </si>
  <si>
    <t>VDD12</t>
  </si>
  <si>
    <t>VDD13</t>
  </si>
  <si>
    <t>VDD14</t>
  </si>
  <si>
    <t>VDD15</t>
  </si>
  <si>
    <t>VDD16</t>
  </si>
  <si>
    <t>VDD17</t>
  </si>
  <si>
    <t>VDD18</t>
  </si>
  <si>
    <t>VDD19</t>
  </si>
  <si>
    <t>VDD20</t>
  </si>
  <si>
    <t>VDD21</t>
  </si>
  <si>
    <t>VDD22</t>
  </si>
  <si>
    <t>VDE01</t>
  </si>
  <si>
    <t>VDE02</t>
  </si>
  <si>
    <t>VDE03</t>
  </si>
  <si>
    <t>VDE04</t>
  </si>
  <si>
    <t>VDE05</t>
  </si>
  <si>
    <t>VDE06</t>
  </si>
  <si>
    <t>VDE07</t>
  </si>
  <si>
    <t>VDE08</t>
  </si>
  <si>
    <t>VDE09</t>
  </si>
  <si>
    <t>VDE10</t>
  </si>
  <si>
    <t>VDE11</t>
  </si>
  <si>
    <t>VDE18</t>
  </si>
  <si>
    <t>VDE20</t>
  </si>
  <si>
    <t>VDF01</t>
  </si>
  <si>
    <t>VDF02</t>
  </si>
  <si>
    <t>VDF03</t>
  </si>
  <si>
    <t>VDF07</t>
  </si>
  <si>
    <t>VDF08</t>
  </si>
  <si>
    <t>VDF09</t>
  </si>
  <si>
    <t>VT009</t>
  </si>
  <si>
    <t>VT010</t>
  </si>
  <si>
    <t>VT013</t>
  </si>
  <si>
    <t>VT014</t>
  </si>
  <si>
    <t>VT015</t>
  </si>
  <si>
    <t>VT016</t>
  </si>
  <si>
    <t>VT017</t>
  </si>
  <si>
    <t>VT018</t>
  </si>
  <si>
    <t>VT019</t>
  </si>
  <si>
    <t>VT020</t>
  </si>
  <si>
    <t>VT023</t>
  </si>
  <si>
    <t>VT024</t>
  </si>
  <si>
    <t>VT025</t>
  </si>
  <si>
    <t>VT026</t>
  </si>
  <si>
    <t>VT030</t>
  </si>
  <si>
    <t>VT030A</t>
  </si>
  <si>
    <t>VT034</t>
  </si>
  <si>
    <t>VT034A</t>
  </si>
  <si>
    <t>VT035</t>
  </si>
  <si>
    <t>VT036</t>
  </si>
  <si>
    <t>VT037</t>
  </si>
  <si>
    <t>VT038</t>
  </si>
  <si>
    <t>VT039</t>
  </si>
  <si>
    <t>VT039A</t>
  </si>
  <si>
    <t>VT040</t>
  </si>
  <si>
    <t>VT041</t>
  </si>
  <si>
    <t>VT041B</t>
  </si>
  <si>
    <t>VT044</t>
  </si>
  <si>
    <t>VT045</t>
  </si>
  <si>
    <t>VT046</t>
  </si>
  <si>
    <t>VT048</t>
  </si>
  <si>
    <t>VT048A</t>
  </si>
  <si>
    <t>VT049</t>
  </si>
  <si>
    <t>VT050</t>
  </si>
  <si>
    <t>VT052</t>
  </si>
  <si>
    <t>VT054</t>
  </si>
  <si>
    <t>VT055</t>
  </si>
  <si>
    <t>VT058</t>
  </si>
  <si>
    <t>VT059</t>
  </si>
  <si>
    <t>VT060</t>
  </si>
  <si>
    <t>VT061</t>
  </si>
  <si>
    <t>VT062</t>
  </si>
  <si>
    <t>VT062A</t>
  </si>
  <si>
    <t>VT063</t>
  </si>
  <si>
    <t>VT064</t>
  </si>
  <si>
    <t>VT065</t>
  </si>
  <si>
    <t>VT070</t>
  </si>
  <si>
    <t>VT071</t>
  </si>
  <si>
    <t>VT072</t>
  </si>
  <si>
    <t>VT073</t>
  </si>
  <si>
    <t>VT076</t>
  </si>
  <si>
    <t>VT076A</t>
  </si>
  <si>
    <t>VT078</t>
  </si>
  <si>
    <t>VT079</t>
  </si>
  <si>
    <t>VT082</t>
  </si>
  <si>
    <t>VT082A</t>
  </si>
  <si>
    <t>VT084</t>
  </si>
  <si>
    <t>VT084A</t>
  </si>
  <si>
    <t>VT084B</t>
  </si>
  <si>
    <t>VT085</t>
  </si>
  <si>
    <t>VT085A</t>
  </si>
  <si>
    <t>VT085B</t>
  </si>
  <si>
    <t>VT086</t>
  </si>
  <si>
    <t>VT086A</t>
  </si>
  <si>
    <t>VT087</t>
  </si>
  <si>
    <t>VT087A</t>
  </si>
  <si>
    <t>VT088</t>
  </si>
  <si>
    <t>VT088A</t>
  </si>
  <si>
    <t>VT094</t>
  </si>
  <si>
    <t>VT095</t>
  </si>
  <si>
    <t>VT096</t>
  </si>
  <si>
    <t>VT097</t>
  </si>
  <si>
    <t>VT102</t>
  </si>
  <si>
    <t>VT103</t>
  </si>
  <si>
    <t>VT103A</t>
  </si>
  <si>
    <t>VT106</t>
  </si>
  <si>
    <t>VT107</t>
  </si>
  <si>
    <t>VT108</t>
  </si>
  <si>
    <t>VT109</t>
  </si>
  <si>
    <t>VT110</t>
  </si>
  <si>
    <t>VT111</t>
  </si>
  <si>
    <t>VT114</t>
  </si>
  <si>
    <t>VT114B</t>
  </si>
  <si>
    <t>VT119</t>
  </si>
  <si>
    <t>VT119A</t>
  </si>
  <si>
    <t>VT120</t>
  </si>
  <si>
    <t>VT121</t>
  </si>
  <si>
    <t>VT122</t>
  </si>
  <si>
    <t>VT123</t>
  </si>
  <si>
    <t>VT124</t>
  </si>
  <si>
    <t>VT125</t>
  </si>
  <si>
    <t>VT126</t>
  </si>
  <si>
    <t>VT127</t>
  </si>
  <si>
    <t>VT128</t>
  </si>
  <si>
    <t>VT129</t>
  </si>
  <si>
    <t>VT130</t>
  </si>
  <si>
    <t>VT131</t>
  </si>
  <si>
    <t>VT132</t>
  </si>
  <si>
    <t>VT133</t>
  </si>
  <si>
    <t>VT134</t>
  </si>
  <si>
    <t>VT135</t>
  </si>
  <si>
    <t>VT136</t>
  </si>
  <si>
    <t>VT137</t>
  </si>
  <si>
    <t>VT139</t>
  </si>
  <si>
    <t>VT139A</t>
  </si>
  <si>
    <t>VT140</t>
  </si>
  <si>
    <t>VT141</t>
  </si>
  <si>
    <t>VT142</t>
  </si>
  <si>
    <t>VT143</t>
  </si>
  <si>
    <t>VT144</t>
  </si>
  <si>
    <t>VT145</t>
  </si>
  <si>
    <t>VT148</t>
  </si>
  <si>
    <t>VT149</t>
  </si>
  <si>
    <t>VT151</t>
  </si>
  <si>
    <t>VT151A</t>
  </si>
  <si>
    <t>VT152</t>
  </si>
  <si>
    <t>VT153</t>
  </si>
  <si>
    <t>VT154</t>
  </si>
  <si>
    <t>VT157</t>
  </si>
  <si>
    <t>VT158</t>
  </si>
  <si>
    <t>VT159</t>
  </si>
  <si>
    <t>VT160</t>
  </si>
  <si>
    <t>VT162</t>
  </si>
  <si>
    <t>VT163</t>
  </si>
  <si>
    <t>VT164</t>
  </si>
  <si>
    <t>VT165</t>
  </si>
  <si>
    <t>VT172</t>
  </si>
  <si>
    <t>VT173</t>
  </si>
  <si>
    <t>VT174</t>
  </si>
  <si>
    <t>VT175</t>
  </si>
  <si>
    <t>VT178</t>
  </si>
  <si>
    <t>VT179</t>
  </si>
  <si>
    <t>VT180</t>
  </si>
  <si>
    <t>VT181</t>
  </si>
  <si>
    <t>VT182</t>
  </si>
  <si>
    <t>VT183</t>
  </si>
  <si>
    <t>VT184</t>
  </si>
  <si>
    <t>VT185</t>
  </si>
  <si>
    <t>VT186</t>
  </si>
  <si>
    <t>VT187</t>
  </si>
  <si>
    <t>VT188</t>
  </si>
  <si>
    <t>VT189</t>
  </si>
  <si>
    <t>VT190</t>
  </si>
  <si>
    <t>VT191</t>
  </si>
  <si>
    <t>VT194</t>
  </si>
  <si>
    <t>VT195</t>
  </si>
  <si>
    <t>VT196</t>
  </si>
  <si>
    <t>VT198</t>
  </si>
  <si>
    <t>VT198A</t>
  </si>
  <si>
    <t>VT200</t>
  </si>
  <si>
    <t>VT201</t>
  </si>
  <si>
    <t>VT202</t>
  </si>
  <si>
    <t>VT203</t>
  </si>
  <si>
    <t>VT204</t>
  </si>
  <si>
    <t>VT209</t>
  </si>
  <si>
    <t>VT210</t>
  </si>
  <si>
    <t>VT213</t>
  </si>
  <si>
    <t>VT213A</t>
  </si>
  <si>
    <t>VT217</t>
  </si>
  <si>
    <t>VT218</t>
  </si>
  <si>
    <t>VT220</t>
  </si>
  <si>
    <t>VT239</t>
  </si>
  <si>
    <t>VT240</t>
  </si>
  <si>
    <t>VT241</t>
  </si>
  <si>
    <t>VT242</t>
  </si>
  <si>
    <t>VT244</t>
  </si>
  <si>
    <t>VT245</t>
  </si>
  <si>
    <t>VT246</t>
  </si>
  <si>
    <t>VT247</t>
  </si>
  <si>
    <t>VT248</t>
  </si>
  <si>
    <t>VT256</t>
  </si>
  <si>
    <t>VT257</t>
  </si>
  <si>
    <t>VT258</t>
  </si>
  <si>
    <t>VT258A</t>
  </si>
  <si>
    <t>VT259</t>
  </si>
  <si>
    <t>VT259B</t>
  </si>
  <si>
    <t>VT260</t>
  </si>
  <si>
    <t>VT261</t>
  </si>
  <si>
    <t>VT262</t>
  </si>
  <si>
    <t>VT263</t>
  </si>
  <si>
    <t>VT264</t>
  </si>
  <si>
    <t>VT265</t>
  </si>
  <si>
    <t>VT266</t>
  </si>
  <si>
    <t>VT268</t>
  </si>
  <si>
    <t>VT292</t>
  </si>
  <si>
    <t>VT293</t>
  </si>
  <si>
    <t>VT295</t>
  </si>
  <si>
    <t>VT297</t>
  </si>
  <si>
    <t>VT298</t>
  </si>
  <si>
    <t>VT300</t>
  </si>
  <si>
    <t>VT301</t>
  </si>
  <si>
    <t>VT302</t>
  </si>
  <si>
    <t>VT304</t>
  </si>
  <si>
    <t>VT305</t>
  </si>
  <si>
    <t>VT323</t>
  </si>
  <si>
    <t>VT324</t>
  </si>
  <si>
    <t>VT327</t>
  </si>
  <si>
    <t>VT328</t>
  </si>
  <si>
    <t>VT329</t>
  </si>
  <si>
    <t>VT330</t>
  </si>
  <si>
    <t>VT331</t>
  </si>
  <si>
    <t>VT334</t>
  </si>
  <si>
    <t>VT335</t>
  </si>
  <si>
    <t>VT336</t>
  </si>
  <si>
    <t>VT337</t>
  </si>
  <si>
    <t>VT338</t>
  </si>
  <si>
    <t>VT339</t>
  </si>
  <si>
    <t>VT340</t>
  </si>
  <si>
    <t>VT341</t>
  </si>
  <si>
    <t>VT342</t>
  </si>
  <si>
    <t>VT343</t>
  </si>
  <si>
    <t>VT344</t>
  </si>
  <si>
    <t>VT345</t>
  </si>
  <si>
    <t>VT346</t>
  </si>
  <si>
    <t>VT347</t>
  </si>
  <si>
    <t>VT349</t>
  </si>
  <si>
    <t>VT352</t>
  </si>
  <si>
    <t>VT352A</t>
  </si>
  <si>
    <t>VT353</t>
  </si>
  <si>
    <t>VT354</t>
  </si>
  <si>
    <t>VT362</t>
  </si>
  <si>
    <t>VT374</t>
  </si>
  <si>
    <t>VT376</t>
  </si>
  <si>
    <t>VT381</t>
  </si>
  <si>
    <t>VT384</t>
  </si>
  <si>
    <t>VT385</t>
  </si>
  <si>
    <t>VT386</t>
  </si>
  <si>
    <t>VT414</t>
  </si>
  <si>
    <t>VT415</t>
  </si>
  <si>
    <t>VT416</t>
  </si>
  <si>
    <t>VT417</t>
  </si>
  <si>
    <t>VT418</t>
  </si>
  <si>
    <t>VT419</t>
  </si>
  <si>
    <t>VT420</t>
  </si>
  <si>
    <t>VT421</t>
  </si>
  <si>
    <t>VT422</t>
  </si>
  <si>
    <t>VT423</t>
  </si>
  <si>
    <t>VT424</t>
  </si>
  <si>
    <t>VT425</t>
  </si>
  <si>
    <t>VT428</t>
  </si>
  <si>
    <t>VT429</t>
  </si>
  <si>
    <t>VT432</t>
  </si>
  <si>
    <t>VT433</t>
  </si>
  <si>
    <t>VT434</t>
  </si>
  <si>
    <t>VT435</t>
  </si>
  <si>
    <t>VT437</t>
  </si>
  <si>
    <t>VT438</t>
  </si>
  <si>
    <t>VT439</t>
  </si>
  <si>
    <t>VT440</t>
  </si>
  <si>
    <t>VT441</t>
  </si>
  <si>
    <t>VT442</t>
  </si>
  <si>
    <t>VT442E</t>
  </si>
  <si>
    <t>VT442F</t>
  </si>
  <si>
    <t>VT442G</t>
  </si>
  <si>
    <t>VT444</t>
  </si>
  <si>
    <t>VTA01</t>
  </si>
  <si>
    <t>VTA01A</t>
  </si>
  <si>
    <t>VTA02</t>
  </si>
  <si>
    <t>VTA02A</t>
  </si>
  <si>
    <t>VTB06</t>
  </si>
  <si>
    <t>VTB10</t>
  </si>
  <si>
    <t>VTB11</t>
  </si>
  <si>
    <t>VTB12</t>
  </si>
  <si>
    <t>VTB13</t>
  </si>
  <si>
    <t>VTB14</t>
  </si>
  <si>
    <t>VTB16</t>
  </si>
  <si>
    <t>VTB18</t>
  </si>
  <si>
    <t>VTB19</t>
  </si>
  <si>
    <t>VTB20</t>
  </si>
  <si>
    <t>VTB21</t>
  </si>
  <si>
    <t>VTB22</t>
  </si>
  <si>
    <t>VTB29</t>
  </si>
  <si>
    <t>VTB34</t>
  </si>
  <si>
    <t>VTB35</t>
  </si>
  <si>
    <t>VTB36</t>
  </si>
  <si>
    <t>VTB40</t>
  </si>
  <si>
    <t>VTB41</t>
  </si>
  <si>
    <t>VTB42</t>
  </si>
  <si>
    <t>VTB43</t>
  </si>
  <si>
    <t>VTB44</t>
  </si>
  <si>
    <t>VTB45</t>
  </si>
  <si>
    <t>VTB46</t>
  </si>
  <si>
    <t>VTB47</t>
  </si>
  <si>
    <t>VTB48</t>
  </si>
  <si>
    <t>VTD01</t>
  </si>
  <si>
    <t>VTD01A</t>
  </si>
  <si>
    <t>VTD02</t>
  </si>
  <si>
    <t>VTD02A</t>
  </si>
  <si>
    <t>VTD02B</t>
  </si>
  <si>
    <t>VTD03</t>
  </si>
  <si>
    <t>VTD03A</t>
  </si>
  <si>
    <t>VTD04</t>
  </si>
  <si>
    <t>VTD04A</t>
  </si>
  <si>
    <t>VTD04B</t>
  </si>
  <si>
    <t>VTD05</t>
  </si>
  <si>
    <t>VTD06</t>
  </si>
  <si>
    <t>VTD09</t>
  </si>
  <si>
    <t>VTD10</t>
  </si>
  <si>
    <t>VTD11</t>
  </si>
  <si>
    <t>VTD12</t>
  </si>
  <si>
    <t>VTD13</t>
  </si>
  <si>
    <t>VTD14</t>
  </si>
  <si>
    <t>VTD15</t>
  </si>
  <si>
    <t>VTD16</t>
  </si>
  <si>
    <t>VTD17</t>
  </si>
  <si>
    <t>VTD18</t>
  </si>
  <si>
    <t>VTD19</t>
  </si>
  <si>
    <t>VTD20</t>
  </si>
  <si>
    <t>VTD21</t>
  </si>
  <si>
    <t>VTD22</t>
  </si>
  <si>
    <t>VTD23</t>
  </si>
  <si>
    <t>VTE01</t>
  </si>
  <si>
    <t>VTE02</t>
  </si>
  <si>
    <t>VTE03</t>
  </si>
  <si>
    <t>VTE04</t>
  </si>
  <si>
    <t>VTE05</t>
  </si>
  <si>
    <t>VTE06</t>
  </si>
  <si>
    <t>VTE07</t>
  </si>
  <si>
    <t>VTE08</t>
  </si>
  <si>
    <t>VTE09</t>
  </si>
  <si>
    <t>VTE10</t>
  </si>
  <si>
    <t>VTE11</t>
  </si>
  <si>
    <t>VTE12</t>
  </si>
  <si>
    <t>VTE13</t>
  </si>
  <si>
    <t>VTE14</t>
  </si>
  <si>
    <t>VTE15</t>
  </si>
  <si>
    <t>VTE16</t>
  </si>
  <si>
    <t>VTE17</t>
  </si>
  <si>
    <t>VTE25</t>
  </si>
  <si>
    <t>VTE26</t>
  </si>
  <si>
    <t>VTE31</t>
  </si>
  <si>
    <t>VTE32</t>
  </si>
  <si>
    <t>VTE33</t>
  </si>
  <si>
    <t>VTE34</t>
  </si>
  <si>
    <t>VTE35</t>
  </si>
  <si>
    <t>VTF01</t>
  </si>
  <si>
    <t>VTF03</t>
  </si>
  <si>
    <t>VTF04</t>
  </si>
  <si>
    <t>VTF05</t>
  </si>
  <si>
    <t>VTF06</t>
  </si>
  <si>
    <t>VTF07</t>
  </si>
  <si>
    <t>VU020</t>
  </si>
  <si>
    <t>VU021</t>
  </si>
  <si>
    <t>VU027</t>
  </si>
  <si>
    <t>VU027B</t>
  </si>
  <si>
    <t>VU028</t>
  </si>
  <si>
    <t>VU029</t>
  </si>
  <si>
    <t>VU030</t>
  </si>
  <si>
    <t>VU030A</t>
  </si>
  <si>
    <t>VU032</t>
  </si>
  <si>
    <t>VU036</t>
  </si>
  <si>
    <t>VU037</t>
  </si>
  <si>
    <t>VU038</t>
  </si>
  <si>
    <t>VU038A</t>
  </si>
  <si>
    <t>VU040</t>
  </si>
  <si>
    <t>VU041</t>
  </si>
  <si>
    <t>VU042</t>
  </si>
  <si>
    <t>VU042B</t>
  </si>
  <si>
    <t>VU043</t>
  </si>
  <si>
    <t>VU044</t>
  </si>
  <si>
    <t>VU046</t>
  </si>
  <si>
    <t>VU047</t>
  </si>
  <si>
    <t>VU048</t>
  </si>
  <si>
    <t>VU049</t>
  </si>
  <si>
    <t>VU050</t>
  </si>
  <si>
    <t>VU050A</t>
  </si>
  <si>
    <t>VU050B</t>
  </si>
  <si>
    <t>VU050C</t>
  </si>
  <si>
    <t>VU055</t>
  </si>
  <si>
    <t>VU056</t>
  </si>
  <si>
    <t>VU062</t>
  </si>
  <si>
    <t>VU062A</t>
  </si>
  <si>
    <t>VU063</t>
  </si>
  <si>
    <t>VU064</t>
  </si>
  <si>
    <t>VU065</t>
  </si>
  <si>
    <t>VU067</t>
  </si>
  <si>
    <t>VU070</t>
  </si>
  <si>
    <t>VU071</t>
  </si>
  <si>
    <t>VU074</t>
  </si>
  <si>
    <t>VU075</t>
  </si>
  <si>
    <t>VU076</t>
  </si>
  <si>
    <t>VU077</t>
  </si>
  <si>
    <t>VU078</t>
  </si>
  <si>
    <t>VU079</t>
  </si>
  <si>
    <t>VU080</t>
  </si>
  <si>
    <t>VU083</t>
  </si>
  <si>
    <t>VU084</t>
  </si>
  <si>
    <t>VU085</t>
  </si>
  <si>
    <t>VU088</t>
  </si>
  <si>
    <t>VU089</t>
  </si>
  <si>
    <t>VU090</t>
  </si>
  <si>
    <t>VU091</t>
  </si>
  <si>
    <t>VU092</t>
  </si>
  <si>
    <t>VU093</t>
  </si>
  <si>
    <t>VU094</t>
  </si>
  <si>
    <t>VU096</t>
  </si>
  <si>
    <t>VU097</t>
  </si>
  <si>
    <t>VU097A</t>
  </si>
  <si>
    <t>VU098</t>
  </si>
  <si>
    <t>VU098A</t>
  </si>
  <si>
    <t>VU101</t>
  </si>
  <si>
    <t>VU102</t>
  </si>
  <si>
    <t>VU108</t>
  </si>
  <si>
    <t>VU109</t>
  </si>
  <si>
    <t>VU110</t>
  </si>
  <si>
    <t>VU111</t>
  </si>
  <si>
    <t>VU112</t>
  </si>
  <si>
    <t>VU112A</t>
  </si>
  <si>
    <t>VU115</t>
  </si>
  <si>
    <t>VU116</t>
  </si>
  <si>
    <t>VU117</t>
  </si>
  <si>
    <t>VU117A</t>
  </si>
  <si>
    <t>VU121</t>
  </si>
  <si>
    <t>VU122</t>
  </si>
  <si>
    <t>VU125</t>
  </si>
  <si>
    <t>VU126</t>
  </si>
  <si>
    <t>VU129</t>
  </si>
  <si>
    <t>VU130</t>
  </si>
  <si>
    <t>VU130A</t>
  </si>
  <si>
    <t>VU131</t>
  </si>
  <si>
    <t>VU133</t>
  </si>
  <si>
    <t>VU133A</t>
  </si>
  <si>
    <t>VU134</t>
  </si>
  <si>
    <t>VU136</t>
  </si>
  <si>
    <t>VU136A</t>
  </si>
  <si>
    <t>VU139</t>
  </si>
  <si>
    <t>VU140</t>
  </si>
  <si>
    <t>VU143</t>
  </si>
  <si>
    <t>VU144</t>
  </si>
  <si>
    <t>VU146</t>
  </si>
  <si>
    <t>VU147</t>
  </si>
  <si>
    <t>VU148</t>
  </si>
  <si>
    <t>VU149</t>
  </si>
  <si>
    <t>VU151</t>
  </si>
  <si>
    <t>VU155</t>
  </si>
  <si>
    <t>VU155A</t>
  </si>
  <si>
    <t>VU156</t>
  </si>
  <si>
    <t>VU158</t>
  </si>
  <si>
    <t>VU158A</t>
  </si>
  <si>
    <t>VU159</t>
  </si>
  <si>
    <t>VU159A</t>
  </si>
  <si>
    <t>VU159B</t>
  </si>
  <si>
    <t>VU160</t>
  </si>
  <si>
    <t>VU164</t>
  </si>
  <si>
    <t>VU165</t>
  </si>
  <si>
    <t>VU165A</t>
  </si>
  <si>
    <t>VU166</t>
  </si>
  <si>
    <t>VU167</t>
  </si>
  <si>
    <t>VU167A</t>
  </si>
  <si>
    <t>VU168</t>
  </si>
  <si>
    <t>VU168B</t>
  </si>
  <si>
    <t>VU169</t>
  </si>
  <si>
    <t>VU170</t>
  </si>
  <si>
    <t>VU170A</t>
  </si>
  <si>
    <t>VU171</t>
  </si>
  <si>
    <t>VU172</t>
  </si>
  <si>
    <t>VU172A</t>
  </si>
  <si>
    <t>VU173</t>
  </si>
  <si>
    <t>VU174</t>
  </si>
  <si>
    <t>VU174A</t>
  </si>
  <si>
    <t>VU178</t>
  </si>
  <si>
    <t>VU179</t>
  </si>
  <si>
    <t>VU179A</t>
  </si>
  <si>
    <t>VU181</t>
  </si>
  <si>
    <t>VU181A</t>
  </si>
  <si>
    <t>VU183</t>
  </si>
  <si>
    <t>VU183A</t>
  </si>
  <si>
    <t>VU184</t>
  </si>
  <si>
    <t>VU185</t>
  </si>
  <si>
    <t>VU186</t>
  </si>
  <si>
    <t>VU186A</t>
  </si>
  <si>
    <t>VU187</t>
  </si>
  <si>
    <t>VU188</t>
  </si>
  <si>
    <t>VU189</t>
  </si>
  <si>
    <t>VU190</t>
  </si>
  <si>
    <t>VU191</t>
  </si>
  <si>
    <t>VU192</t>
  </si>
  <si>
    <t>VU192A</t>
  </si>
  <si>
    <t>VU193</t>
  </si>
  <si>
    <t>VU195</t>
  </si>
  <si>
    <t>VU196</t>
  </si>
  <si>
    <t>VU197</t>
  </si>
  <si>
    <t>VU198</t>
  </si>
  <si>
    <t>VU199</t>
  </si>
  <si>
    <t>VU200</t>
  </si>
  <si>
    <t>VU203</t>
  </si>
  <si>
    <t>VU204</t>
  </si>
  <si>
    <t>VU205</t>
  </si>
  <si>
    <t>VU206</t>
  </si>
  <si>
    <t>VU206A</t>
  </si>
  <si>
    <t>VU210</t>
  </si>
  <si>
    <t>VU210A</t>
  </si>
  <si>
    <t>VU211</t>
  </si>
  <si>
    <t>VU213</t>
  </si>
  <si>
    <t>VU214</t>
  </si>
  <si>
    <t>VU214A</t>
  </si>
  <si>
    <t>VU215</t>
  </si>
  <si>
    <t>VU215A</t>
  </si>
  <si>
    <t>VU217</t>
  </si>
  <si>
    <t>VU220</t>
  </si>
  <si>
    <t>VU220A</t>
  </si>
  <si>
    <t>VU221</t>
  </si>
  <si>
    <t>VU222</t>
  </si>
  <si>
    <t>VU223</t>
  </si>
  <si>
    <t>VU223A</t>
  </si>
  <si>
    <t>VU223B</t>
  </si>
  <si>
    <t>VU224</t>
  </si>
  <si>
    <t>VU224B</t>
  </si>
  <si>
    <t>VU224C</t>
  </si>
  <si>
    <t>VU225</t>
  </si>
  <si>
    <t>VU225B</t>
  </si>
  <si>
    <t>VU226</t>
  </si>
  <si>
    <t>VU226B</t>
  </si>
  <si>
    <t>VU228</t>
  </si>
  <si>
    <t>VU229</t>
  </si>
  <si>
    <t>VU229A</t>
  </si>
  <si>
    <t>VU230</t>
  </si>
  <si>
    <t>VU231</t>
  </si>
  <si>
    <t>VU232</t>
  </si>
  <si>
    <t>VU232A</t>
  </si>
  <si>
    <t>VU233</t>
  </si>
  <si>
    <t>VU234</t>
  </si>
  <si>
    <t>VU235</t>
  </si>
  <si>
    <t>VU235A</t>
  </si>
  <si>
    <t>VU236</t>
  </si>
  <si>
    <t>VU236A</t>
  </si>
  <si>
    <t>VU237</t>
  </si>
  <si>
    <t>VU238</t>
  </si>
  <si>
    <t>VU239</t>
  </si>
  <si>
    <t>VU240</t>
  </si>
  <si>
    <t>VU241</t>
  </si>
  <si>
    <t>VU242</t>
  </si>
  <si>
    <t>VU243</t>
  </si>
  <si>
    <t>VU243A</t>
  </si>
  <si>
    <t>VU244</t>
  </si>
  <si>
    <t>VU244A</t>
  </si>
  <si>
    <t>VU244B</t>
  </si>
  <si>
    <t>VU245</t>
  </si>
  <si>
    <t>VU245A</t>
  </si>
  <si>
    <t>VU246</t>
  </si>
  <si>
    <t>VU247</t>
  </si>
  <si>
    <t>VU248</t>
  </si>
  <si>
    <t>VU249</t>
  </si>
  <si>
    <t>VU249A</t>
  </si>
  <si>
    <t>VU252</t>
  </si>
  <si>
    <t>VU254</t>
  </si>
  <si>
    <t>VU255</t>
  </si>
  <si>
    <t>VU256</t>
  </si>
  <si>
    <t>VU257</t>
  </si>
  <si>
    <t>VU258</t>
  </si>
  <si>
    <t>VU260</t>
  </si>
  <si>
    <t>VU261</t>
  </si>
  <si>
    <t>VU262</t>
  </si>
  <si>
    <t>VU263</t>
  </si>
  <si>
    <t>VU264</t>
  </si>
  <si>
    <t>VU265</t>
  </si>
  <si>
    <t>VU266</t>
  </si>
  <si>
    <t>VU267</t>
  </si>
  <si>
    <t>VU268</t>
  </si>
  <si>
    <t>VU269</t>
  </si>
  <si>
    <t>VU269A</t>
  </si>
  <si>
    <t>VU270</t>
  </si>
  <si>
    <t>VU270A</t>
  </si>
  <si>
    <t>VU271</t>
  </si>
  <si>
    <t>VU271A</t>
  </si>
  <si>
    <t>VU273</t>
  </si>
  <si>
    <t>VU275</t>
  </si>
  <si>
    <t>VU276</t>
  </si>
  <si>
    <t>VU277</t>
  </si>
  <si>
    <t>VU278</t>
  </si>
  <si>
    <t>VU278A</t>
  </si>
  <si>
    <t>VU278F</t>
  </si>
  <si>
    <t>VU278G</t>
  </si>
  <si>
    <t>VU278H</t>
  </si>
  <si>
    <t>VU278I</t>
  </si>
  <si>
    <t>VU279</t>
  </si>
  <si>
    <t>VU279A</t>
  </si>
  <si>
    <t>VU280</t>
  </si>
  <si>
    <t>VU281</t>
  </si>
  <si>
    <t>VU282</t>
  </si>
  <si>
    <t>VU284</t>
  </si>
  <si>
    <t>VU284A</t>
  </si>
  <si>
    <t>VU285</t>
  </si>
  <si>
    <t>VU286</t>
  </si>
  <si>
    <t>VU287</t>
  </si>
  <si>
    <t>VU288</t>
  </si>
  <si>
    <t>VU289</t>
  </si>
  <si>
    <t>VU289A</t>
  </si>
  <si>
    <t>VU289D</t>
  </si>
  <si>
    <t>VU289E</t>
  </si>
  <si>
    <t>VU289F</t>
  </si>
  <si>
    <t>VU290</t>
  </si>
  <si>
    <t>VU291</t>
  </si>
  <si>
    <t>VU292</t>
  </si>
  <si>
    <t>VU294</t>
  </si>
  <si>
    <t>VU294A</t>
  </si>
  <si>
    <t>VU295</t>
  </si>
  <si>
    <t>VU295A</t>
  </si>
  <si>
    <t>VU296</t>
  </si>
  <si>
    <t>VU296A</t>
  </si>
  <si>
    <t>VU297</t>
  </si>
  <si>
    <t>VU298</t>
  </si>
  <si>
    <t>VU299</t>
  </si>
  <si>
    <t>VU300</t>
  </si>
  <si>
    <t>VU301</t>
  </si>
  <si>
    <t>VU308</t>
  </si>
  <si>
    <t>VU309</t>
  </si>
  <si>
    <t>VU310</t>
  </si>
  <si>
    <t>VU311</t>
  </si>
  <si>
    <t>VU312</t>
  </si>
  <si>
    <t>VU313</t>
  </si>
  <si>
    <t>VU314</t>
  </si>
  <si>
    <t>VU315</t>
  </si>
  <si>
    <t>VU317</t>
  </si>
  <si>
    <t>VU318</t>
  </si>
  <si>
    <t>VU319</t>
  </si>
  <si>
    <t>VU320</t>
  </si>
  <si>
    <t>VU322</t>
  </si>
  <si>
    <t>VU324</t>
  </si>
  <si>
    <t>VU325</t>
  </si>
  <si>
    <t>VU326</t>
  </si>
  <si>
    <t>VU327</t>
  </si>
  <si>
    <t>VU328</t>
  </si>
  <si>
    <t>VU329</t>
  </si>
  <si>
    <t>VU331</t>
  </si>
  <si>
    <t>VU332</t>
  </si>
  <si>
    <t>VU333</t>
  </si>
  <si>
    <t>VU334</t>
  </si>
  <si>
    <t>VU335</t>
  </si>
  <si>
    <t>VU336</t>
  </si>
  <si>
    <t>VU337</t>
  </si>
  <si>
    <t>VU338</t>
  </si>
  <si>
    <t>VU339</t>
  </si>
  <si>
    <t>VU340</t>
  </si>
  <si>
    <t>VU341</t>
  </si>
  <si>
    <t>VU342</t>
  </si>
  <si>
    <t>VU342A</t>
  </si>
  <si>
    <t>VU343</t>
  </si>
  <si>
    <t>VU344</t>
  </si>
  <si>
    <t>VU344C</t>
  </si>
  <si>
    <t>VU345</t>
  </si>
  <si>
    <t>VU346</t>
  </si>
  <si>
    <t>VU347</t>
  </si>
  <si>
    <t>VU348</t>
  </si>
  <si>
    <t>VU349</t>
  </si>
  <si>
    <t>VU350</t>
  </si>
  <si>
    <t>VU351</t>
  </si>
  <si>
    <t>VU352</t>
  </si>
  <si>
    <t>VU352A</t>
  </si>
  <si>
    <t>VU353</t>
  </si>
  <si>
    <t>VU354</t>
  </si>
  <si>
    <t>VU354A</t>
  </si>
  <si>
    <t>VU355</t>
  </si>
  <si>
    <t>VU356</t>
  </si>
  <si>
    <t>VU357</t>
  </si>
  <si>
    <t>VU358</t>
  </si>
  <si>
    <t>VU359</t>
  </si>
  <si>
    <t>VU360</t>
  </si>
  <si>
    <t>VU361</t>
  </si>
  <si>
    <t>VU362</t>
  </si>
  <si>
    <t>VU419</t>
  </si>
  <si>
    <t>VU420</t>
  </si>
  <si>
    <t>VU421</t>
  </si>
  <si>
    <t>VU422</t>
  </si>
  <si>
    <t>VU423</t>
  </si>
  <si>
    <t>VU424</t>
  </si>
  <si>
    <t>VU425</t>
  </si>
  <si>
    <t>VU426</t>
  </si>
  <si>
    <t>VU431</t>
  </si>
  <si>
    <t>VU432</t>
  </si>
  <si>
    <t>VU433</t>
  </si>
  <si>
    <t>VU434</t>
  </si>
  <si>
    <t>VU435</t>
  </si>
  <si>
    <t>VU436</t>
  </si>
  <si>
    <t>VU437</t>
  </si>
  <si>
    <t>VU438</t>
  </si>
  <si>
    <t>VU439</t>
  </si>
  <si>
    <t>VU440</t>
  </si>
  <si>
    <t>VU441</t>
  </si>
  <si>
    <t>VU442</t>
  </si>
  <si>
    <t>VU443</t>
  </si>
  <si>
    <t>VU444</t>
  </si>
  <si>
    <t>VU445</t>
  </si>
  <si>
    <t>VU446</t>
  </si>
  <si>
    <t>VU446A</t>
  </si>
  <si>
    <t>VU447</t>
  </si>
  <si>
    <t>VU448</t>
  </si>
  <si>
    <t>VU449</t>
  </si>
  <si>
    <t>VU450</t>
  </si>
  <si>
    <t>VU451</t>
  </si>
  <si>
    <t>VU453</t>
  </si>
  <si>
    <t>VU454</t>
  </si>
  <si>
    <t>VU455</t>
  </si>
  <si>
    <t>VU456</t>
  </si>
  <si>
    <t>VU488</t>
  </si>
  <si>
    <t>VU489</t>
  </si>
  <si>
    <t>VU490</t>
  </si>
  <si>
    <t>VU490A</t>
  </si>
  <si>
    <t>VU491</t>
  </si>
  <si>
    <t>VU492</t>
  </si>
  <si>
    <t>VU492E</t>
  </si>
  <si>
    <t>VU492F</t>
  </si>
  <si>
    <t>VU493</t>
  </si>
  <si>
    <t>VU494</t>
  </si>
  <si>
    <t>VU494A</t>
  </si>
  <si>
    <t>VU494B</t>
  </si>
  <si>
    <t>VUB01</t>
  </si>
  <si>
    <t>VUB02</t>
  </si>
  <si>
    <t>VUB03</t>
  </si>
  <si>
    <t>VUB04</t>
  </si>
  <si>
    <t>VUB05</t>
  </si>
  <si>
    <t>VUB06</t>
  </si>
  <si>
    <t>VUB07</t>
  </si>
  <si>
    <t>VUB08</t>
  </si>
  <si>
    <t>VUB09</t>
  </si>
  <si>
    <t>VUB10</t>
  </si>
  <si>
    <t>VUB11</t>
  </si>
  <si>
    <t>VUB12</t>
  </si>
  <si>
    <t>VUB13</t>
  </si>
  <si>
    <t>VUB14</t>
  </si>
  <si>
    <t>VUB15</t>
  </si>
  <si>
    <t>VUB16</t>
  </si>
  <si>
    <t>VUB17</t>
  </si>
  <si>
    <t>VUB18</t>
  </si>
  <si>
    <t>VUB19</t>
  </si>
  <si>
    <t>VUB20</t>
  </si>
  <si>
    <t>VUB21</t>
  </si>
  <si>
    <t>VUB22</t>
  </si>
  <si>
    <t>VUB23</t>
  </si>
  <si>
    <t>VUB24</t>
  </si>
  <si>
    <t>VUB25</t>
  </si>
  <si>
    <t>VUB26</t>
  </si>
  <si>
    <t>VUB27</t>
  </si>
  <si>
    <t>VUB28</t>
  </si>
  <si>
    <t>VUB29</t>
  </si>
  <si>
    <t>VUB30</t>
  </si>
  <si>
    <t>VUB31</t>
  </si>
  <si>
    <t>VUD05</t>
  </si>
  <si>
    <t>VUD05A</t>
  </si>
  <si>
    <t>VUD06</t>
  </si>
  <si>
    <t>VUD06A</t>
  </si>
  <si>
    <t>VUD06B</t>
  </si>
  <si>
    <t>VUD07</t>
  </si>
  <si>
    <t>VUD07A</t>
  </si>
  <si>
    <t>VUD07B</t>
  </si>
  <si>
    <t>VUD08</t>
  </si>
  <si>
    <t>VUD08A</t>
  </si>
  <si>
    <t>VUD09</t>
  </si>
  <si>
    <t>VUD10</t>
  </si>
  <si>
    <t>VUD11</t>
  </si>
  <si>
    <t>VUD12</t>
  </si>
  <si>
    <t>VUD13</t>
  </si>
  <si>
    <t>VUD14</t>
  </si>
  <si>
    <t>VUD18</t>
  </si>
  <si>
    <t>VUD19</t>
  </si>
  <si>
    <t>VUD20</t>
  </si>
  <si>
    <t>VUD21</t>
  </si>
  <si>
    <t>VUD22</t>
  </si>
  <si>
    <t>VUD23</t>
  </si>
  <si>
    <t>VUD24</t>
  </si>
  <si>
    <t>VUD25</t>
  </si>
  <si>
    <t>VUD26</t>
  </si>
  <si>
    <t>VUD26A</t>
  </si>
  <si>
    <t>VUD26B</t>
  </si>
  <si>
    <t>VUD27</t>
  </si>
  <si>
    <t>VUD28</t>
  </si>
  <si>
    <t>VUE01</t>
  </si>
  <si>
    <t>VUE02</t>
  </si>
  <si>
    <t>VUE03</t>
  </si>
  <si>
    <t>VUE04</t>
  </si>
  <si>
    <t>VUE05</t>
  </si>
  <si>
    <t>VUE06</t>
  </si>
  <si>
    <t>VUE07</t>
  </si>
  <si>
    <t>VUE08</t>
  </si>
  <si>
    <t>VUE09</t>
  </si>
  <si>
    <t>VUE10</t>
  </si>
  <si>
    <t>VUE11</t>
  </si>
  <si>
    <t>VUE12</t>
  </si>
  <si>
    <t>VUE13</t>
  </si>
  <si>
    <t>VUE14</t>
  </si>
  <si>
    <t>VUE15</t>
  </si>
  <si>
    <t>VUE16</t>
  </si>
  <si>
    <t>VUE17</t>
  </si>
  <si>
    <t>VUE18</t>
  </si>
  <si>
    <t>VUE19</t>
  </si>
  <si>
    <t>VUE20A</t>
  </si>
  <si>
    <t>VUE21A</t>
  </si>
  <si>
    <t>VUE22A</t>
  </si>
  <si>
    <t>VUE24</t>
  </si>
  <si>
    <t>VUE25</t>
  </si>
  <si>
    <t>VUE26</t>
  </si>
  <si>
    <t>VUE27</t>
  </si>
  <si>
    <t>VUF01</t>
  </si>
  <si>
    <t>VUF02</t>
  </si>
  <si>
    <t>VUF03</t>
  </si>
  <si>
    <t>VUF05</t>
  </si>
  <si>
    <t>VUF06</t>
  </si>
  <si>
    <t>VUF07</t>
  </si>
  <si>
    <t>VV002</t>
  </si>
  <si>
    <t>VV002A</t>
  </si>
  <si>
    <t>VV002C</t>
  </si>
  <si>
    <t>VV002E</t>
  </si>
  <si>
    <t>VV006</t>
  </si>
  <si>
    <t>VV006A</t>
  </si>
  <si>
    <t>VV009</t>
  </si>
  <si>
    <t>VV009A</t>
  </si>
  <si>
    <t>VV010</t>
  </si>
  <si>
    <t>VV014</t>
  </si>
  <si>
    <t>VV014A</t>
  </si>
  <si>
    <t>VV015</t>
  </si>
  <si>
    <t>VV015A</t>
  </si>
  <si>
    <t>VV016</t>
  </si>
  <si>
    <t>VV018</t>
  </si>
  <si>
    <t>VV019</t>
  </si>
  <si>
    <t>VV020</t>
  </si>
  <si>
    <t>VV021</t>
  </si>
  <si>
    <t>VV022</t>
  </si>
  <si>
    <t>VV023</t>
  </si>
  <si>
    <t>VV024</t>
  </si>
  <si>
    <t>VV025</t>
  </si>
  <si>
    <t>VV026</t>
  </si>
  <si>
    <t>VV027</t>
  </si>
  <si>
    <t>VV027A</t>
  </si>
  <si>
    <t>VV028</t>
  </si>
  <si>
    <t>VV029</t>
  </si>
  <si>
    <t>VV030</t>
  </si>
  <si>
    <t>VV031</t>
  </si>
  <si>
    <t>VV032</t>
  </si>
  <si>
    <t>VV038</t>
  </si>
  <si>
    <t>VV038A</t>
  </si>
  <si>
    <t>VV038B</t>
  </si>
  <si>
    <t>VV040</t>
  </si>
  <si>
    <t>VV041</t>
  </si>
  <si>
    <t>VV042</t>
  </si>
  <si>
    <t>VV043</t>
  </si>
  <si>
    <t>VV045</t>
  </si>
  <si>
    <t>VV045A</t>
  </si>
  <si>
    <t>VV046</t>
  </si>
  <si>
    <t>VV046A</t>
  </si>
  <si>
    <t>VV047</t>
  </si>
  <si>
    <t>VV048</t>
  </si>
  <si>
    <t>VV048A</t>
  </si>
  <si>
    <t>VV054</t>
  </si>
  <si>
    <t>VV055</t>
  </si>
  <si>
    <t>VV055A</t>
  </si>
  <si>
    <t>VV057</t>
  </si>
  <si>
    <t>VV059</t>
  </si>
  <si>
    <t>VV060</t>
  </si>
  <si>
    <t>VV061</t>
  </si>
  <si>
    <t>VV064</t>
  </si>
  <si>
    <t>VV065</t>
  </si>
  <si>
    <t>VV068</t>
  </si>
  <si>
    <t>VV069</t>
  </si>
  <si>
    <t>VV071</t>
  </si>
  <si>
    <t>VV072</t>
  </si>
  <si>
    <t>VV074</t>
  </si>
  <si>
    <t>VV075</t>
  </si>
  <si>
    <t>VV076</t>
  </si>
  <si>
    <t>VV077</t>
  </si>
  <si>
    <t>VV077A</t>
  </si>
  <si>
    <t>VV078</t>
  </si>
  <si>
    <t>VV078A</t>
  </si>
  <si>
    <t>VV078C</t>
  </si>
  <si>
    <t>VV078D</t>
  </si>
  <si>
    <t>VV081</t>
  </si>
  <si>
    <t>VV082</t>
  </si>
  <si>
    <t>VV083</t>
  </si>
  <si>
    <t>VV085</t>
  </si>
  <si>
    <t>VV086</t>
  </si>
  <si>
    <t>VV088</t>
  </si>
  <si>
    <t>VV088A</t>
  </si>
  <si>
    <t>VV089</t>
  </si>
  <si>
    <t>VV090</t>
  </si>
  <si>
    <t>VV091</t>
  </si>
  <si>
    <t>VV094</t>
  </si>
  <si>
    <t>VV094A</t>
  </si>
  <si>
    <t>VV094B</t>
  </si>
  <si>
    <t>VV096</t>
  </si>
  <si>
    <t>VV099</t>
  </si>
  <si>
    <t>VV100</t>
  </si>
  <si>
    <t>VV101</t>
  </si>
  <si>
    <t>VV102</t>
  </si>
  <si>
    <t>VV103</t>
  </si>
  <si>
    <t>VV104</t>
  </si>
  <si>
    <t>VV105</t>
  </si>
  <si>
    <t>VV108</t>
  </si>
  <si>
    <t>VV108A</t>
  </si>
  <si>
    <t>VV109</t>
  </si>
  <si>
    <t>VV114</t>
  </si>
  <si>
    <t>VV117</t>
  </si>
  <si>
    <t>VV118</t>
  </si>
  <si>
    <t>VV120</t>
  </si>
  <si>
    <t>VV121</t>
  </si>
  <si>
    <t>VV121A</t>
  </si>
  <si>
    <t>VV123</t>
  </si>
  <si>
    <t>VV126</t>
  </si>
  <si>
    <t>VV127</t>
  </si>
  <si>
    <t>VV129</t>
  </si>
  <si>
    <t>VV130</t>
  </si>
  <si>
    <t>VV131</t>
  </si>
  <si>
    <t>VV132</t>
  </si>
  <si>
    <t>VV132A</t>
  </si>
  <si>
    <t>VV134</t>
  </si>
  <si>
    <t>VV135</t>
  </si>
  <si>
    <t>VV136</t>
  </si>
  <si>
    <t>VV139</t>
  </si>
  <si>
    <t>VV140</t>
  </si>
  <si>
    <t>VV141</t>
  </si>
  <si>
    <t>VV142</t>
  </si>
  <si>
    <t>VV144</t>
  </si>
  <si>
    <t>VV144A</t>
  </si>
  <si>
    <t>VV145</t>
  </si>
  <si>
    <t>VV146</t>
  </si>
  <si>
    <t>VV148</t>
  </si>
  <si>
    <t>VV149</t>
  </si>
  <si>
    <t>VV150</t>
  </si>
  <si>
    <t>VV151</t>
  </si>
  <si>
    <t>VV152</t>
  </si>
  <si>
    <t>VV153</t>
  </si>
  <si>
    <t>VV154</t>
  </si>
  <si>
    <t>VV155</t>
  </si>
  <si>
    <t>VV156</t>
  </si>
  <si>
    <t>VV157</t>
  </si>
  <si>
    <t>VV158</t>
  </si>
  <si>
    <t>VV159</t>
  </si>
  <si>
    <t>VV160</t>
  </si>
  <si>
    <t>VV161</t>
  </si>
  <si>
    <t>VV162</t>
  </si>
  <si>
    <t>VV163</t>
  </si>
  <si>
    <t>VV164</t>
  </si>
  <si>
    <t>VV165</t>
  </si>
  <si>
    <t>VV166</t>
  </si>
  <si>
    <t>VV167</t>
  </si>
  <si>
    <t>VV167A</t>
  </si>
  <si>
    <t>VV167B</t>
  </si>
  <si>
    <t>VV169</t>
  </si>
  <si>
    <t>VV169A</t>
  </si>
  <si>
    <t>VV170</t>
  </si>
  <si>
    <t>VV173</t>
  </si>
  <si>
    <t>VV174</t>
  </si>
  <si>
    <t>VV175</t>
  </si>
  <si>
    <t>VV175A</t>
  </si>
  <si>
    <t>VV177</t>
  </si>
  <si>
    <t>VV180</t>
  </si>
  <si>
    <t>VV181</t>
  </si>
  <si>
    <t>VV182</t>
  </si>
  <si>
    <t>VV183</t>
  </si>
  <si>
    <t>VV184</t>
  </si>
  <si>
    <t>VV187</t>
  </si>
  <si>
    <t>VV188</t>
  </si>
  <si>
    <t>VV189</t>
  </si>
  <si>
    <t>VV190</t>
  </si>
  <si>
    <t>VV191</t>
  </si>
  <si>
    <t>VV192</t>
  </si>
  <si>
    <t>VV193</t>
  </si>
  <si>
    <t>VV193B</t>
  </si>
  <si>
    <t>VV194</t>
  </si>
  <si>
    <t>VV195</t>
  </si>
  <si>
    <t>VV195B</t>
  </si>
  <si>
    <t>VV200</t>
  </si>
  <si>
    <t>VV201</t>
  </si>
  <si>
    <t>VV205</t>
  </si>
  <si>
    <t>VV206</t>
  </si>
  <si>
    <t>VV208</t>
  </si>
  <si>
    <t>VV209</t>
  </si>
  <si>
    <t>VV210</t>
  </si>
  <si>
    <t>VV211</t>
  </si>
  <si>
    <t>VV212</t>
  </si>
  <si>
    <t>VV213</t>
  </si>
  <si>
    <t>VV214</t>
  </si>
  <si>
    <t>VV215</t>
  </si>
  <si>
    <t>VV216</t>
  </si>
  <si>
    <t>VV217</t>
  </si>
  <si>
    <t>VV218</t>
  </si>
  <si>
    <t>VV219</t>
  </si>
  <si>
    <t>VV222</t>
  </si>
  <si>
    <t>VV224</t>
  </si>
  <si>
    <t>VV225</t>
  </si>
  <si>
    <t>VV227</t>
  </si>
  <si>
    <t>VV229</t>
  </si>
  <si>
    <t>VV230</t>
  </si>
  <si>
    <t>VV231</t>
  </si>
  <si>
    <t>VV231A</t>
  </si>
  <si>
    <t>VV232</t>
  </si>
  <si>
    <t>VV233</t>
  </si>
  <si>
    <t>VV234</t>
  </si>
  <si>
    <t>VV236</t>
  </si>
  <si>
    <t>VV238</t>
  </si>
  <si>
    <t>VV239</t>
  </si>
  <si>
    <t>VV240</t>
  </si>
  <si>
    <t>VV241</t>
  </si>
  <si>
    <t>VV242</t>
  </si>
  <si>
    <t>VV242A</t>
  </si>
  <si>
    <t>VV243</t>
  </si>
  <si>
    <t>VV244</t>
  </si>
  <si>
    <t>VV245</t>
  </si>
  <si>
    <t>VV246</t>
  </si>
  <si>
    <t>VV247</t>
  </si>
  <si>
    <t>VV248</t>
  </si>
  <si>
    <t>VV252</t>
  </si>
  <si>
    <t>VV253</t>
  </si>
  <si>
    <t>VV263</t>
  </si>
  <si>
    <t>VV263C</t>
  </si>
  <si>
    <t>VV272</t>
  </si>
  <si>
    <t>VV272A</t>
  </si>
  <si>
    <t>VV275</t>
  </si>
  <si>
    <t>VV276</t>
  </si>
  <si>
    <t>VV276A</t>
  </si>
  <si>
    <t>VV276B</t>
  </si>
  <si>
    <t>VV277</t>
  </si>
  <si>
    <t>VV278</t>
  </si>
  <si>
    <t>VV279</t>
  </si>
  <si>
    <t>VV280</t>
  </si>
  <si>
    <t>VV281</t>
  </si>
  <si>
    <t>VV282</t>
  </si>
  <si>
    <t>VV283</t>
  </si>
  <si>
    <t>VV284</t>
  </si>
  <si>
    <t>VV285</t>
  </si>
  <si>
    <t>VV286</t>
  </si>
  <si>
    <t>VV287</t>
  </si>
  <si>
    <t>VV288</t>
  </si>
  <si>
    <t>VV290</t>
  </si>
  <si>
    <t>VV291</t>
  </si>
  <si>
    <t>VV292</t>
  </si>
  <si>
    <t>VV293</t>
  </si>
  <si>
    <t>VV294</t>
  </si>
  <si>
    <t>VV299B</t>
  </si>
  <si>
    <t>VV299C</t>
  </si>
  <si>
    <t>VV299G</t>
  </si>
  <si>
    <t>VV299H</t>
  </si>
  <si>
    <t>VV299K</t>
  </si>
  <si>
    <t>VV299L</t>
  </si>
  <si>
    <t>VV307</t>
  </si>
  <si>
    <t>VV308</t>
  </si>
  <si>
    <t>VV309</t>
  </si>
  <si>
    <t>VV310</t>
  </si>
  <si>
    <t>VV311</t>
  </si>
  <si>
    <t>VV314</t>
  </si>
  <si>
    <t>VV315</t>
  </si>
  <si>
    <t>VV316</t>
  </si>
  <si>
    <t>VV317</t>
  </si>
  <si>
    <t>VV327</t>
  </si>
  <si>
    <t>VV328</t>
  </si>
  <si>
    <t>VV329</t>
  </si>
  <si>
    <t>VV330</t>
  </si>
  <si>
    <t>VV331</t>
  </si>
  <si>
    <t>VV332</t>
  </si>
  <si>
    <t>VV333</t>
  </si>
  <si>
    <t>VV335</t>
  </si>
  <si>
    <t>VV336</t>
  </si>
  <si>
    <t>VV338</t>
  </si>
  <si>
    <t>VV349</t>
  </si>
  <si>
    <t>VV349A</t>
  </si>
  <si>
    <t>VV350</t>
  </si>
  <si>
    <t>VV350A</t>
  </si>
  <si>
    <t>VV350B</t>
  </si>
  <si>
    <t>VV351</t>
  </si>
  <si>
    <t>VV351C</t>
  </si>
  <si>
    <t>VV352</t>
  </si>
  <si>
    <t>VV353</t>
  </si>
  <si>
    <t>VV353A</t>
  </si>
  <si>
    <t>VV354</t>
  </si>
  <si>
    <t>VV354A</t>
  </si>
  <si>
    <t>VV354C</t>
  </si>
  <si>
    <t>VV355</t>
  </si>
  <si>
    <t>VV355A</t>
  </si>
  <si>
    <t>VV356</t>
  </si>
  <si>
    <t>VV356A</t>
  </si>
  <si>
    <t>VV356D</t>
  </si>
  <si>
    <t>VV357</t>
  </si>
  <si>
    <t>VV358</t>
  </si>
  <si>
    <t>VV359</t>
  </si>
  <si>
    <t>VV360</t>
  </si>
  <si>
    <t>VV361</t>
  </si>
  <si>
    <t>VV361A</t>
  </si>
  <si>
    <t>VV362</t>
  </si>
  <si>
    <t>VV362A</t>
  </si>
  <si>
    <t>VV363</t>
  </si>
  <si>
    <t>VV363A</t>
  </si>
  <si>
    <t>VV364</t>
  </si>
  <si>
    <t>VV364A</t>
  </si>
  <si>
    <t>VV367</t>
  </si>
  <si>
    <t>VV368</t>
  </si>
  <si>
    <t>VV370</t>
  </si>
  <si>
    <t>VV371</t>
  </si>
  <si>
    <t>VV372</t>
  </si>
  <si>
    <t>VV373</t>
  </si>
  <si>
    <t>VV387</t>
  </si>
  <si>
    <t>VV388</t>
  </si>
  <si>
    <t>VV389</t>
  </si>
  <si>
    <t>VV390</t>
  </si>
  <si>
    <t>VV391</t>
  </si>
  <si>
    <t>VV392</t>
  </si>
  <si>
    <t>VV396</t>
  </si>
  <si>
    <t>VV397</t>
  </si>
  <si>
    <t>VV398</t>
  </si>
  <si>
    <t>VV399</t>
  </si>
  <si>
    <t>VV400</t>
  </si>
  <si>
    <t>VV401</t>
  </si>
  <si>
    <t>VV402</t>
  </si>
  <si>
    <t>VV403</t>
  </si>
  <si>
    <t>VV404</t>
  </si>
  <si>
    <t>VV405</t>
  </si>
  <si>
    <t>VV406</t>
  </si>
  <si>
    <t>VV407</t>
  </si>
  <si>
    <t>VV408</t>
  </si>
  <si>
    <t>VV409</t>
  </si>
  <si>
    <t>VV415</t>
  </si>
  <si>
    <t>VV417</t>
  </si>
  <si>
    <t>VV429</t>
  </si>
  <si>
    <t>VV430</t>
  </si>
  <si>
    <t>VV431</t>
  </si>
  <si>
    <t>VV432</t>
  </si>
  <si>
    <t>VV433</t>
  </si>
  <si>
    <t>VV434</t>
  </si>
  <si>
    <t>VV435</t>
  </si>
  <si>
    <t>VV436</t>
  </si>
  <si>
    <t>VV437</t>
  </si>
  <si>
    <t>VV438</t>
  </si>
  <si>
    <t>VV443</t>
  </si>
  <si>
    <t>VVB07</t>
  </si>
  <si>
    <t>VVB08</t>
  </si>
  <si>
    <t>VVB09</t>
  </si>
  <si>
    <t>VVB10</t>
  </si>
  <si>
    <t>VVB11</t>
  </si>
  <si>
    <t>VVB12</t>
  </si>
  <si>
    <t>VVB13</t>
  </si>
  <si>
    <t>VVB14</t>
  </si>
  <si>
    <t>VVB15</t>
  </si>
  <si>
    <t>VVB16</t>
  </si>
  <si>
    <t>VVB17</t>
  </si>
  <si>
    <t>VVB18</t>
  </si>
  <si>
    <t>VVB19</t>
  </si>
  <si>
    <t>VVB20</t>
  </si>
  <si>
    <t>VVB21</t>
  </si>
  <si>
    <t>VVB22</t>
  </si>
  <si>
    <t>VVB23</t>
  </si>
  <si>
    <t>VVB24</t>
  </si>
  <si>
    <t>VVB25</t>
  </si>
  <si>
    <t>VVB26</t>
  </si>
  <si>
    <t>VVB27</t>
  </si>
  <si>
    <t>VVB28</t>
  </si>
  <si>
    <t>VVB33</t>
  </si>
  <si>
    <t>VVB34</t>
  </si>
  <si>
    <t>VVD23A</t>
  </si>
  <si>
    <t>VVD23B</t>
  </si>
  <si>
    <t>VVD24A</t>
  </si>
  <si>
    <t>VVD26A</t>
  </si>
  <si>
    <t>VVE11A</t>
  </si>
  <si>
    <t>VVE12A</t>
  </si>
  <si>
    <t>VVE13A</t>
  </si>
  <si>
    <t>VVE17A</t>
  </si>
  <si>
    <t>VVE18A</t>
  </si>
  <si>
    <t>VVE24B</t>
  </si>
  <si>
    <t>launch the app, but didn’t get install_referral ?</t>
  </si>
  <si>
    <t>SRC : LEAFLET</t>
  </si>
  <si>
    <t>SRC : POS</t>
  </si>
  <si>
    <t>SRC : CAMPAIGN B (Cxxx, and some APD)</t>
  </si>
  <si>
    <t>ALL SOURCE</t>
  </si>
  <si>
    <t>Buyers are user that has install the application any sourcen, and later, bought the product, start the app but never scan at least 1 toys</t>
  </si>
  <si>
    <t>% based on POS download</t>
  </si>
  <si>
    <t>POS Scan</t>
  </si>
  <si>
    <t xml:space="preserve">POS Download </t>
  </si>
  <si>
    <t>number of user that download App at the Point of Sales</t>
  </si>
  <si>
    <t>POS Download follow later  by 1 scan toy at least</t>
  </si>
  <si>
    <t>number of user that download App using the  POS_A QR code on the point of sales, and later has scan at least 1 toys</t>
  </si>
  <si>
    <t>%  between the user who has scan at least one toys after downloading the App using the POS_A QRcode on point of sales</t>
  </si>
  <si>
    <t>MagicLink Scan</t>
  </si>
  <si>
    <t xml:space="preserve">MagicLink Download </t>
  </si>
  <si>
    <t>number of user that download App from the MagicLink</t>
  </si>
  <si>
    <t>MagicLink Download follow later  by 1 scan toy at least</t>
  </si>
  <si>
    <t>number of user that download App from the MagicLink code on the point of sales, and later has scan at least 1 toys</t>
  </si>
  <si>
    <t>%  between the user who has scan at least one toys after downloading the App from the MagicLink</t>
  </si>
  <si>
    <t>number of user that download App from the K.COM Badge page</t>
  </si>
  <si>
    <t xml:space="preserve">K.COM Badge page </t>
  </si>
  <si>
    <t xml:space="preserve">K.COM Badge page Download </t>
  </si>
  <si>
    <t>K.COM Badge page Download follow later  by 1 scan toy at least</t>
  </si>
  <si>
    <t>% based on K.COM Badge page download</t>
  </si>
  <si>
    <t>number of user that download App from the MaK.COM Badge page, and later has scan at least 1 toys</t>
  </si>
  <si>
    <t>%  between the user who has scan at least one toys after downloading the App from K.COM Badge page</t>
  </si>
  <si>
    <t>Buyers are user that has install the application from K.COM Badge page, and later, bought the product, start the app but never scan at least 1 toys</t>
  </si>
  <si>
    <t>all Scan</t>
  </si>
  <si>
    <t xml:space="preserve">all Download </t>
  </si>
  <si>
    <t>number of user that download App from any source</t>
  </si>
  <si>
    <t>number of user that download App from any source on the point of sales, and later has scan at least 1 toys</t>
  </si>
  <si>
    <t>%  between the user who has scan at least one toys after downloading the App fromany source</t>
  </si>
  <si>
    <t xml:space="preserve">Buyers are user that has install the application any source, bought the product and start to scan at least 1 toys </t>
  </si>
  <si>
    <t>IdentId for  K.COM</t>
  </si>
  <si>
    <t>IOS</t>
  </si>
  <si>
    <t>ANDROID</t>
  </si>
  <si>
    <t>SRC : KINDER.COM APPLAYDU BADGE PAGE  (/ios ; /android)</t>
  </si>
  <si>
    <t xml:space="preserve">COMMON </t>
  </si>
  <si>
    <t>PATTERN=('APD_S_VV029','APD_S_VV100','APD_S_VV114','APD_S_VV126','APD_S_VV145','APD_S_VV148','APD_S_VV158','APD_S_VV193','APD01','APD03','APD04','APD05','APD06','APD07','APD08','APD09','APD10','APD103','APD104','APD105','APD106','APD107','APD108','APD11','APD110','APD112','APD116','APD117','APD118','APD12','APD120','APD122','APD123','APD127','APD13','APD14','APD140','APD149','APD15','APD150','APD16','APD17','APD18','APD180','APD19','APD20','APD208','APD21','APD210','APD212','APD213','APD214','APD215','APD216','APD217','APD218','APD219','APD22','APD220','APD221','APD222','APD224','APD225','APD226','APD23','APD24','APD25','APD26','APD27','APD28','APD29','APD30','APD31','APD32','APD33','APD34','APD35','APD36','APD37','APD38','APD39','APD40','APD41','APD42','APD43','APD44','APD45','APD46','APD47','APD48','APD49','APD50','APD51','APD52','APD53','APD54','APD55','APD56','APD57','APD58','APD59','APD60','APD61','APD63','APD64','APD65','APD71','APD72','APD73','APD74','APD75','APD76','APD77','APD78','APD79','APD80','APD81','APD82','APD83','APD84','APD85','APD86','APD87','APD88','APD89','APD90','APD91','APD92','APD93','APD94','APD95','APD96','APD97','APD98','APD99','C210')</t>
  </si>
  <si>
    <t>Question:</t>
  </si>
  <si>
    <t xml:space="preserve">https://dashboard.applaydu.com/question/2307-question-v1-basic-kpi-qr-first-scans-external-download-and-1st-scan-toys-in-app-conversion-by-ident-id-leaflet-only </t>
  </si>
  <si>
    <t>PATTERN=('APD02','APD100','APD1002','APD1003','APD1004','APD1005','APD1006','APD1007','APD1008','APD1009','APD1010','APD1011','APD1012','APD1013','APD1014','APD1015','APD1016','APD1017','APD102','APD109','APD111','APD113','APD114','APD115','APD119','APD121','APD124','APD125','APD126','APD128','APD129','APD130','APD131','APD132','APD133','APD134','APD135','APD136','APD137','APD138','APD139','APD141','APD142','APD143','APD144','APD145','APD146','APD147','APD148','APD151','APD152','APD153','APD154','APD155','APD156','APD157','APD158','APD159','APD160','APD161','APD162','APD163','APD164','APD165','APD166','APD167','APD168','APD169','APD170','APD171','APD172','APD173','APD174','APD175','APD176','APD177','APD178','APD179','APD181','APD182','APD183','APD184','APD185','APD186','APD187','APD188','APD189','APD190','APD191','APD192','APD197','APD198','APD199','APD200','APD201','APD202','APD67','APD68','APD69','APD70','APDC2173','APDPOS')</t>
  </si>
  <si>
    <t xml:space="preserve">PATTERN=     kpi_ident_campaign.ident_id   LIKE 'C__' 
       or kpi_ident_campaign.ident_id = 'C11&amp;' 
        or kpi_ident_campaign.ident_id   LIKE 'C___' 
        or kpi_ident_campaign.ident_id   LIKE 'C____' </t>
  </si>
  <si>
    <t>PATTERN=    ('IOS','ANDROID')</t>
  </si>
  <si>
    <t>Samsung (84515)</t>
  </si>
  <si>
    <t>AppInChina (82471)</t>
  </si>
  <si>
    <t>iOS (81335)</t>
  </si>
  <si>
    <t>Android (81337)</t>
  </si>
  <si>
    <t>PATTERN=('DV014A','DV015','DV015A','DV022','DV023','DV024','DV051','DV109','DV138','DV139','DV139B','DV174','DV174B','DV232','DV233','DV234','DV238B','DV250','DV255','DV258','DV272','DV273A','DV282','DV318','DV334','DV362A','DV362C','DV362D','DV378A','DV395','DV396','DV397','DV398','DV399','DV400','DV401','DV402','DV433','DV434','DV435','DV436','DV437','DV438','DV439','DV440','DV442A','DV442C','DV442D','DV443A','DV443C','DV443D','DV457','DV457A','DV460B','DV460G','DV460H','DV475B','DV475C','DV499','DV499A','DV506','DV507','DV508','DV509','DV510','DV511','DV512','DV521','DV522A','DV522C','DV532A','DV542A','DV542C','DV547','DV547A','DV547C','DV547D','DV547E','DV547H','DV560B','DV560C','DV560D','DV560E','DV560F','DV575','DV576','DV577','DV578','DV579','DV580','DV581','DV582','DV597','DV598','DV599','DV600','DV601','DV602','DV603','DV604','DVA02','DVA03','DVA04','DVA05','DVA06','DVA07','DVB21','DVB22','DVB23','DVB24','DVB25','DVB26','DVB27','DVD06A','DVD23A','DVD24A','DVD25A','DVD26A','DVE09A','DVE10A','DVE12A','DVE13','DVE14','DVE15','DVE16','DVE17','DVE18','DVE19','DVE20','EN042','EN043','EN130','EN147A','EN266A','EN266B','EN266C','EN296B','EN298C','EN301I','EN301J','EN301K','EN301L','EN348C','EN349A','EN373','EN374','EN375A','EN378','EN390','EN391','EN392','EN393A','EN394','EN399','EN399B','EN401A','EN403A','EN410','EN413A','EN415A','EN416A','EN423','EN424A','EN427A','EN428A','EN429A','EN430','EN500A','EN525','EN526','EN527','EN528','EN529','EN530','EN531','EN532','EN533','EN534','EN537','EN539A','EN539B','EN539D','EN539E','EN539G','EN539H','EN543A','EN543B','EN543D','EN549','EN551','EN552','EN554','EN555','EN556','EN571','EN596C','EN608','EN609','EN610','EN611','EN612','EN613','EN614','EN615','EN616','ENB07A','ENB13','ENB14','ENB15','ENB16','ENB27','ENB28','ENB29','ENB34A','END10A','END19','END21','END22','END23','FF111M','FF111N','FF111Q','FF111S','FF111T','FF111W','FF111X','FF534K','FF534L','FF534N','FS144E','FS144F','FS577A','FS577B','SD285A','SD289','SD560A','SD596','SD598','SD603','SD671D','SD671E','SD672D','SD672E','SD672I','SD672J','SDB38','SDB39','SDB40','SDB42','SDB44','SDD06A','SE056A','SE173A','SE304','SE306','SE521A','SE528L','SE528M','SE528O','SE566A','SE574A','SE575B','SE575C','SE575F','SE575G','SE628','SE629','SE630','SE631','SE632','SE633','SE662N','SE662O','SE662P','SE662Q','SE662R','SE662S','SE662T','SE662U','SE675','SE676','SE677','SE685','SE704','SE705','SE706','SE725A','SE753C','SE754B','SE755C','SE755D','SE756C','SE757B','SE758C','SE759B','SE768A','SE771C','SE781C','SE781D','SE785K','SE785L','SE785M','SE789M','SE789Q','SE790E','SE790F','SE790G','SE794U','SEB09','SEB10','SED17A','SED18','SED18A','Test1','Test1','Test1','Test1','VD001','VD002','VD003','VD004','VD007','VD009','VD015','VD016','VD023','VD024','VD025','VD026','VD035','VD036','VD043','VD044','VD049','VD050','VD053','VD054','VD057','VD057A','VD058','VD058A','VD059','VD059A','VD060','VD060A','VD067','VD068','VD071','VD072','VD077','VD077A','VD080','VD080A','VD083','VD083A','VD084','VD085','VD093','VD093A','VD094','VD095','VD096','VD097','VD106','VD107','VD108','VD109','VD110','VD111','VD112','VD113','VD116','VD117','VD118','VD119','VD122','VD122A','VD124','VD125','VD126','VD127','VD128','VD129','VD134','VD134A','VD135','VD138','VD139','VD140','VD141','VD142','VD143','VD144','VD144A','VD145','VD145A','VD146','VD147','VD148','VD149','VD150','VD151','VD152','VD153','VD157','VD157A','VD158','VD159','VD160','VD161','VD163','VD164','VD165','VD166','VD167','VD167A','VD168','VD168A','VD169','VD169A','VD175','VD175A','VD176','VD177','VD178','VD179','VD180','VD181','VD184','VD185','VD186','VD187','VD188','VD197','VD197A','VD198','VD198A','VD199','VD200','VD204','VD205','VD207','VD208','VD209','VD210','VD213','VD214','VD215','VD216','VD217','VD218','VD219','VD219A','VD222','VD223','VD224','VD224A','VD224B','VD224C','VD226','VD226A','VD227','VD227A','VD227B','VD227C','VD227E','VD227F','VD227G','VD227H','VD227I','VD227N','VD229','VD230','VD233','VD234','VD238','VD239','VD240','VD241','VD242','VD243','VD244','VD245','VD246','VD247','VD248','VD249','VD251','VD252','VD257','VD258','VD259','VD260','VD261','VD262','VD263','VD264','VD265','VD266','VD267','VD268','VD269','VD270','VD272','VD273','VD275','VD276','VD276A','VD277','VD278','VD278A','VD280','VD281','VD282','VD283','VD284','VD285','VD285B','VD286','VD286C','VD287','VD288','VD289','VD290','VD291','VD292','VD293','VD293C','VD294','VD295','VD297','VD299','VD300','VD301','VD302','VD303','VD305','VD306','VD306A','VD307','VD307A','VD308','VD309','VD310','VD340','VD341','VD342','VD343','VD344','VD345','VD346','VD347','VD348','VD349','VD350','VD351','VD352','VD353','VD354','VD358','VD361','VD362','VD362B','VD364','VD374','VD375','VD376','VD377','VD378','VD379','VD380','VD381','VD384','VD398','VD398A','VD399','VD400','VD401','VD402','VD403','VD404','VD405','VD406','VD407','VD407A','VD408','VD409','VD410','VD411','VD414','VD415','VD416','VD428','VD431','VD431B','VD431C','VD434','VD441','VD442','VD443','VD444','VD445','VD446','VD447','VD448','VD476','VD477','VD477B','VD478','VD478A','VD485','VDA01','VDA01A','VDA02','VDA02A','VDB01','VDB02','VDB03','VDB06','VDB07','VDB08','VDB09','VDB10','VDB11','VDB12','VDB13','VDB16','VDB23','VDB24','VDB25','VDB26','VDB27','VDB28','VDB29','VDB30','VDB31','VDB32','VDB33','VDD02','VDD02A','VDD03','VDD03A','VDD03B','VDD04','VDD04A','VDD04B','VDD05','VDD05A','VDD06','VDD07','VDD08','VDD09','VDD10','VDD11','VDD12','VDD13','VDD14','VDD15','VDD16','VDD17','VDD18','VDD19','VDD20','VDD21','VDD22','VDE01','VDE02','VDE03','VDE04','VDE05','VDE06','VDE07','VDE08','VDE09','VDE10','VDE11','VDE18','VDE20','VDF01','VDF02','VDF03','VDF07','VDF08','VDF09','VT009','VT010','VT013','VT014','VT015','VT016','VT017','VT018','VT019','VT020','VT023','VT024','VT025','VT026','VT030','VT030A','VT034','VT034A','VT035','VT036','VT037','VT038','VT039','VT039A','VT040','VT041','VT041B','VT044','VT045','VT046','VT048','VT048A','VT049','VT050','VT052','VT054','VT055','VT058','VT059','VT060','VT061','VT062','VT062A','VT063','VT064','VT065','VT070','VT071','VT072','VT073','VT076','VT076A','VT078','VT079','VT082','VT082A','VT084','VT084A','VT084B','VT085','VT085A','VT085B','VT086','VT086A','VT087','VT087A','VT088','VT088A','VT094','VT095','VT096','VT097','VT102','VT103','VT103A','VT106','VT107','VT108','VT109','VT110','VT111','VT114','VT114B','VT119','VT119A','VT120','VT121','VT122','VT123','VT124','VT125','VT126','VT127','VT128','VT129','VT130','VT131','VT132','VT133','VT134','VT135','VT136','VT137','VT139','VT139A','VT140','VT141','VT142','VT143','VT144','VT145','VT148','VT149','VT151','VT151A','VT152','VT153','VT154','VT157','VT158','VT159','VT160','VT162','VT163','VT164','VT165','VT172','VT173','VT174','VT175','VT178','VT179','VT180','VT181','VT182','VT183','VT184','VT185','VT186','VT187','VT188','VT189','VT190','VT191','VT194','VT195','VT196','VT198','VT198A','VT200','VT201','VT202','VT203','VT204','VT209','VT210','VT213','VT213A','VT217','VT218','VT220','VT239','VT240','VT241','VT242','VT244','VT245','VT246','VT247','VT248','VT256','VT257','VT258','VT258A','VT259','VT259B','VT260','VT261','VT262','VT263','VT264','VT265','VT266','VT268','VT292','VT293','VT295','VT297','VT298','VT300','VT301','VT302','VT304','VT305','VT323','VT324','VT327','VT328','VT329','VT330','VT331','VT334','VT335','VT336','VT337','VT338','VT339','VT340','VT341','VT342','VT343','VT344','VT345','VT346','VT347','VT349','VT352','VT352A','VT353','VT354','VT362','VT374','VT376','VT381','VT384','VT385','VT386','VT414','VT415','VT416','VT417','VT418','VT419','VT420','VT421','VT422','VT423','VT424','VT425','VT428','VT429','VT432','VT433','VT434','VT435','VT437','VT438','VT439','VT440','VT441','VT442','VT442E','VT442F','VT442G','VT444','VTA01','VTA01A','VTA02','VTA02A','VTB06','VTB10','VTB11','VTB12','VTB13','VTB14','VTB16','VTB18','VTB19','VTB20','VTB21','VTB22','VTB29','VTB34','VTB35','VTB36','VTB40','VTB41','VTB42','VTB43','VTB44','VTB45','VTB46','VTB47','VTB48','VTD01','VTD01A','VTD02','VTD02A','VTD02B','VTD03','VTD03A','VTD04','VTD04A','VTD04B','VTD05','VTD06','VTD09','VTD10','VTD11','VTD12','VTD13','VTD14','VTD15','VTD16','VTD17','VTD18','VTD19','VTD20','VTD21','VTD22','VTD23','VTE01','VTE02','VTE03','VTE04','VTE05','VTE06','VTE07','VTE08','VTE09','VTE10','VTE11','VTE12','VTE13','VTE14','VTE15','VTE16','VTE17','VTE25','VTE26','VTE31','VTE32','VTE33','VTE34','VTE35','VTF01','VTF03','VTF04','VTF05','VTF06','VTF07','VU020','VU021','VU027','VU027B','VU028','VU029','VU030','VU030A','VU032','VU036','VU037','VU038','VU038A','VU040','VU041','VU042','VU042B','VU043','VU044','VU046','VU047','VU048','VU049','VU050','VU050A','VU050B','VU050C','VU055','VU056','VU062','VU062A','VU063','VU064','VU065','VU067','VU070','VU071','VU074','VU075','VU076','VU077','VU078','VU079','VU080','VU083','VU084','VU085','VU088','VU089','VU090','VU091','VU092','VU093','VU094','VU096','VU097','VU097A','VU098','VU098A','VU101','VU102','VU108','VU109','VU110','VU111','VU112','VU112A','VU115','VU116','VU117','VU117A','VU121','VU122','VU125','VU126','VU129','VU130','VU130A','VU131','VU133','VU133A','VU134','VU136','VU136A','VU139','VU140','VU143','VU144','VU146','VU147','VU148','VU149','VU151','VU155','VU155A','VU156','VU158','VU158A','VU159','VU159A','VU159B','VU160','VU164','VU165','VU165A','VU166','VU167','VU167A','VU168','VU168B','VU169','VU170','VU170A','VU171','VU172','VU172A','VU173','VU174','VU174A','VU178','VU179','VU179A','VU181','VU181A','VU183','VU183A','VU184','VU185','VU186','VU186A','VU187','VU188','VU189','VU190','VU191','VU192','VU192A','VU193','VU195','VU196','VU197','VU198','VU199','VU200','VU203','VU204','VU205','VU206','VU206A','VU210','VU210A','VU211','VU213','VU214','VU214A','VU215','VU215A','VU217','VU220','VU220A','VU221','VU222','VU223','VU223A','VU223B','VU224','VU224B','VU224C','VU225','VU225B','VU226','VU226B','VU228','VU229','VU229A','VU230','VU231','VU232','VU232A','VU233','VU234','VU235','VU235A','VU236','VU236A','VU237','VU238','VU239','VU240','VU241','VU242','VU243','VU243A','VU244','VU244A','VU244B','VU245','VU245A','VU246','VU247','VU248','VU249','VU249A','VU252','VU254','VU255','VU256','VU257','VU258','VU260','VU261','VU262','VU263','VU264','VU265','VU266','VU267','VU268','VU269','VU269A','VU270','VU270A','VU271','VU271A','VU273','VU275','VU276','VU277','VU278','VU278A','VU278F','VU278G','VU278H','VU278I','VU279','VU279A','VU280','VU281','VU282','VU284','VU284A','VU285','VU286','VU287','VU288','VU289','VU289A','VU289D','VU289E','VU289F','VU290','VU291','VU292','VU294','VU294A','VU295','VU295A','VU296','VU296A','VU297','VU298','VU299','VU300','VU301','VU308','VU309','VU310','VU311','VU312','VU313','VU314','VU315','VU317','VU318','VU319','VU320','VU322','VU324','VU325','VU326','VU327','VU328','VU329','VU331','VU332','VU333','VU334','VU335','VU336','VU337','VU338','VU339','VU340','VU341','VU342','VU342A','VU343','VU344','VU344C','VU345','VU346','VU347','VU348','VU349','VU350','VU351','VU352','VU352A','VU353','VU354','VU354A','VU355','VU356','VU357','VU358','VU359','VU360','VU361','VU362','VU419','VU420','VU421','VU422','VU423','VU424','VU425','VU426','VU431','VU432','VU433','VU434','VU435','VU436','VU437','VU438','VU439','VU440','VU441','VU442','VU443','VU444','VU445','VU446','VU446A','VU447','VU448','VU449','VU450','VU451','VU453','VU454','VU455','VU456','VU488','VU489','VU490','VU490A','VU491','VU492','VU492E','VU492F','VU493','VU494','VU494A','VU494B','VUB01','VUB02','VUB03','VUB04','VUB05','VUB06','VUB07','VUB08','VUB09','VUB10','VUB11','VUB12','VUB13','VUB14','VUB15','VUB16','VUB17','VUB18','VUB19','VUB20','VUB21','VUB22','VUB23','VUB24','VUB25','VUB26','VUB27','VUB28','VUB29','VUB30','VUB31','VUD05','VUD05A','VUD06','VUD06A','VUD06B','VUD07','VUD07A','VUD07B','VUD08','VUD08A','VUD09','VUD10','VUD11','VUD12','VUD13','VUD14','VUD18','VUD19','VUD20','VUD21','VUD22','VUD23','VUD24','VUD25','VUD26','VUD26A','VUD26B','VUD27','VUD28','VUE01','VUE02','VUE03','VUE04','VUE05','VUE06','VUE07','VUE08','VUE09','VUE10','VUE11','VUE12','VUE13','VUE14','VUE15','VUE16','VUE17','VUE18','VUE19','VUE20A','VUE21A','VUE22A','VUE24','VUE25','VUE26','VUE27','VUF01','VUF02','VUF03','VUF05','VUF06','VUF07','VV002','VV002A','VV002C','VV002E','VV006','VV006A','VV009','VV009A','VV010','VV014','VV014A','VV015','VV015A','VV016','VV018','VV019','VV020','VV021','VV022','VV023','VV024','VV025','VV026','VV027','VV027A','VV028','VV029','VV030','VV031','VV032','VV038','VV038A','VV038B','VV040','VV041','VV042','VV043','VV045','VV045A','VV046','VV046A','VV047','VV048','VV048A','VV054','VV055','VV055A','VV057','VV059','VV060','VV061','VV064','VV065','VV068','VV069','VV071','VV072','VV074','VV075','VV076','VV077','VV077A','VV078','VV078A','VV078C','VV078D','VV081','VV082','VV083','VV085','VV086','VV088','VV088A','VV089','VV090','VV091','VV094','VV094A','VV094B','VV096','VV099','VV100','VV101','VV102','VV103','VV104','VV105','VV108','VV108A','VV109','VV114','VV117','VV118','VV120','VV121','VV121A','VV123','VV126','VV127','VV129','VV130','VV131','VV132','VV132A','VV134','VV135','VV136','VV139','VV140','VV141','VV142','VV144','VV144A','VV145','VV146','VV148','VV149','VV150','VV151','VV152','VV153','VV154','VV155','VV156','VV157','VV158','VV159','VV160','VV161','VV162','VV163','VV164','VV165','VV166','VV167','VV167A','VV167B','VV169','VV169A','VV170','VV173','VV174','VV175','VV175A','VV177','VV180','VV181','VV182','VV183','VV184','VV187','VV188','VV189','VV190','VV191','VV192','VV193','VV193B','VV194','VV195','VV195B','VV200','VV201','VV205','VV206','VV208','VV209','VV210','VV211','VV212','VV213','VV214','VV215','VV216','VV217','VV218','VV219','VV222','VV224','VV225','VV227','VV229','VV230','VV231','VV231A','VV232','VV233','VV234','VV236','VV238','VV239','VV240','VV241','VV242','VV242A','VV243','VV244','VV245','VV246','VV247','VV248','VV252','VV253','VV263','VV263C','VV272','VV272A','VV275','VV276','VV276A','VV276B','VV277','VV278','VV279','VV280','VV281','VV282','VV283','VV284','VV285','VV286','VV287','VV288','VV290','VV291','VV292','VV293','VV294','VV299B','VV299C','VV299G','VV299H','VV299K','VV299L','VV307','VV308','VV309','VV310','VV311','VV314','VV315','VV316','VV317','VV327','VV328','VV329','VV330','VV331','VV332','VV333','VV335','VV336','VV338','VV349','VV349A','VV350','VV350A','VV350B','VV351','VV351C','VV352','VV353','VV353A','VV354','VV354A','VV354C','VV355','VV355A','VV356','VV356A','VV356D','VV357','VV358','VV359','VV360','VV361','VV361A','VV362','VV362A','VV363','VV363A','VV364','VV364A','VV367','VV368','VV370','VV371','VV372','VV373','VV387','VV388','VV389','VV390','VV391','VV392','VV396','VV397','VV398','VV399','VV400','VV401','VV402','VV403','VV404','VV405','VV406','VV407','VV408','VV409','VV415','VV417','VV429','VV430','VV431','VV432','VV433','VV434','VV435','VV436','VV437','VV438','VV443','VVB07','VVB08','VVB09','VVB10','VVB11','VVB12','VVB13','VVB14','VVB15','VVB16','VVB17','VVB18','VVB19','VVB20','VVB21','VVB22','VVB23','VVB24','VVB25','VVB26','VVB27','VVB28','VVB33','VVB34','VVD23A','VVD23B','VVD24A','VVD26A','VVE11A','VVE12A','VVE13A','VVE17A','VVE18A','VVE24B')</t>
  </si>
  <si>
    <t>Buyers are user that has install the application from the POS QR scan</t>
  </si>
  <si>
    <t>Buyers are user that has install the application from the Magic Link QR link, and later</t>
  </si>
  <si>
    <t>Buyers are user that has install the application from K.COM Badge page, and later, bought the product</t>
  </si>
  <si>
    <t>https://dashboard.applaydu.com/question/2309-applaydu-qr-first-scans-external-download-and-1st-scan-toys-in-app-conversion-by-ident-id-pos</t>
  </si>
  <si>
    <t>https://dashboard.applaydu.com/question/2308-applaydu-qr-first-scans-external-download-and-1st-scan-toys-in-app-conversion-by-ident-id-k-com-badge-page</t>
  </si>
  <si>
    <t>https://dashboard.applaydu.com/question/2310-applaydu-qr-first-scans-external-download-and-1st-scan-toys-in-app-conversion-by-ident-id-campaign-b</t>
  </si>
  <si>
    <t>https://dashboard.applaydu.com/question/2311-applaydu-qr-first-scans-external-download-and-1st-scan-toys-in-app-conversion-by-ident-id-leftover</t>
  </si>
  <si>
    <t>SRC : LEFTOVER</t>
  </si>
  <si>
    <t xml:space="preserve">leftover </t>
  </si>
  <si>
    <t xml:space="preserve">leftover Download </t>
  </si>
  <si>
    <t>leftover Download follow later  by 1 scan toy at least</t>
  </si>
  <si>
    <t>% based onleftover download</t>
  </si>
  <si>
    <t>% based on number o fleftover scan</t>
  </si>
  <si>
    <t>number of user that download App from the leftover</t>
  </si>
  <si>
    <r>
      <t xml:space="preserve">number of user that download App from </t>
    </r>
    <r>
      <rPr>
        <b/>
        <sz val="11"/>
        <color indexed="8"/>
        <rFont val="Calibri"/>
        <family val="2"/>
        <scheme val="minor"/>
      </rPr>
      <t>lefover</t>
    </r>
    <r>
      <rPr>
        <sz val="11"/>
        <color indexed="8"/>
        <rFont val="Calibri"/>
        <family val="2"/>
        <scheme val="minor"/>
      </rPr>
      <t>, and later has scan at least 1 toys</t>
    </r>
  </si>
  <si>
    <t>%  between the user who has scan at least one toys after downloading the App from leftover</t>
  </si>
  <si>
    <t>Buyers are user that has install the application from leftover, and later, bought the product</t>
  </si>
  <si>
    <t>Buyers are user that has install the application fromleftover, and later, bought the product, start the app but never scan at least 1 toys</t>
  </si>
  <si>
    <t>google and apple = new user</t>
  </si>
  <si>
    <t>google  = new user and apple=all</t>
  </si>
  <si>
    <t>UTM_MEDIUM (SCAN)</t>
  </si>
  <si>
    <t>REDIRECT</t>
  </si>
  <si>
    <t>TOTAL</t>
  </si>
  <si>
    <t>NO_FINGERPRINT_NO_STORE</t>
  </si>
  <si>
    <t>STORE_NO_FINGERPRINT</t>
  </si>
  <si>
    <t>MISMATCH_STORE_FINGERPRINT</t>
  </si>
  <si>
    <t>MATCH_STORE_FINGERPRINT</t>
  </si>
  <si>
    <t>FINGERPRINT_NO_STORE</t>
  </si>
  <si>
    <t>Store Viewers (using the Store analysis)</t>
  </si>
  <si>
    <t>Organic (Search +Browse) - ALL acquisition</t>
  </si>
  <si>
    <t>Organic (Search +Browse) - NEW acquisition</t>
  </si>
  <si>
    <t>Store Viewers (Organic)</t>
  </si>
  <si>
    <t>https://dashboard.applaydu.com/question/2314-applaydu-number-of-organic-users-that-scan-at-least-1-toy?</t>
  </si>
  <si>
    <t>https://dashboard.applaydu.com/question/2326-users-who-have-scanned-surprises-in-2022-by-old-new-users-and-platform</t>
  </si>
  <si>
    <t>Users in 2022 who has scanned surprised</t>
  </si>
  <si>
    <t>Users before 2022 who has scanned surprised</t>
  </si>
  <si>
    <t>TOY SCANNER</t>
  </si>
  <si>
    <t>UserID (anonymousID) before 2022</t>
  </si>
  <si>
    <t>UserID (anonymousID) in 2022</t>
  </si>
  <si>
    <t>Organic user that has scan at least 1 toys</t>
  </si>
  <si>
    <t>SRC: ORGANIC</t>
  </si>
  <si>
    <t>Total Organic USER</t>
  </si>
  <si>
    <t>Organic muser non toys scan</t>
  </si>
  <si>
    <t xml:space="preserve">Number of USER </t>
  </si>
  <si>
    <t>https://dashboard.applaydu.com/question/916-question-light-kpi-for-bu-number-of-users-by-shop?idate=2021-03-01~2022-02-28</t>
  </si>
  <si>
    <t>APP USER (DAU)</t>
  </si>
  <si>
    <t>APP NEW USER (NEW USER)</t>
  </si>
  <si>
    <t>use session_id=1</t>
  </si>
  <si>
    <t>https://dashboard.applaydu.com/question/2325-applaydu-number-of-new-users-by-shop?idate=2021-03-01~2022-02-28</t>
  </si>
  <si>
    <t xml:space="preserve">Number of NEW USER </t>
  </si>
  <si>
    <t>TOYSCANNER</t>
  </si>
  <si>
    <t>users before 1st march 2021</t>
  </si>
  <si>
    <t>users on and after 1st march 2021</t>
  </si>
  <si>
    <t>all users within the timeframe</t>
  </si>
  <si>
    <t>https://dashboard.applaydu.com/question/2326-users-who-have-scanned-surprises-by-old-new-users-and-platform?timeframe=2021-03-01~2022-02-28</t>
  </si>
  <si>
    <t>https://dashboard.applaydu.com/question/249-total-downloads?idate=2021-03-01~2022-02-28</t>
  </si>
  <si>
    <t>APPUSER</t>
  </si>
  <si>
    <t>ALL</t>
  </si>
  <si>
    <t>TOYS SCANNER</t>
  </si>
  <si>
    <t>LEAFLET</t>
  </si>
  <si>
    <t>REFERRAL</t>
  </si>
  <si>
    <t>CAMPAIGN B</t>
  </si>
  <si>
    <t>POS</t>
  </si>
  <si>
    <t>K.COM</t>
  </si>
  <si>
    <t>https://dashboard.applaydu.com/question/2314-applaydu-number-of-organic-users-that-scan-at-least-1-toy?
https://dashboard.applaydu.com/question/2328-applaydu-number-of-organic-users-that-do-not-scan-toys?idate=2021-03-01~2022-02-28</t>
  </si>
  <si>
    <t>MAX toys scanned</t>
  </si>
  <si>
    <t>INSTALLATION (Download)</t>
  </si>
  <si>
    <t>SCANNERS ONLY</t>
  </si>
  <si>
    <t>https://dashboard.applaydu.com/question/2328-applaydu-number-of-organic-users-that-do-not-scan-toys?idate=2021-03-01~2022-02-28</t>
  </si>
  <si>
    <t xml:space="preserve">TOTAL </t>
  </si>
  <si>
    <t>MAX  scanner only</t>
  </si>
  <si>
    <t>LEFTOVER</t>
  </si>
  <si>
    <t>NOT IDENTIFIED</t>
  </si>
  <si>
    <t>IDENTIFIED FROM TOPSCANNER</t>
  </si>
  <si>
    <t>IDENTIFIED FRPM SCANNERS ONLY</t>
  </si>
  <si>
    <t>TOTAL  (minimum identified)</t>
  </si>
  <si>
    <t>ORGANIC SOURCE</t>
  </si>
  <si>
    <t>Product View</t>
  </si>
  <si>
    <t>REFERRAL USERS</t>
  </si>
  <si>
    <t>SOURCE (LEFT SIDE)</t>
  </si>
  <si>
    <t>STORE (CENTER)</t>
  </si>
  <si>
    <t>APP (RIGHT SIDE)</t>
  </si>
  <si>
    <t>NEW USER 2022 (not ORGANIC)</t>
  </si>
  <si>
    <t>LEAFLET SCANNERS (include leftover)</t>
  </si>
  <si>
    <t>indicator</t>
  </si>
  <si>
    <t>TOTAL  (minimum confirmed &amp; identified)</t>
  </si>
  <si>
    <t>NON-ORGANIC</t>
  </si>
  <si>
    <t>TOTAL MISSING</t>
  </si>
  <si>
    <t>NON IDENTIFIED USER</t>
  </si>
  <si>
    <t>NON IDENTIFIED ORGANIC USER</t>
  </si>
  <si>
    <t>NON IDENTIFIED USER =&gt; LEAFLET</t>
  </si>
  <si>
    <t>1st Approach</t>
  </si>
  <si>
    <t>2nd Approach</t>
  </si>
  <si>
    <t xml:space="preserve">NON IDENTIFIED USER </t>
  </si>
  <si>
    <t>3rd Approach</t>
  </si>
  <si>
    <t>Organic muser non toys scan (details)</t>
  </si>
  <si>
    <t>Third party referral visitors</t>
  </si>
  <si>
    <t>Third party referral acquisition</t>
  </si>
  <si>
    <t>NON-DOWNLOADERS</t>
  </si>
  <si>
    <t>Processing</t>
  </si>
  <si>
    <t>APP STORE VISITOR</t>
  </si>
  <si>
    <t>NON DOWNLOADERS</t>
  </si>
  <si>
    <t>in %</t>
  </si>
  <si>
    <t>TOTAL APP USERS</t>
  </si>
  <si>
    <t>DOWNLOADS</t>
  </si>
  <si>
    <t>TOYS/QR SCANNER</t>
  </si>
  <si>
    <t>LEAFLET SCANNERS</t>
  </si>
  <si>
    <t>Android confirmed</t>
  </si>
  <si>
    <t>Apple estimation</t>
  </si>
  <si>
    <t>Leftover</t>
  </si>
  <si>
    <t>OTHERS</t>
  </si>
  <si>
    <t>Organic</t>
  </si>
  <si>
    <t>ORGANIC USER</t>
  </si>
  <si>
    <t>REFERRALS USERS</t>
  </si>
  <si>
    <t>SOURCES</t>
  </si>
  <si>
    <t>Actual Applaydu H&amp;M Users* (Mio)</t>
  </si>
  <si>
    <t>Comments</t>
  </si>
  <si>
    <t xml:space="preserve">Delta Global </t>
  </si>
  <si>
    <t>no change</t>
  </si>
  <si>
    <t>PREVIOUS VERSION SHARED YEAR 2022</t>
  </si>
  <si>
    <t>2.8M confirmed from Android</t>
  </si>
  <si>
    <t>1.8M estimated for Apple</t>
  </si>
  <si>
    <t xml:space="preserve">9.1M </t>
  </si>
  <si>
    <t xml:space="preserve">not undefined </t>
  </si>
  <si>
    <t>4.8M</t>
  </si>
  <si>
    <t>0.2M - no change</t>
  </si>
  <si>
    <t>0.9M for referral</t>
  </si>
  <si>
    <t>2.3M for organic</t>
  </si>
  <si>
    <t>13.9M</t>
  </si>
  <si>
    <t>not needed</t>
  </si>
  <si>
    <t>Referral</t>
  </si>
  <si>
    <t>%</t>
  </si>
  <si>
    <t>TOTAL REFERRAL (pos, campaignB, k.com)</t>
  </si>
  <si>
    <t>TOTAL QR</t>
  </si>
  <si>
    <t>CAMPAIGN MEDIA</t>
  </si>
  <si>
    <t>adview</t>
  </si>
  <si>
    <t>e-nter</t>
  </si>
  <si>
    <t>MINISITE</t>
  </si>
  <si>
    <t>QR</t>
  </si>
  <si>
    <t>doublecl</t>
  </si>
  <si>
    <t>instagra</t>
  </si>
  <si>
    <t>apps.facebook.com</t>
  </si>
  <si>
    <t>facebook</t>
  </si>
  <si>
    <t>google</t>
  </si>
  <si>
    <t>kinder</t>
  </si>
  <si>
    <t>Other</t>
  </si>
  <si>
    <t>android</t>
  </si>
  <si>
    <t>No UTM source specified</t>
  </si>
  <si>
    <t>All UTM sources</t>
  </si>
  <si>
    <t>Store listing acquisitions</t>
  </si>
  <si>
    <t>Store listing visitors</t>
  </si>
  <si>
    <t>UTM source</t>
  </si>
  <si>
    <t>CATEGORY</t>
  </si>
  <si>
    <t>gemius</t>
  </si>
  <si>
    <t>tvn</t>
  </si>
  <si>
    <t>Store listing acquisition</t>
  </si>
  <si>
    <t>TIMEFRAME FEB2023 (1month)</t>
  </si>
  <si>
    <t>TIMEFRAME MARCH2023 (1month)</t>
  </si>
  <si>
    <t>TIMEFRAME JAN2023 (1month)</t>
  </si>
  <si>
    <t>TIMEFRAME JAN2023  to MARCH2023 (3 months)</t>
  </si>
  <si>
    <t>https://dashboard.applaydu.com/question/2328-applaydu-number-of-organic-users-that-do-not-scan-toys?idate=2023-01-01~2023-03-31&amp;icountry=France</t>
  </si>
  <si>
    <t>NEW USER 2023 (not ORGANIC)</t>
  </si>
  <si>
    <t>google and apple =&gt; redownload user</t>
  </si>
  <si>
    <t>(only new download)</t>
  </si>
  <si>
    <t>Referral (undefined)</t>
  </si>
  <si>
    <t>in % based on new download</t>
  </si>
  <si>
    <t>in % based on app users</t>
  </si>
  <si>
    <r>
      <t xml:space="preserve">MAX  scanner only </t>
    </r>
    <r>
      <rPr>
        <b/>
        <sz val="11"/>
        <color indexed="8"/>
        <rFont val="Calibri"/>
        <family val="2"/>
        <scheme val="minor"/>
      </rPr>
      <t>(FORMULA)</t>
    </r>
  </si>
  <si>
    <r>
      <t>TOTAL MISSING</t>
    </r>
    <r>
      <rPr>
        <b/>
        <sz val="11"/>
        <color theme="5" tint="-0.249977111117893"/>
        <rFont val="Calibri"/>
        <family val="2"/>
        <scheme val="minor"/>
      </rPr>
      <t xml:space="preserve"> (FORMULA)</t>
    </r>
  </si>
  <si>
    <t>(FORMULA)</t>
  </si>
  <si>
    <t>TIMEFRAME: Jan 1st 2023 - March 2023</t>
  </si>
  <si>
    <t>OK</t>
  </si>
  <si>
    <r>
      <t xml:space="preserve">Comparison with dashboard-218: </t>
    </r>
    <r>
      <rPr>
        <b/>
        <sz val="8"/>
        <color indexed="8"/>
        <rFont val="Calibri"/>
        <family val="2"/>
        <scheme val="minor"/>
      </rPr>
      <t>https://dashboard.applaydu.com/dashboard/218?date_range=2023-01-01~2023-03-31</t>
    </r>
  </si>
  <si>
    <t>Per month</t>
  </si>
  <si>
    <t>Undefined</t>
  </si>
  <si>
    <t>YEAR 2021</t>
  </si>
  <si>
    <t>YEAR 2022</t>
  </si>
  <si>
    <t>YEAR 2023</t>
  </si>
  <si>
    <t>YEAR 2024</t>
  </si>
  <si>
    <t>GLOBAL</t>
  </si>
  <si>
    <t>FORMULA</t>
  </si>
  <si>
    <t>OLD USERS</t>
  </si>
  <si>
    <t>NEW USERS</t>
  </si>
  <si>
    <t>Leaflet from Store based on UTM - Google</t>
  </si>
  <si>
    <t>Leaflet from Store based on UTM - Apple</t>
  </si>
  <si>
    <t>Total LEAFLET identified</t>
  </si>
  <si>
    <t>No UTM source specified - Google</t>
  </si>
  <si>
    <t>No identification possible - Apple</t>
  </si>
  <si>
    <t>Total not identified</t>
  </si>
  <si>
    <t>Referral from Store based on UTM - Google</t>
  </si>
  <si>
    <t>Referral from Store based on UTM - Apple</t>
  </si>
  <si>
    <t>Total Referral Users identified</t>
  </si>
  <si>
    <t>STORE</t>
  </si>
  <si>
    <t>https://dashboard.applaydu.com/question/2307-question-v1-basic-kpi-qr-first-scans-external-download-and-1st-scan-toys-in-app-conversion-by-ident-id-leaflet-only</t>
  </si>
  <si>
    <t>X</t>
  </si>
  <si>
    <t>IDENTIFIED FROM SCANNERS ONLY</t>
  </si>
  <si>
    <t>Organic user non toys scan (details)</t>
  </si>
  <si>
    <t>delta</t>
  </si>
  <si>
    <t>https://dashboard.applaydu.com/question/2724-applaydu-number-of-organic-users-that-scan-at-least-1-toy-new-users?idate=2023-01-01~2023-03-31</t>
  </si>
  <si>
    <t>ORGANIC =&gt; taken the one in the period of download</t>
  </si>
  <si>
    <t>https://dashboard.applaydu.com/question/2726-applaydu-number-of-organic-users-that-do-not-scan-toys-new-users?idate=2023-01-01~2023-03-31</t>
  </si>
  <si>
    <t>https://dashboard.applaydu.com/question/2744-consumer-data-overview-with-country-debug-new-users</t>
  </si>
  <si>
    <t>Prorata used</t>
  </si>
  <si>
    <t xml:space="preserve">apple old:875159==728504+143709+2845+101 </t>
  </si>
  <si>
    <t xml:space="preserve">apple old: 1080540 == 728504+145572+143709+59809+2845+101 </t>
  </si>
  <si>
    <t>F164A GP: 311688</t>
  </si>
  <si>
    <t>addon to show : separation of old user and new user</t>
  </si>
  <si>
    <t>F3</t>
  </si>
  <si>
    <t>F4</t>
  </si>
  <si>
    <t>F6</t>
  </si>
  <si>
    <t>F10</t>
  </si>
  <si>
    <t>F12</t>
  </si>
  <si>
    <t>F18</t>
  </si>
  <si>
    <t>F19</t>
  </si>
  <si>
    <t>F21</t>
  </si>
  <si>
    <t>F25</t>
  </si>
  <si>
    <t>F27</t>
  </si>
  <si>
    <t>F34</t>
  </si>
  <si>
    <t>F35</t>
  </si>
  <si>
    <t>F37</t>
  </si>
  <si>
    <t>F41</t>
  </si>
  <si>
    <t>F43</t>
  </si>
  <si>
    <t>F50</t>
  </si>
  <si>
    <t>F51</t>
  </si>
  <si>
    <t>F53</t>
  </si>
  <si>
    <t>F57</t>
  </si>
  <si>
    <t>F59</t>
  </si>
  <si>
    <t>F80</t>
  </si>
  <si>
    <t>F81</t>
  </si>
  <si>
    <t>F83</t>
  </si>
  <si>
    <t>F87</t>
  </si>
  <si>
    <t>F89</t>
  </si>
  <si>
    <t>F95</t>
  </si>
  <si>
    <t>F96</t>
  </si>
  <si>
    <t>F98</t>
  </si>
  <si>
    <t>F102</t>
  </si>
  <si>
    <t>F105</t>
  </si>
  <si>
    <t>F108</t>
  </si>
  <si>
    <t>F109</t>
  </si>
  <si>
    <t>F110</t>
  </si>
  <si>
    <t>F116</t>
  </si>
  <si>
    <t>F117</t>
  </si>
  <si>
    <t>F118</t>
  </si>
  <si>
    <t>F119</t>
  </si>
  <si>
    <t>F120</t>
  </si>
  <si>
    <t>F121</t>
  </si>
  <si>
    <t>F123</t>
  </si>
  <si>
    <t>F124</t>
  </si>
  <si>
    <t>F129</t>
  </si>
  <si>
    <t>F130</t>
  </si>
  <si>
    <t>F131</t>
  </si>
  <si>
    <t>F133</t>
  </si>
  <si>
    <t>F136</t>
  </si>
  <si>
    <t>F139</t>
  </si>
  <si>
    <t>F141</t>
  </si>
  <si>
    <t>F142</t>
  </si>
  <si>
    <t>F143</t>
  </si>
  <si>
    <t>F146</t>
  </si>
  <si>
    <t>F147</t>
  </si>
  <si>
    <t>F148</t>
  </si>
  <si>
    <t>F150</t>
  </si>
  <si>
    <t>F151</t>
  </si>
  <si>
    <t>F152</t>
  </si>
  <si>
    <t>F153</t>
  </si>
  <si>
    <t>F154</t>
  </si>
  <si>
    <t>F155</t>
  </si>
  <si>
    <t>F156</t>
  </si>
  <si>
    <t>F157</t>
  </si>
  <si>
    <t>F158</t>
  </si>
  <si>
    <t>F159</t>
  </si>
  <si>
    <t>F164</t>
  </si>
  <si>
    <t>F165</t>
  </si>
  <si>
    <t>F166</t>
  </si>
  <si>
    <t>F167</t>
  </si>
  <si>
    <t>F168</t>
  </si>
  <si>
    <t>F169</t>
  </si>
  <si>
    <t>F170</t>
  </si>
  <si>
    <t>F172</t>
  </si>
  <si>
    <t>F173</t>
  </si>
  <si>
    <t>F175</t>
  </si>
  <si>
    <t>F183</t>
  </si>
  <si>
    <t>F184</t>
  </si>
  <si>
    <t>F185</t>
  </si>
  <si>
    <t>F186</t>
  </si>
  <si>
    <t>F190</t>
  </si>
  <si>
    <t>F191</t>
  </si>
  <si>
    <t>F192</t>
  </si>
  <si>
    <t>F202</t>
  </si>
  <si>
    <t>F203</t>
  </si>
  <si>
    <t>F204</t>
  </si>
  <si>
    <t>F205</t>
  </si>
  <si>
    <t>F206</t>
  </si>
  <si>
    <t>F207</t>
  </si>
  <si>
    <t>F208</t>
  </si>
  <si>
    <t>F209</t>
  </si>
  <si>
    <t>F210</t>
  </si>
  <si>
    <t>F211</t>
  </si>
  <si>
    <t>F212</t>
  </si>
  <si>
    <t>F213</t>
  </si>
  <si>
    <t>F214</t>
  </si>
  <si>
    <t>F215</t>
  </si>
  <si>
    <t>F216</t>
  </si>
  <si>
    <t>F217</t>
  </si>
  <si>
    <t>F218</t>
  </si>
  <si>
    <t>F219</t>
  </si>
  <si>
    <t>F220</t>
  </si>
  <si>
    <t>F221</t>
  </si>
  <si>
    <t>F222</t>
  </si>
  <si>
    <t>ProductView page - Total</t>
  </si>
  <si>
    <t>ProductView page - Leaflet &amp; Leftover</t>
  </si>
  <si>
    <t>ProductView page - No UTM source specified</t>
  </si>
  <si>
    <t>ProductView page - Referral Users</t>
  </si>
  <si>
    <t>acquisitions - Total</t>
  </si>
  <si>
    <t>acquisitions - Leaflet &amp; Leftover</t>
  </si>
  <si>
    <t>acquisitions - No UTM source specified</t>
  </si>
  <si>
    <t>acquisitions - Referral Users</t>
  </si>
  <si>
    <t>ProductView page - kcom</t>
  </si>
  <si>
    <t>kinder: k.com</t>
  </si>
  <si>
    <t>acquisitions - kcom</t>
  </si>
  <si>
    <t>ProductView page - campaign B</t>
  </si>
  <si>
    <t>visitors - campaignB: All except leaflet and kinder (qr+android = leaflet)</t>
  </si>
  <si>
    <t>acquisitions -  campaign B</t>
  </si>
  <si>
    <t>acquisitions - campaignB: All except leaflet and kinder (qr+android = leaflet)</t>
  </si>
  <si>
    <t>Leaflet from Store based on UTM</t>
  </si>
  <si>
    <t>Leaflet from Store based on UTM (ETS)</t>
  </si>
  <si>
    <t>Leaflet from Store based on UTM - Delta</t>
  </si>
  <si>
    <t>Referral from Store based on UTM</t>
  </si>
  <si>
    <t>Referral from Store based on UTM (ETS)</t>
  </si>
  <si>
    <t>Referral from Store based on UTM - Delta</t>
  </si>
  <si>
    <t>No UTM source specified (ETS)</t>
  </si>
  <si>
    <t>The rules to separate :
-          for Leaflet, it is based on UTM
o   For Android: taken from Store Performance&gt;Conversion Analysis with [Viewby:UTM-SOURCE]=QR|android
o   For Apple: Apple source campaign and only QR with MPGCODE  (the format should be like QR#DIRECT##[MPGCODE of LEAFLET]  and should not include reference such ”iOS” such QR#DIRECT#iOS or QR#CAMPAIGN_B#XXX)
-          For Referral, it is all the others
o   For Android : all the rest without the “No UTM source specidied”
o   For Apple: all the rest such as :
§  kinder#DIRECT#IOS à user coming from kinder.com badge
§   QR#CAMPAIGN_B#CAMPAIGN_B#APD1017 à campaign_B
§  QR#DIRECT#iOS à coming from external link pointing to qr.kinder.com/ios
§  …</t>
  </si>
  <si>
    <t xml:space="preserve">F119A ('Store listing acquisitions: Google Play search'):753660
F119B ('Store listing acquisitions: Google Play explore'): 147316 </t>
  </si>
  <si>
    <t>apple old  : 1087273==877685+209588
F117A ('Store listing visitors: Google Play search'):2153669
F117B ('Store listing visitors: Google Play explore'):1526606</t>
  </si>
  <si>
    <t>f186 as f165</t>
  </si>
  <si>
    <t>case when tbl_store.game_id = 81337 then f164 else f172-f165-f166-f167-f168 end as f164gp</t>
  </si>
  <si>
    <t>case when(F183-F184)&gt;0 then LEAST ((F183-F184),F185) else 0 end as f186</t>
  </si>
  <si>
    <t>Organic NEW USER</t>
  </si>
  <si>
    <t>Organic OLD USER</t>
  </si>
  <si>
    <t>correction linke with 185 organic modification</t>
  </si>
  <si>
    <t>Link overview</t>
  </si>
  <si>
    <t>Link details</t>
  </si>
  <si>
    <t>Dashboard 250</t>
  </si>
  <si>
    <t>Dashboard 218</t>
  </si>
  <si>
    <t>Question for SLIDE DECK</t>
  </si>
  <si>
    <t>https://dashboard.applaydu.com/question/2782-consumer-data-v4-liveops-report?idate=2023-04-01~2023-06-30</t>
  </si>
  <si>
    <t>GP</t>
  </si>
  <si>
    <t>identifier of device changed after reinstall?</t>
  </si>
  <si>
    <t>YES</t>
  </si>
  <si>
    <t>NO</t>
  </si>
  <si>
    <t>https://stackoverflow.com/questions/6993325/uidevice-uniqueidentifier-deprecated-what-to-do-now</t>
  </si>
  <si>
    <t>https://android-developers.googleblog.com/2017/04/changes-to-device-identifiers-in.html</t>
  </si>
  <si>
    <t>ETS new users</t>
  </si>
  <si>
    <t>https://play.google.com/console/u/1/developers/5120711382017088645/app/4975524349012685341/statistics?metrics=DEVICE_ACQUISITION-ALL-EVENTS-PER_INTERVAL-DAY%2CDEVICE_ACQUISITION-NEW-EVENTS-PER_INTERVAL-DAY&amp;dimension=OS_VERSION&amp;dimensionValues=OVERALL&amp;dateRange=2023_1_1-2023_3_31&amp;tab=APP_STATISTICS&amp;ctpMetric=DAU_MAU-ACQUISITION_UNSPECIFIED-COUNT_UNSPECIFIED-CALCULATION_UNSPECIFIED-DAY&amp;ctpDateRange=2023_8_26-2023_9_24&amp;ctpDimension=COUNTRY&amp;ctpDimensionValue=OVERALL&amp;ctpPeersetKey=3%3Abec6e236a060ae68</t>
  </si>
  <si>
    <t>Store new users</t>
  </si>
  <si>
    <t>GP: Device acquisition (New devices)</t>
  </si>
  <si>
    <t>ETS/Store new users</t>
  </si>
  <si>
    <t>Total-download (include redownload)</t>
  </si>
  <si>
    <t>GP: Device acquisition (All devices)</t>
  </si>
  <si>
    <t>ETS / Total-download (include redownload)</t>
  </si>
  <si>
    <t>https://dashboard.applaydu.com/dashboard/250-consumer-data-v4?date_range=2023-01-01~2023-03-31</t>
  </si>
  <si>
    <t>https://dashboard.applaydu.com/question/2744-consumer-data-overview-with-country-debug-new-users?idate=2023-01-01~2023-03-31</t>
  </si>
  <si>
    <t>https://dashboard.applaydu.com/question/2431-consumer-data-details-with-country-debug?idate=2023-01-01~2023-03-31</t>
  </si>
  <si>
    <t>https://dashboard.applaydu.com/question/2743-consumer-data-details-with-country-debug-new-users?idate=2023-01-01~2023-03-31</t>
  </si>
  <si>
    <t>https://dashboard.applaydu.com/dashboard/218?date_range=2023-01-01~2023-03-31</t>
  </si>
  <si>
    <t>https://dashboard.applaydu.com/question/2430-consumer-data-overview-with-country-debug?idate=2023-01-01~2023-03-31</t>
  </si>
  <si>
    <t>NOT IDENTIFIED + UNSPECIFIED)</t>
  </si>
  <si>
    <t>include redownload for iOS</t>
  </si>
  <si>
    <t>F125</t>
  </si>
  <si>
    <t>F125a</t>
  </si>
  <si>
    <t>Conversion rate from STORE to ETS</t>
  </si>
  <si>
    <t>INFO-STORE based on UTM source</t>
  </si>
  <si>
    <t>Applaydu Countries Supported</t>
  </si>
  <si>
    <t>All country</t>
  </si>
  <si>
    <t>Russian Federation</t>
  </si>
  <si>
    <t>India</t>
  </si>
  <si>
    <t>Brazil</t>
  </si>
  <si>
    <t>Mexico</t>
  </si>
  <si>
    <t>Indonesia</t>
  </si>
  <si>
    <t>Italy</t>
  </si>
  <si>
    <t>United States</t>
  </si>
  <si>
    <t>China</t>
  </si>
  <si>
    <t>Turkey</t>
  </si>
  <si>
    <t>Germany</t>
  </si>
  <si>
    <t>France</t>
  </si>
  <si>
    <t>Ukraine</t>
  </si>
  <si>
    <t>Philippines</t>
  </si>
  <si>
    <t>Poland</t>
  </si>
  <si>
    <t>Argentina</t>
  </si>
  <si>
    <t>United Kingdom</t>
  </si>
  <si>
    <t>Spain</t>
  </si>
  <si>
    <t>Korea, Republic of</t>
  </si>
  <si>
    <t>Malaysia</t>
  </si>
  <si>
    <t>Thailand</t>
  </si>
  <si>
    <t>Romania</t>
  </si>
  <si>
    <t>Google Play Store UTM source</t>
  </si>
  <si>
    <t>Link</t>
  </si>
  <si>
    <t>https://play.google.com/console/u/1/developers/5120711382017088645/app/4975524349012685341/reporting/acquisition/details?dimension=UTM_SOURCE&amp;selected=QE9WRVJBTExA%2CUVI%3D%2CSU5WQUxJRF9VVE1fU09VUkNF%2CYW5kcm9pZA%3D%3D%2Ca2luZGVy&amp;dateRange=2023_07_01-2023_07_31&amp;peersetKey=3%3Abec6e236a060ae68&amp;benchmarkDisplay=QE9WRVJBTExA&amp;storePerformanceMetric=METRIC_ACQUISITION</t>
  </si>
  <si>
    <t>Python file</t>
  </si>
  <si>
    <t>F:\Projects\Applaydu\PythonProject\apd-push-store-date-tp-snowflake-v2.py</t>
  </si>
  <si>
    <t>function</t>
  </si>
  <si>
    <t>push_googleplay_store_data_utm()</t>
  </si>
  <si>
    <t>App Store</t>
  </si>
  <si>
    <r>
      <t>push_ios_store_data</t>
    </r>
    <r>
      <rPr>
        <sz val="11"/>
        <color rgb="FFCCCCCC"/>
        <rFont val="Consolas"/>
        <family val="3"/>
      </rPr>
      <t>()</t>
    </r>
  </si>
  <si>
    <t>App Referrer First-Time Downloads</t>
  </si>
  <si>
    <t>App Referrer Product Page Views</t>
  </si>
  <si>
    <t>App Store Browse First-Time Downloads</t>
  </si>
  <si>
    <t>App Store Browse Product Page Views</t>
  </si>
  <si>
    <t>App Store Browse Total Downloads</t>
  </si>
  <si>
    <t>App Store Search First-Time Downloads</t>
  </si>
  <si>
    <t>App Store Search Product Page Views</t>
  </si>
  <si>
    <t>App Store Search Total Downloads</t>
  </si>
  <si>
    <t>Web Referrer First-Time Downloads</t>
  </si>
  <si>
    <t>Web Referrer Product Page Views</t>
  </si>
  <si>
    <t>Google Play</t>
  </si>
  <si>
    <t>source</t>
  </si>
  <si>
    <t>source value</t>
  </si>
  <si>
    <t>Period</t>
  </si>
  <si>
    <t>Country group</t>
  </si>
  <si>
    <t>Country group value</t>
  </si>
  <si>
    <t>TRAFFIC_SOURCE-U1RPUkVfQlJPV1NF</t>
  </si>
  <si>
    <t>period 1</t>
  </si>
  <si>
    <t>2020_08_10-2020_12_31</t>
  </si>
  <si>
    <t>group 1</t>
  </si>
  <si>
    <t>QE9WRVJBTExA%2CUlU%3D%2CSU4%3D%2CQlI%3D%2CTVg%3D%2CSUQ%3D%2CSVQ%3D%2CVVM%3D%2CQ04%3D%2CVFI%3D</t>
  </si>
  <si>
    <t>TRAFFIC_SOURCE-U1RPUkVfU0VBUkNI</t>
  </si>
  <si>
    <t>period 2</t>
  </si>
  <si>
    <t>2021_01_01-2021_06_30</t>
  </si>
  <si>
    <t>group 2</t>
  </si>
  <si>
    <t>REU%3D%2CRlI%3D%2CVUE%3D%2CUEg%3D%2CUEw%3D%2CQVI%3D%2CR0I%3D%2CRVM%3D%2CS1I%3D%2CTVk%3D</t>
  </si>
  <si>
    <t>TRAFFIC_SOURCE-REVFUExJTks%3D</t>
  </si>
  <si>
    <t>period 3</t>
  </si>
  <si>
    <t>2021_07_01-2021_12_31</t>
  </si>
  <si>
    <t>group 3</t>
  </si>
  <si>
    <t>VEg%3D%2CUk8%3D</t>
  </si>
  <si>
    <t>period 4</t>
  </si>
  <si>
    <t>2022_01_01-2022_06_30</t>
  </si>
  <si>
    <t>period 5</t>
  </si>
  <si>
    <t>2022_07_01-2022_12_31</t>
  </si>
  <si>
    <t>period 6</t>
  </si>
  <si>
    <t>2023_01_01-2023_05_31</t>
  </si>
  <si>
    <t>period 7</t>
  </si>
  <si>
    <t>2023_06_01-2023_06_30</t>
  </si>
  <si>
    <t>period 8</t>
  </si>
  <si>
    <t>2023_07_01-2023_07_31</t>
  </si>
  <si>
    <t>period 9</t>
  </si>
  <si>
    <t>2023_08_01-2023_08_31</t>
  </si>
  <si>
    <t>period</t>
  </si>
  <si>
    <t>index</t>
  </si>
  <si>
    <t>period_value</t>
  </si>
  <si>
    <t>source_value</t>
  </si>
  <si>
    <t>Country URL</t>
  </si>
  <si>
    <t>gp_data_files</t>
  </si>
  <si>
    <t>link</t>
  </si>
  <si>
    <t>https://play.google.com/console/u/1/developers/5120711382017088645/app/4976434985919809622/reporting/acquisition/details?dimension=PLAY_COUNTRY&amp;selected=QlI%3D%2CSVQ%3D%2CUEw%3D%2CRVM%3D%2CREU%3D%2CRlI%3D%2CUk8%3D%2CUFQ%3D%2CSFU%3D%2CQE9WRVJBTExA&amp;dateRange=2021_08_17-2021_12_31&amp;filters=TRAFFIC_SOURCE-U1RPUkVfU0VBUkNI&amp;peersetKey=3%3A52b81d07c30cc9ab&amp;benchmarkDisplay=QE9WRVJBTExA&amp;storePerformanceMetric=METRIC_ACQUISITION</t>
  </si>
  <si>
    <t>https://play.google.com/console/u/1/developers/5120711382017088645/app/4976434985919809622/reporting/acquisition/details?dimension=PLAY_COUNTRY&amp;selected=QlI%3D%2CSVQ%3D%2CUEw%3D%2CRVM%3D%2CREU%3D%2CRlI%3D%2CUk8%3D%2CUFQ%3D%2CSFU%3D%2CQE9WRVJBTExA&amp;dateRange=2022_01_01-2022_06_30&amp;filters=TRAFFIC_SOURCE-U1RPUkVfU0VBUkNI&amp;peersetKey=3%3A52b81d07c30cc9ab&amp;benchmarkDisplay=QE9WRVJBTExA&amp;storePerformanceMetric=METRIC_ACQUISITION</t>
  </si>
  <si>
    <t>https://play.google.com/console/u/1/developers/5120711382017088645/app/4976434985919809622/reporting/acquisition/details?dimension=PLAY_COUNTRY&amp;selected=QlI%3D%2CSVQ%3D%2CUEw%3D%2CRVM%3D%2CREU%3D%2CRlI%3D%2CUk8%3D%2CUFQ%3D%2CSFU%3D%2CQE9WRVJBTExA&amp;dateRange=2022_07_01-2022_12_31&amp;filters=TRAFFIC_SOURCE-U1RPUkVfU0VBUkNI&amp;peersetKey=3%3A52b81d07c30cc9ab&amp;benchmarkDisplay=QE9WRVJBTExA&amp;storePerformanceMetric=METRIC_ACQUISITION</t>
  </si>
  <si>
    <t>https://play.google.com/console/u/1/developers/5120711382017088645/app/4976434985919809622/reporting/acquisition/details?dimension=PLAY_COUNTRY&amp;selected=QlI%3D%2CSVQ%3D%2CUEw%3D%2CRVM%3D%2CREU%3D%2CRlI%3D%2CUk8%3D%2CUFQ%3D%2CSFU%3D%2CQE9WRVJBTExA&amp;dateRange=2021_08_17-2021_12_31&amp;filters=TRAFFIC_SOURCE-REVFUExJTks%3D&amp;peersetKey=3%3A52b81d07c30cc9ab&amp;benchmarkDisplay=QE9WRVJBTExA&amp;storePerformanceMetric=METRIC_ACQUISITION</t>
  </si>
  <si>
    <t>https://play.google.com/console/u/1/developers/5120711382017088645/app/4976434985919809622/reporting/acquisition/details?dimension=PLAY_COUNTRY&amp;selected=QlI%3D%2CSVQ%3D%2CUEw%3D%2CRVM%3D%2CREU%3D%2CRlI%3D%2CUk8%3D%2CUFQ%3D%2CSFU%3D%2CQE9WRVJBTExA&amp;dateRange=2022_01_01-2022_06_30&amp;filters=TRAFFIC_SOURCE-REVFUExJTks%3D&amp;peersetKey=3%3A52b81d07c30cc9ab&amp;benchmarkDisplay=QE9WRVJBTExA&amp;storePerformanceMetric=METRIC_ACQUISITION</t>
  </si>
  <si>
    <t>https://play.google.com/console/u/1/developers/5120711382017088645/app/4976434985919809622/reporting/acquisition/details?dimension=PLAY_COUNTRY&amp;selected=QlI%3D%2CSVQ%3D%2CUEw%3D%2CRVM%3D%2CREU%3D%2CRlI%3D%2CUk8%3D%2CUFQ%3D%2CSFU%3D%2CQE9WRVJBTExA&amp;dateRange=2022_07_01-2022_12_31&amp;filters=TRAFFIC_SOURCE-REVFUExJTks%3D&amp;peersetKey=3%3A52b81d07c30cc9ab&amp;benchmarkDisplay=QE9WRVJBTExA&amp;storePerformanceMetric=METRIC_ACQUISITION</t>
  </si>
  <si>
    <t>https://play.google.com/console/u/1/developers/5120711382017088645/app/4976434985919809622/reporting/acquisition/details?dimension=PLAY_COUNTRY&amp;selected=QlI%3D%2CSVQ%3D%2CUEw%3D%2CRVM%3D%2CREU%3D%2CRlI%3D%2CUk8%3D%2CUFQ%3D%2CSFU%3D%2CQE9WRVJBTExA&amp;dateRange=2021_08_17-2021_12_31&amp;filters=TRAFFIC_SOURCE-U1RPUkVfQlJPV1NF&amp;peersetKey=3%3A52b81d07c30cc9ab&amp;benchmarkDisplay=QE9WRVJBTExA&amp;storePerformanceMetric=METRIC_ACQUISITION</t>
  </si>
  <si>
    <t>https://play.google.com/console/u/1/developers/5120711382017088645/app/4976434985919809622/reporting/acquisition/details?dimension=PLAY_COUNTRY&amp;selected=QlI%3D%2CSVQ%3D%2CUEw%3D%2CRVM%3D%2CREU%3D%2CRlI%3D%2CUk8%3D%2CUFQ%3D%2CSFU%3D%2CQE9WRVJBTExA&amp;dateRange=2022_01_01-2022_06_30&amp;filters=TRAFFIC_SOURCE-U1RPUkVfQlJPV1NF&amp;peersetKey=3%3A52b81d07c30cc9ab&amp;benchmarkDisplay=QE9WRVJBTExA&amp;storePerformanceMetric=METRIC_ACQUISITION</t>
  </si>
  <si>
    <t>https://play.google.com/console/u/1/developers/5120711382017088645/app/4976434985919809622/reporting/acquisition/details?dimension=PLAY_COUNTRY&amp;selected=QlI%3D%2CSVQ%3D%2CUEw%3D%2CRVM%3D%2CREU%3D%2CRlI%3D%2CUk8%3D%2CUFQ%3D%2CSFU%3D%2CQE9WRVJBTExA&amp;dateRange=2022_07_01-2022_12_31&amp;filters=TRAFFIC_SOURCE-U1RPUkVfQlJPV1NF&amp;peersetKey=3%3A52b81d07c30cc9ab&amp;benchmarkDisplay=QE9WRVJBTExA&amp;storePerformanceMetric=METRIC_ACQUISITION</t>
  </si>
  <si>
    <t>App Referrer Total Downloads</t>
  </si>
  <si>
    <t>Web Referrer Total Downloads</t>
  </si>
  <si>
    <t>period 10</t>
  </si>
  <si>
    <t>2023_09_16-2023_09_30</t>
  </si>
  <si>
    <t>measure</t>
  </si>
  <si>
    <t>r:20230916:20230930</t>
  </si>
  <si>
    <t>path</t>
  </si>
  <si>
    <t>1 - date</t>
  </si>
  <si>
    <t>2 - Link</t>
  </si>
  <si>
    <t>3 - Filename</t>
  </si>
  <si>
    <t>1 - Period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</si>
</sst>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43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sz val="11"/>
      <color theme="5" tint="-0.249977111117893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b/>
      <sz val="14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2"/>
      <color theme="5"/>
      <name val="Calibri"/>
      <family val="2"/>
      <scheme val="minor"/>
    </font>
    <font>
      <b/>
      <sz val="16"/>
      <color indexed="8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5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3"/>
      <color rgb="FF4C5773"/>
      <name val="Arial"/>
      <family val="2"/>
    </font>
    <font>
      <b/>
      <sz val="11"/>
      <color theme="9" tint="-0.499984740745262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6A9955"/>
      <name val="Consolas"/>
      <family val="3"/>
    </font>
    <font>
      <sz val="11"/>
      <color rgb="FFDCDCAA"/>
      <name val="Consolas"/>
      <family val="3"/>
    </font>
    <font>
      <sz val="11"/>
      <color rgb="FFCCCCCC"/>
      <name val="Consolas"/>
      <family val="3"/>
    </font>
    <font>
      <b/>
      <sz val="11"/>
      <color theme="4" tint="-0.249977111117893"/>
      <name val="Calibri"/>
      <family val="2"/>
      <scheme val="minor"/>
    </font>
    <font>
      <sz val="8"/>
      <color rgb="FFCE9178"/>
      <name val="Consolas"/>
      <family val="3"/>
    </font>
    <font>
      <b/>
      <sz val="11"/>
      <color theme="4" tint="-0.249977111117893"/>
      <name val="Consolas"/>
      <family val="3"/>
    </font>
    <font>
      <b/>
      <sz val="11"/>
      <color rgb="FF9C5700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theme="9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EB9C"/>
      </patternFill>
    </fill>
  </fills>
  <borders count="6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rgb="FF3F3F3F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20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5" borderId="0" applyNumberFormat="0" applyBorder="0" applyAlignment="0" applyProtection="0"/>
    <xf numFmtId="0" fontId="4" fillId="0" borderId="0" applyNumberFormat="0" applyFill="0" applyBorder="0" applyAlignment="0" applyProtection="0"/>
    <xf numFmtId="0" fontId="7" fillId="8" borderId="25" applyNumberFormat="0" applyAlignment="0" applyProtection="0"/>
    <xf numFmtId="0" fontId="9" fillId="15" borderId="0" applyNumberFormat="0" applyBorder="0" applyAlignment="0" applyProtection="0"/>
    <xf numFmtId="0" fontId="3" fillId="16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28" fillId="37" borderId="0" applyNumberFormat="0" applyBorder="0" applyAlignment="0" applyProtection="0"/>
    <xf numFmtId="0" fontId="3" fillId="40" borderId="0" applyNumberFormat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5" fillId="42" borderId="0" applyNumberFormat="0" applyBorder="0" applyAlignment="0" applyProtection="0"/>
  </cellStyleXfs>
  <cellXfs count="477">
    <xf numFmtId="0" fontId="0" fillId="0" borderId="0" xfId="0"/>
    <xf numFmtId="3" fontId="0" fillId="0" borderId="0" xfId="0" applyNumberFormat="1"/>
    <xf numFmtId="0" fontId="0" fillId="0" borderId="0" xfId="0" applyAlignment="1">
      <alignment wrapText="1"/>
    </xf>
    <xf numFmtId="0" fontId="0" fillId="0" borderId="1" xfId="0" applyBorder="1"/>
    <xf numFmtId="3" fontId="0" fillId="0" borderId="1" xfId="0" applyNumberFormat="1" applyBorder="1"/>
    <xf numFmtId="0" fontId="0" fillId="0" borderId="4" xfId="0" applyBorder="1"/>
    <xf numFmtId="3" fontId="0" fillId="0" borderId="5" xfId="0" applyNumberFormat="1" applyBorder="1"/>
    <xf numFmtId="0" fontId="0" fillId="4" borderId="1" xfId="0" applyFill="1" applyBorder="1" applyAlignment="1">
      <alignment horizontal="right" wrapText="1"/>
    </xf>
    <xf numFmtId="9" fontId="0" fillId="0" borderId="1" xfId="2" applyFont="1" applyBorder="1"/>
    <xf numFmtId="9" fontId="2" fillId="5" borderId="1" xfId="3" applyNumberFormat="1" applyFont="1" applyBorder="1"/>
    <xf numFmtId="0" fontId="0" fillId="0" borderId="8" xfId="0" applyBorder="1"/>
    <xf numFmtId="0" fontId="0" fillId="0" borderId="9" xfId="0" applyBorder="1"/>
    <xf numFmtId="0" fontId="0" fillId="0" borderId="9" xfId="0" applyBorder="1" applyAlignment="1">
      <alignment wrapText="1"/>
    </xf>
    <xf numFmtId="3" fontId="0" fillId="0" borderId="9" xfId="0" applyNumberFormat="1" applyBorder="1"/>
    <xf numFmtId="165" fontId="0" fillId="0" borderId="9" xfId="1" applyNumberFormat="1" applyFont="1" applyBorder="1"/>
    <xf numFmtId="3" fontId="0" fillId="0" borderId="10" xfId="0" applyNumberFormat="1" applyBorder="1"/>
    <xf numFmtId="0" fontId="0" fillId="0" borderId="12" xfId="0" applyBorder="1"/>
    <xf numFmtId="9" fontId="0" fillId="0" borderId="12" xfId="2" applyFont="1" applyBorder="1"/>
    <xf numFmtId="3" fontId="0" fillId="0" borderId="12" xfId="0" applyNumberFormat="1" applyBorder="1"/>
    <xf numFmtId="3" fontId="0" fillId="0" borderId="13" xfId="0" applyNumberFormat="1" applyBorder="1"/>
    <xf numFmtId="0" fontId="0" fillId="0" borderId="14" xfId="0" applyBorder="1" applyAlignment="1">
      <alignment horizontal="right"/>
    </xf>
    <xf numFmtId="3" fontId="0" fillId="0" borderId="15" xfId="0" applyNumberFormat="1" applyBorder="1"/>
    <xf numFmtId="164" fontId="0" fillId="0" borderId="12" xfId="2" applyNumberFormat="1" applyFont="1" applyBorder="1"/>
    <xf numFmtId="9" fontId="0" fillId="0" borderId="15" xfId="2" applyFont="1" applyBorder="1"/>
    <xf numFmtId="0" fontId="0" fillId="0" borderId="14" xfId="0" applyBorder="1"/>
    <xf numFmtId="0" fontId="0" fillId="0" borderId="13" xfId="0" applyBorder="1"/>
    <xf numFmtId="0" fontId="0" fillId="0" borderId="15" xfId="0" applyBorder="1"/>
    <xf numFmtId="3" fontId="0" fillId="3" borderId="1" xfId="0" applyNumberFormat="1" applyFill="1" applyBorder="1"/>
    <xf numFmtId="3" fontId="0" fillId="2" borderId="1" xfId="0" applyNumberFormat="1" applyFill="1" applyBorder="1"/>
    <xf numFmtId="0" fontId="0" fillId="6" borderId="1" xfId="0" applyFill="1" applyBorder="1"/>
    <xf numFmtId="0" fontId="0" fillId="0" borderId="20" xfId="0" applyBorder="1"/>
    <xf numFmtId="0" fontId="0" fillId="0" borderId="21" xfId="0" applyBorder="1"/>
    <xf numFmtId="0" fontId="0" fillId="0" borderId="21" xfId="0" applyBorder="1" applyAlignment="1">
      <alignment wrapText="1"/>
    </xf>
    <xf numFmtId="3" fontId="0" fillId="0" borderId="21" xfId="0" applyNumberFormat="1" applyBorder="1"/>
    <xf numFmtId="3" fontId="0" fillId="0" borderId="22" xfId="0" applyNumberFormat="1" applyBorder="1"/>
    <xf numFmtId="3" fontId="0" fillId="0" borderId="2" xfId="0" applyNumberFormat="1" applyBorder="1"/>
    <xf numFmtId="0" fontId="2" fillId="0" borderId="9" xfId="0" applyFont="1" applyBorder="1" applyAlignment="1">
      <alignment horizontal="center"/>
    </xf>
    <xf numFmtId="3" fontId="0" fillId="7" borderId="24" xfId="0" applyNumberFormat="1" applyFill="1" applyBorder="1"/>
    <xf numFmtId="3" fontId="0" fillId="7" borderId="4" xfId="0" applyNumberFormat="1" applyFill="1" applyBorder="1"/>
    <xf numFmtId="3" fontId="6" fillId="0" borderId="1" xfId="0" applyNumberFormat="1" applyFont="1" applyBorder="1"/>
    <xf numFmtId="0" fontId="0" fillId="0" borderId="3" xfId="0" applyBorder="1"/>
    <xf numFmtId="0" fontId="0" fillId="0" borderId="8" xfId="0" applyBorder="1" applyAlignment="1">
      <alignment wrapText="1"/>
    </xf>
    <xf numFmtId="0" fontId="0" fillId="0" borderId="14" xfId="0" applyBorder="1" applyAlignment="1">
      <alignment horizontal="right" wrapText="1"/>
    </xf>
    <xf numFmtId="0" fontId="0" fillId="0" borderId="11" xfId="0" applyBorder="1" applyAlignment="1">
      <alignment horizontal="right" wrapText="1"/>
    </xf>
    <xf numFmtId="0" fontId="0" fillId="0" borderId="1" xfId="0" applyBorder="1" applyAlignment="1">
      <alignment wrapText="1"/>
    </xf>
    <xf numFmtId="0" fontId="4" fillId="0" borderId="1" xfId="4" applyBorder="1" applyAlignment="1">
      <alignment wrapText="1"/>
    </xf>
    <xf numFmtId="0" fontId="0" fillId="0" borderId="1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23" xfId="0" applyBorder="1" applyAlignment="1">
      <alignment wrapText="1"/>
    </xf>
    <xf numFmtId="3" fontId="0" fillId="0" borderId="12" xfId="0" applyNumberFormat="1" applyBorder="1" applyAlignment="1">
      <alignment wrapText="1"/>
    </xf>
    <xf numFmtId="0" fontId="0" fillId="0" borderId="17" xfId="0" applyBorder="1"/>
    <xf numFmtId="0" fontId="7" fillId="8" borderId="26" xfId="5" applyBorder="1"/>
    <xf numFmtId="0" fontId="0" fillId="0" borderId="19" xfId="0" applyBorder="1"/>
    <xf numFmtId="0" fontId="7" fillId="8" borderId="27" xfId="5" applyBorder="1"/>
    <xf numFmtId="0" fontId="2" fillId="9" borderId="0" xfId="0" applyFont="1" applyFill="1" applyAlignment="1">
      <alignment wrapText="1"/>
    </xf>
    <xf numFmtId="3" fontId="0" fillId="9" borderId="0" xfId="0" applyNumberFormat="1" applyFill="1"/>
    <xf numFmtId="0" fontId="0" fillId="0" borderId="0" xfId="0" applyAlignment="1">
      <alignment horizontal="right" wrapText="1"/>
    </xf>
    <xf numFmtId="9" fontId="0" fillId="0" borderId="0" xfId="2" applyFont="1" applyBorder="1"/>
    <xf numFmtId="0" fontId="0" fillId="0" borderId="24" xfId="0" applyBorder="1"/>
    <xf numFmtId="0" fontId="0" fillId="0" borderId="30" xfId="0" applyBorder="1"/>
    <xf numFmtId="0" fontId="0" fillId="0" borderId="31" xfId="0" applyBorder="1" applyAlignment="1">
      <alignment wrapText="1"/>
    </xf>
    <xf numFmtId="0" fontId="0" fillId="0" borderId="32" xfId="0" applyBorder="1" applyAlignment="1">
      <alignment horizontal="right" wrapText="1"/>
    </xf>
    <xf numFmtId="0" fontId="0" fillId="0" borderId="33" xfId="0" applyBorder="1" applyAlignment="1">
      <alignment horizontal="right" wrapText="1"/>
    </xf>
    <xf numFmtId="0" fontId="0" fillId="0" borderId="31" xfId="0" applyBorder="1"/>
    <xf numFmtId="0" fontId="0" fillId="0" borderId="32" xfId="0" applyBorder="1" applyAlignment="1">
      <alignment horizontal="right"/>
    </xf>
    <xf numFmtId="0" fontId="0" fillId="0" borderId="32" xfId="0" applyBorder="1"/>
    <xf numFmtId="0" fontId="0" fillId="10" borderId="0" xfId="0" applyFill="1"/>
    <xf numFmtId="0" fontId="0" fillId="10" borderId="0" xfId="0" applyFill="1" applyAlignment="1">
      <alignment wrapText="1"/>
    </xf>
    <xf numFmtId="3" fontId="0" fillId="10" borderId="0" xfId="0" applyNumberFormat="1" applyFill="1"/>
    <xf numFmtId="0" fontId="0" fillId="10" borderId="19" xfId="0" applyFill="1" applyBorder="1"/>
    <xf numFmtId="3" fontId="0" fillId="10" borderId="34" xfId="0" applyNumberFormat="1" applyFill="1" applyBorder="1"/>
    <xf numFmtId="0" fontId="0" fillId="0" borderId="35" xfId="0" applyBorder="1"/>
    <xf numFmtId="0" fontId="0" fillId="0" borderId="36" xfId="0" applyBorder="1" applyAlignment="1">
      <alignment wrapText="1"/>
    </xf>
    <xf numFmtId="3" fontId="0" fillId="0" borderId="16" xfId="0" applyNumberFormat="1" applyBorder="1"/>
    <xf numFmtId="3" fontId="0" fillId="7" borderId="37" xfId="0" applyNumberFormat="1" applyFill="1" applyBorder="1"/>
    <xf numFmtId="3" fontId="0" fillId="7" borderId="35" xfId="0" applyNumberFormat="1" applyFill="1" applyBorder="1"/>
    <xf numFmtId="3" fontId="0" fillId="0" borderId="38" xfId="0" applyNumberFormat="1" applyBorder="1"/>
    <xf numFmtId="3" fontId="0" fillId="0" borderId="4" xfId="0" applyNumberFormat="1" applyBorder="1"/>
    <xf numFmtId="0" fontId="0" fillId="0" borderId="37" xfId="0" applyBorder="1"/>
    <xf numFmtId="0" fontId="0" fillId="0" borderId="11" xfId="0" applyBorder="1"/>
    <xf numFmtId="0" fontId="0" fillId="3" borderId="3" xfId="0" applyFill="1" applyBorder="1"/>
    <xf numFmtId="0" fontId="0" fillId="3" borderId="4" xfId="0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0" xfId="0" applyFill="1"/>
    <xf numFmtId="0" fontId="0" fillId="12" borderId="0" xfId="0" applyFill="1" applyAlignment="1">
      <alignment horizontal="center" textRotation="90"/>
    </xf>
    <xf numFmtId="3" fontId="0" fillId="13" borderId="21" xfId="0" applyNumberFormat="1" applyFill="1" applyBorder="1"/>
    <xf numFmtId="0" fontId="0" fillId="13" borderId="0" xfId="0" applyFill="1"/>
    <xf numFmtId="0" fontId="0" fillId="13" borderId="0" xfId="0" applyFill="1" applyAlignment="1">
      <alignment wrapText="1"/>
    </xf>
    <xf numFmtId="9" fontId="0" fillId="13" borderId="0" xfId="2" applyFont="1" applyFill="1" applyBorder="1"/>
    <xf numFmtId="0" fontId="0" fillId="0" borderId="0" xfId="0" applyAlignment="1">
      <alignment horizontal="left" wrapText="1"/>
    </xf>
    <xf numFmtId="3" fontId="0" fillId="0" borderId="24" xfId="0" applyNumberFormat="1" applyBorder="1"/>
    <xf numFmtId="10" fontId="0" fillId="0" borderId="12" xfId="2" applyNumberFormat="1" applyFont="1" applyBorder="1"/>
    <xf numFmtId="3" fontId="0" fillId="14" borderId="1" xfId="0" applyNumberFormat="1" applyFill="1" applyBorder="1"/>
    <xf numFmtId="0" fontId="0" fillId="3" borderId="39" xfId="0" applyFill="1" applyBorder="1"/>
    <xf numFmtId="0" fontId="0" fillId="3" borderId="40" xfId="0" applyFill="1" applyBorder="1"/>
    <xf numFmtId="0" fontId="4" fillId="13" borderId="0" xfId="4" applyFill="1" applyBorder="1"/>
    <xf numFmtId="0" fontId="0" fillId="9" borderId="1" xfId="0" applyFill="1" applyBorder="1"/>
    <xf numFmtId="3" fontId="0" fillId="9" borderId="1" xfId="0" applyNumberFormat="1" applyFill="1" applyBorder="1"/>
    <xf numFmtId="165" fontId="0" fillId="14" borderId="9" xfId="1" applyNumberFormat="1" applyFont="1" applyFill="1" applyBorder="1"/>
    <xf numFmtId="165" fontId="3" fillId="16" borderId="9" xfId="7" applyNumberFormat="1" applyBorder="1"/>
    <xf numFmtId="0" fontId="9" fillId="15" borderId="14" xfId="6" applyBorder="1" applyAlignment="1">
      <alignment horizontal="right"/>
    </xf>
    <xf numFmtId="0" fontId="0" fillId="13" borderId="14" xfId="0" applyFill="1" applyBorder="1" applyAlignment="1">
      <alignment horizontal="right"/>
    </xf>
    <xf numFmtId="3" fontId="3" fillId="12" borderId="21" xfId="0" applyNumberFormat="1" applyFont="1" applyFill="1" applyBorder="1"/>
    <xf numFmtId="0" fontId="0" fillId="0" borderId="41" xfId="0" applyBorder="1" applyAlignment="1">
      <alignment wrapText="1"/>
    </xf>
    <xf numFmtId="0" fontId="0" fillId="3" borderId="42" xfId="0" applyFill="1" applyBorder="1"/>
    <xf numFmtId="0" fontId="0" fillId="3" borderId="35" xfId="0" applyFill="1" applyBorder="1" applyAlignment="1">
      <alignment wrapText="1"/>
    </xf>
    <xf numFmtId="0" fontId="0" fillId="3" borderId="35" xfId="0" applyFill="1" applyBorder="1"/>
    <xf numFmtId="0" fontId="0" fillId="3" borderId="38" xfId="0" applyFill="1" applyBorder="1"/>
    <xf numFmtId="0" fontId="0" fillId="13" borderId="1" xfId="0" applyFill="1" applyBorder="1"/>
    <xf numFmtId="0" fontId="0" fillId="13" borderId="1" xfId="0" applyFill="1" applyBorder="1" applyAlignment="1">
      <alignment wrapText="1"/>
    </xf>
    <xf numFmtId="3" fontId="0" fillId="18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4" fillId="3" borderId="0" xfId="4" applyFill="1"/>
    <xf numFmtId="165" fontId="0" fillId="0" borderId="1" xfId="0" applyNumberFormat="1" applyBorder="1"/>
    <xf numFmtId="165" fontId="0" fillId="0" borderId="0" xfId="0" applyNumberFormat="1"/>
    <xf numFmtId="165" fontId="0" fillId="10" borderId="1" xfId="0" applyNumberFormat="1" applyFill="1" applyBorder="1"/>
    <xf numFmtId="165" fontId="2" fillId="0" borderId="1" xfId="0" applyNumberFormat="1" applyFont="1" applyBorder="1"/>
    <xf numFmtId="0" fontId="11" fillId="0" borderId="0" xfId="0" applyFont="1" applyAlignment="1">
      <alignment horizontal="right" wrapText="1"/>
    </xf>
    <xf numFmtId="0" fontId="12" fillId="10" borderId="1" xfId="0" applyFont="1" applyFill="1" applyBorder="1"/>
    <xf numFmtId="165" fontId="11" fillId="0" borderId="1" xfId="0" applyNumberFormat="1" applyFont="1" applyBorder="1"/>
    <xf numFmtId="0" fontId="8" fillId="14" borderId="1" xfId="0" applyFont="1" applyFill="1" applyBorder="1"/>
    <xf numFmtId="0" fontId="0" fillId="19" borderId="1" xfId="0" applyFill="1" applyBorder="1"/>
    <xf numFmtId="0" fontId="3" fillId="21" borderId="1" xfId="0" applyFont="1" applyFill="1" applyBorder="1"/>
    <xf numFmtId="0" fontId="0" fillId="19" borderId="14" xfId="0" applyFill="1" applyBorder="1"/>
    <xf numFmtId="3" fontId="12" fillId="0" borderId="1" xfId="0" applyNumberFormat="1" applyFont="1" applyBorder="1"/>
    <xf numFmtId="3" fontId="8" fillId="0" borderId="1" xfId="0" applyNumberFormat="1" applyFont="1" applyBorder="1"/>
    <xf numFmtId="0" fontId="11" fillId="0" borderId="1" xfId="0" applyFont="1" applyBorder="1" applyAlignment="1">
      <alignment horizontal="right" wrapText="1"/>
    </xf>
    <xf numFmtId="3" fontId="0" fillId="20" borderId="1" xfId="0" applyNumberFormat="1" applyFill="1" applyBorder="1"/>
    <xf numFmtId="165" fontId="11" fillId="23" borderId="1" xfId="0" applyNumberFormat="1" applyFont="1" applyFill="1" applyBorder="1"/>
    <xf numFmtId="0" fontId="0" fillId="23" borderId="1" xfId="0" applyFill="1" applyBorder="1"/>
    <xf numFmtId="0" fontId="11" fillId="0" borderId="44" xfId="0" applyFont="1" applyBorder="1" applyAlignment="1">
      <alignment horizontal="right" wrapText="1"/>
    </xf>
    <xf numFmtId="165" fontId="11" fillId="0" borderId="44" xfId="0" applyNumberFormat="1" applyFont="1" applyBorder="1"/>
    <xf numFmtId="0" fontId="11" fillId="0" borderId="9" xfId="0" applyFont="1" applyBorder="1" applyAlignment="1">
      <alignment horizontal="right" wrapText="1"/>
    </xf>
    <xf numFmtId="165" fontId="11" fillId="22" borderId="9" xfId="0" applyNumberFormat="1" applyFont="1" applyFill="1" applyBorder="1"/>
    <xf numFmtId="165" fontId="11" fillId="22" borderId="10" xfId="0" applyNumberFormat="1" applyFont="1" applyFill="1" applyBorder="1"/>
    <xf numFmtId="0" fontId="11" fillId="0" borderId="12" xfId="0" applyFont="1" applyBorder="1" applyAlignment="1">
      <alignment horizontal="right" wrapText="1"/>
    </xf>
    <xf numFmtId="0" fontId="0" fillId="22" borderId="12" xfId="0" applyFill="1" applyBorder="1"/>
    <xf numFmtId="0" fontId="0" fillId="22" borderId="13" xfId="0" applyFill="1" applyBorder="1"/>
    <xf numFmtId="165" fontId="0" fillId="22" borderId="13" xfId="0" applyNumberFormat="1" applyFill="1" applyBorder="1"/>
    <xf numFmtId="3" fontId="2" fillId="0" borderId="1" xfId="0" applyNumberFormat="1" applyFont="1" applyBorder="1"/>
    <xf numFmtId="165" fontId="13" fillId="0" borderId="9" xfId="1" applyNumberFormat="1" applyFont="1" applyBorder="1" applyAlignment="1">
      <alignment horizontal="center"/>
    </xf>
    <xf numFmtId="3" fontId="15" fillId="0" borderId="1" xfId="0" applyNumberFormat="1" applyFont="1" applyBorder="1"/>
    <xf numFmtId="9" fontId="0" fillId="0" borderId="0" xfId="2" applyFont="1"/>
    <xf numFmtId="165" fontId="3" fillId="24" borderId="44" xfId="0" applyNumberFormat="1" applyFont="1" applyFill="1" applyBorder="1"/>
    <xf numFmtId="0" fontId="6" fillId="0" borderId="1" xfId="0" applyFont="1" applyBorder="1"/>
    <xf numFmtId="3" fontId="0" fillId="0" borderId="39" xfId="0" applyNumberFormat="1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18" fillId="0" borderId="1" xfId="0" applyFont="1" applyBorder="1" applyAlignment="1">
      <alignment horizontal="left"/>
    </xf>
    <xf numFmtId="0" fontId="0" fillId="11" borderId="1" xfId="0" applyFill="1" applyBorder="1"/>
    <xf numFmtId="0" fontId="0" fillId="11" borderId="1" xfId="0" applyFill="1" applyBorder="1" applyAlignment="1">
      <alignment horizontal="right"/>
    </xf>
    <xf numFmtId="3" fontId="3" fillId="24" borderId="1" xfId="0" applyNumberFormat="1" applyFont="1" applyFill="1" applyBorder="1"/>
    <xf numFmtId="0" fontId="18" fillId="0" borderId="0" xfId="0" applyFont="1" applyAlignment="1">
      <alignment horizontal="left"/>
    </xf>
    <xf numFmtId="0" fontId="19" fillId="0" borderId="44" xfId="0" applyFont="1" applyBorder="1" applyAlignment="1">
      <alignment horizontal="left" vertical="center"/>
    </xf>
    <xf numFmtId="0" fontId="0" fillId="0" borderId="40" xfId="0" applyBorder="1"/>
    <xf numFmtId="0" fontId="3" fillId="24" borderId="1" xfId="0" applyFont="1" applyFill="1" applyBorder="1"/>
    <xf numFmtId="0" fontId="21" fillId="25" borderId="49" xfId="0" applyFont="1" applyFill="1" applyBorder="1" applyAlignment="1">
      <alignment horizontal="left" vertical="center" wrapText="1"/>
    </xf>
    <xf numFmtId="0" fontId="21" fillId="25" borderId="50" xfId="0" applyFont="1" applyFill="1" applyBorder="1"/>
    <xf numFmtId="3" fontId="21" fillId="25" borderId="50" xfId="0" applyNumberFormat="1" applyFont="1" applyFill="1" applyBorder="1"/>
    <xf numFmtId="0" fontId="18" fillId="0" borderId="1" xfId="0" applyFont="1" applyBorder="1"/>
    <xf numFmtId="0" fontId="22" fillId="0" borderId="1" xfId="0" applyFont="1" applyBorder="1" applyAlignment="1">
      <alignment horizontal="left"/>
    </xf>
    <xf numFmtId="0" fontId="23" fillId="0" borderId="1" xfId="0" applyFont="1" applyBorder="1"/>
    <xf numFmtId="3" fontId="0" fillId="19" borderId="1" xfId="0" applyNumberFormat="1" applyFill="1" applyBorder="1"/>
    <xf numFmtId="0" fontId="18" fillId="14" borderId="1" xfId="0" applyFont="1" applyFill="1" applyBorder="1"/>
    <xf numFmtId="3" fontId="0" fillId="0" borderId="41" xfId="0" applyNumberFormat="1" applyBorder="1"/>
    <xf numFmtId="9" fontId="0" fillId="0" borderId="41" xfId="2" applyFont="1" applyBorder="1"/>
    <xf numFmtId="164" fontId="0" fillId="0" borderId="1" xfId="2" applyNumberFormat="1" applyFont="1" applyBorder="1"/>
    <xf numFmtId="9" fontId="2" fillId="0" borderId="1" xfId="2" applyFont="1" applyBorder="1"/>
    <xf numFmtId="41" fontId="0" fillId="0" borderId="1" xfId="0" applyNumberFormat="1" applyBorder="1"/>
    <xf numFmtId="0" fontId="8" fillId="0" borderId="0" xfId="0" applyFont="1"/>
    <xf numFmtId="41" fontId="0" fillId="0" borderId="1" xfId="10" applyFont="1" applyBorder="1"/>
    <xf numFmtId="41" fontId="0" fillId="0" borderId="0" xfId="10" applyFont="1"/>
    <xf numFmtId="41" fontId="8" fillId="0" borderId="44" xfId="10" applyFont="1" applyBorder="1"/>
    <xf numFmtId="0" fontId="8" fillId="0" borderId="1" xfId="0" applyFont="1" applyBorder="1"/>
    <xf numFmtId="9" fontId="0" fillId="0" borderId="0" xfId="0" applyNumberFormat="1"/>
    <xf numFmtId="0" fontId="0" fillId="26" borderId="1" xfId="0" applyFill="1" applyBorder="1"/>
    <xf numFmtId="0" fontId="11" fillId="26" borderId="44" xfId="0" applyFont="1" applyFill="1" applyBorder="1" applyAlignment="1">
      <alignment horizontal="right" wrapText="1"/>
    </xf>
    <xf numFmtId="0" fontId="2" fillId="26" borderId="1" xfId="0" applyFont="1" applyFill="1" applyBorder="1"/>
    <xf numFmtId="0" fontId="8" fillId="26" borderId="1" xfId="0" applyFont="1" applyFill="1" applyBorder="1" applyAlignment="1">
      <alignment wrapText="1"/>
    </xf>
    <xf numFmtId="3" fontId="25" fillId="28" borderId="24" xfId="12" applyNumberFormat="1" applyFont="1" applyBorder="1"/>
    <xf numFmtId="3" fontId="25" fillId="28" borderId="4" xfId="12" applyNumberFormat="1" applyFont="1" applyBorder="1"/>
    <xf numFmtId="3" fontId="25" fillId="28" borderId="5" xfId="12" applyNumberFormat="1" applyFont="1" applyBorder="1"/>
    <xf numFmtId="9" fontId="2" fillId="0" borderId="1" xfId="3" applyNumberFormat="1" applyFont="1" applyFill="1" applyBorder="1"/>
    <xf numFmtId="165" fontId="3" fillId="27" borderId="9" xfId="11" applyNumberFormat="1" applyBorder="1" applyAlignment="1">
      <alignment horizontal="center"/>
    </xf>
    <xf numFmtId="164" fontId="0" fillId="0" borderId="0" xfId="2" applyNumberFormat="1" applyFont="1"/>
    <xf numFmtId="0" fontId="0" fillId="7" borderId="14" xfId="0" applyFill="1" applyBorder="1"/>
    <xf numFmtId="3" fontId="0" fillId="29" borderId="1" xfId="0" applyNumberFormat="1" applyFill="1" applyBorder="1"/>
    <xf numFmtId="0" fontId="18" fillId="19" borderId="1" xfId="0" applyFont="1" applyFill="1" applyBorder="1" applyAlignment="1">
      <alignment vertical="top" wrapText="1"/>
    </xf>
    <xf numFmtId="0" fontId="0" fillId="0" borderId="41" xfId="0" applyBorder="1"/>
    <xf numFmtId="0" fontId="0" fillId="0" borderId="41" xfId="0" applyBorder="1" applyAlignment="1">
      <alignment horizontal="left"/>
    </xf>
    <xf numFmtId="0" fontId="0" fillId="0" borderId="41" xfId="0" applyBorder="1" applyAlignment="1">
      <alignment horizontal="right"/>
    </xf>
    <xf numFmtId="14" fontId="0" fillId="30" borderId="6" xfId="0" applyNumberFormat="1" applyFill="1" applyBorder="1"/>
    <xf numFmtId="14" fontId="0" fillId="30" borderId="28" xfId="0" applyNumberFormat="1" applyFill="1" applyBorder="1"/>
    <xf numFmtId="14" fontId="0" fillId="30" borderId="55" xfId="0" applyNumberFormat="1" applyFill="1" applyBorder="1"/>
    <xf numFmtId="0" fontId="0" fillId="0" borderId="29" xfId="0" applyBorder="1"/>
    <xf numFmtId="14" fontId="0" fillId="22" borderId="6" xfId="0" applyNumberFormat="1" applyFill="1" applyBorder="1"/>
    <xf numFmtId="14" fontId="0" fillId="22" borderId="28" xfId="0" applyNumberFormat="1" applyFill="1" applyBorder="1"/>
    <xf numFmtId="14" fontId="0" fillId="22" borderId="55" xfId="0" applyNumberFormat="1" applyFill="1" applyBorder="1"/>
    <xf numFmtId="14" fontId="0" fillId="31" borderId="6" xfId="0" applyNumberFormat="1" applyFill="1" applyBorder="1"/>
    <xf numFmtId="14" fontId="0" fillId="31" borderId="28" xfId="0" applyNumberFormat="1" applyFill="1" applyBorder="1"/>
    <xf numFmtId="14" fontId="0" fillId="31" borderId="55" xfId="0" applyNumberFormat="1" applyFill="1" applyBorder="1"/>
    <xf numFmtId="14" fontId="0" fillId="32" borderId="6" xfId="0" applyNumberFormat="1" applyFill="1" applyBorder="1"/>
    <xf numFmtId="14" fontId="0" fillId="32" borderId="28" xfId="0" applyNumberFormat="1" applyFill="1" applyBorder="1"/>
    <xf numFmtId="14" fontId="0" fillId="32" borderId="55" xfId="0" applyNumberFormat="1" applyFill="1" applyBorder="1"/>
    <xf numFmtId="165" fontId="0" fillId="0" borderId="19" xfId="1" applyNumberFormat="1" applyFont="1" applyBorder="1"/>
    <xf numFmtId="165" fontId="0" fillId="0" borderId="0" xfId="1" applyNumberFormat="1" applyFont="1" applyBorder="1"/>
    <xf numFmtId="165" fontId="0" fillId="0" borderId="34" xfId="1" applyNumberFormat="1" applyFont="1" applyBorder="1"/>
    <xf numFmtId="165" fontId="0" fillId="0" borderId="0" xfId="1" applyNumberFormat="1" applyFont="1" applyFill="1" applyBorder="1"/>
    <xf numFmtId="165" fontId="0" fillId="19" borderId="0" xfId="1" applyNumberFormat="1" applyFont="1" applyFill="1" applyBorder="1"/>
    <xf numFmtId="0" fontId="0" fillId="0" borderId="56" xfId="0" applyBorder="1"/>
    <xf numFmtId="165" fontId="0" fillId="0" borderId="6" xfId="1" applyNumberFormat="1" applyFont="1" applyBorder="1"/>
    <xf numFmtId="0" fontId="0" fillId="0" borderId="28" xfId="0" applyBorder="1"/>
    <xf numFmtId="0" fontId="0" fillId="0" borderId="5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56" xfId="0" applyBorder="1" applyAlignment="1">
      <alignment horizontal="left"/>
    </xf>
    <xf numFmtId="0" fontId="22" fillId="0" borderId="44" xfId="0" applyFont="1" applyBorder="1" applyAlignment="1">
      <alignment horizontal="left"/>
    </xf>
    <xf numFmtId="0" fontId="0" fillId="0" borderId="44" xfId="0" applyBorder="1"/>
    <xf numFmtId="0" fontId="0" fillId="0" borderId="51" xfId="0" applyBorder="1"/>
    <xf numFmtId="165" fontId="0" fillId="0" borderId="28" xfId="1" applyNumberFormat="1" applyFont="1" applyBorder="1"/>
    <xf numFmtId="165" fontId="0" fillId="0" borderId="55" xfId="1" applyNumberFormat="1" applyFont="1" applyBorder="1"/>
    <xf numFmtId="0" fontId="0" fillId="0" borderId="12" xfId="0" applyBorder="1" applyAlignment="1">
      <alignment horizontal="left"/>
    </xf>
    <xf numFmtId="0" fontId="0" fillId="0" borderId="5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56" xfId="0" applyBorder="1" applyAlignment="1">
      <alignment horizontal="right"/>
    </xf>
    <xf numFmtId="165" fontId="0" fillId="0" borderId="28" xfId="1" applyNumberFormat="1" applyFont="1" applyFill="1" applyBorder="1"/>
    <xf numFmtId="0" fontId="0" fillId="0" borderId="23" xfId="0" applyBorder="1"/>
    <xf numFmtId="165" fontId="0" fillId="0" borderId="49" xfId="1" applyNumberFormat="1" applyFont="1" applyBorder="1"/>
    <xf numFmtId="165" fontId="0" fillId="0" borderId="50" xfId="1" applyNumberFormat="1" applyFont="1" applyBorder="1"/>
    <xf numFmtId="165" fontId="0" fillId="0" borderId="59" xfId="1" applyNumberFormat="1" applyFont="1" applyBorder="1"/>
    <xf numFmtId="0" fontId="0" fillId="0" borderId="50" xfId="0" applyBorder="1"/>
    <xf numFmtId="9" fontId="0" fillId="0" borderId="19" xfId="2" applyFont="1" applyBorder="1"/>
    <xf numFmtId="9" fontId="0" fillId="0" borderId="7" xfId="2" applyFont="1" applyBorder="1"/>
    <xf numFmtId="165" fontId="3" fillId="27" borderId="34" xfId="11" applyNumberFormat="1" applyBorder="1"/>
    <xf numFmtId="165" fontId="3" fillId="27" borderId="19" xfId="11" applyNumberFormat="1" applyBorder="1"/>
    <xf numFmtId="165" fontId="3" fillId="27" borderId="0" xfId="11" applyNumberFormat="1" applyBorder="1"/>
    <xf numFmtId="165" fontId="0" fillId="0" borderId="19" xfId="1" applyNumberFormat="1" applyFont="1" applyFill="1" applyBorder="1"/>
    <xf numFmtId="165" fontId="3" fillId="33" borderId="6" xfId="1" applyNumberFormat="1" applyFont="1" applyFill="1" applyBorder="1"/>
    <xf numFmtId="165" fontId="3" fillId="27" borderId="6" xfId="11" applyNumberFormat="1" applyBorder="1"/>
    <xf numFmtId="0" fontId="18" fillId="0" borderId="3" xfId="0" applyFont="1" applyBorder="1" applyAlignment="1">
      <alignment horizontal="left"/>
    </xf>
    <xf numFmtId="0" fontId="8" fillId="0" borderId="4" xfId="0" applyFont="1" applyBorder="1"/>
    <xf numFmtId="165" fontId="0" fillId="0" borderId="50" xfId="1" applyNumberFormat="1" applyFont="1" applyFill="1" applyBorder="1"/>
    <xf numFmtId="10" fontId="0" fillId="0" borderId="0" xfId="2" applyNumberFormat="1" applyFont="1"/>
    <xf numFmtId="10" fontId="13" fillId="0" borderId="0" xfId="2" applyNumberFormat="1" applyFont="1"/>
    <xf numFmtId="3" fontId="3" fillId="34" borderId="21" xfId="0" applyNumberFormat="1" applyFont="1" applyFill="1" applyBorder="1"/>
    <xf numFmtId="3" fontId="3" fillId="35" borderId="21" xfId="0" applyNumberFormat="1" applyFont="1" applyFill="1" applyBorder="1"/>
    <xf numFmtId="0" fontId="3" fillId="34" borderId="1" xfId="0" applyFont="1" applyFill="1" applyBorder="1" applyAlignment="1">
      <alignment wrapText="1"/>
    </xf>
    <xf numFmtId="0" fontId="7" fillId="21" borderId="0" xfId="0" applyFont="1" applyFill="1"/>
    <xf numFmtId="0" fontId="2" fillId="0" borderId="1" xfId="0" applyFont="1" applyBorder="1"/>
    <xf numFmtId="3" fontId="2" fillId="29" borderId="1" xfId="0" applyNumberFormat="1" applyFont="1" applyFill="1" applyBorder="1"/>
    <xf numFmtId="3" fontId="15" fillId="36" borderId="1" xfId="0" applyNumberFormat="1" applyFont="1" applyFill="1" applyBorder="1"/>
    <xf numFmtId="9" fontId="27" fillId="0" borderId="41" xfId="2" applyFont="1" applyBorder="1"/>
    <xf numFmtId="0" fontId="3" fillId="0" borderId="1" xfId="0" applyFont="1" applyBorder="1"/>
    <xf numFmtId="3" fontId="3" fillId="0" borderId="1" xfId="0" applyNumberFormat="1" applyFont="1" applyBorder="1"/>
    <xf numFmtId="3" fontId="25" fillId="0" borderId="24" xfId="12" applyNumberFormat="1" applyFont="1" applyFill="1" applyBorder="1"/>
    <xf numFmtId="3" fontId="25" fillId="0" borderId="5" xfId="12" applyNumberFormat="1" applyFont="1" applyFill="1" applyBorder="1"/>
    <xf numFmtId="165" fontId="6" fillId="0" borderId="1" xfId="0" applyNumberFormat="1" applyFont="1" applyBorder="1"/>
    <xf numFmtId="3" fontId="6" fillId="29" borderId="1" xfId="0" applyNumberFormat="1" applyFont="1" applyFill="1" applyBorder="1"/>
    <xf numFmtId="0" fontId="28" fillId="37" borderId="1" xfId="15" applyBorder="1" applyAlignment="1">
      <alignment vertical="top" wrapText="1"/>
    </xf>
    <xf numFmtId="0" fontId="18" fillId="0" borderId="0" xfId="0" applyFont="1" applyAlignment="1">
      <alignment horizontal="center"/>
    </xf>
    <xf numFmtId="0" fontId="2" fillId="10" borderId="0" xfId="0" applyFont="1" applyFill="1"/>
    <xf numFmtId="3" fontId="2" fillId="10" borderId="0" xfId="0" applyNumberFormat="1" applyFont="1" applyFill="1"/>
    <xf numFmtId="0" fontId="0" fillId="6" borderId="0" xfId="0" applyFill="1" applyAlignment="1">
      <alignment horizontal="right" wrapText="1"/>
    </xf>
    <xf numFmtId="0" fontId="0" fillId="6" borderId="3" xfId="0" applyFill="1" applyBorder="1"/>
    <xf numFmtId="0" fontId="0" fillId="6" borderId="4" xfId="0" applyFill="1" applyBorder="1" applyAlignment="1">
      <alignment wrapText="1"/>
    </xf>
    <xf numFmtId="0" fontId="0" fillId="6" borderId="4" xfId="0" applyFill="1" applyBorder="1"/>
    <xf numFmtId="0" fontId="0" fillId="6" borderId="5" xfId="0" applyFill="1" applyBorder="1"/>
    <xf numFmtId="0" fontId="0" fillId="6" borderId="0" xfId="0" applyFill="1"/>
    <xf numFmtId="0" fontId="0" fillId="6" borderId="23" xfId="0" applyFill="1" applyBorder="1" applyAlignment="1">
      <alignment wrapText="1"/>
    </xf>
    <xf numFmtId="3" fontId="0" fillId="6" borderId="2" xfId="0" applyNumberFormat="1" applyFill="1" applyBorder="1"/>
    <xf numFmtId="3" fontId="25" fillId="6" borderId="24" xfId="12" applyNumberFormat="1" applyFont="1" applyFill="1" applyBorder="1"/>
    <xf numFmtId="3" fontId="25" fillId="6" borderId="4" xfId="12" applyNumberFormat="1" applyFont="1" applyFill="1" applyBorder="1"/>
    <xf numFmtId="3" fontId="0" fillId="6" borderId="4" xfId="0" applyNumberFormat="1" applyFill="1" applyBorder="1"/>
    <xf numFmtId="3" fontId="25" fillId="6" borderId="5" xfId="12" applyNumberFormat="1" applyFont="1" applyFill="1" applyBorder="1"/>
    <xf numFmtId="10" fontId="13" fillId="6" borderId="0" xfId="2" applyNumberFormat="1" applyFont="1" applyFill="1"/>
    <xf numFmtId="0" fontId="0" fillId="6" borderId="20" xfId="0" applyFill="1" applyBorder="1"/>
    <xf numFmtId="0" fontId="0" fillId="6" borderId="21" xfId="0" applyFill="1" applyBorder="1"/>
    <xf numFmtId="0" fontId="0" fillId="6" borderId="21" xfId="0" applyFill="1" applyBorder="1" applyAlignment="1">
      <alignment wrapText="1"/>
    </xf>
    <xf numFmtId="3" fontId="0" fillId="6" borderId="21" xfId="0" applyNumberFormat="1" applyFill="1" applyBorder="1"/>
    <xf numFmtId="3" fontId="0" fillId="6" borderId="22" xfId="0" applyNumberFormat="1" applyFill="1" applyBorder="1"/>
    <xf numFmtId="10" fontId="0" fillId="6" borderId="0" xfId="2" applyNumberFormat="1" applyFont="1" applyFill="1"/>
    <xf numFmtId="0" fontId="0" fillId="6" borderId="0" xfId="0" applyFill="1" applyAlignment="1">
      <alignment wrapText="1"/>
    </xf>
    <xf numFmtId="3" fontId="0" fillId="6" borderId="0" xfId="0" applyNumberFormat="1" applyFill="1"/>
    <xf numFmtId="0" fontId="0" fillId="6" borderId="8" xfId="0" applyFill="1" applyBorder="1" applyAlignment="1">
      <alignment wrapText="1"/>
    </xf>
    <xf numFmtId="0" fontId="0" fillId="6" borderId="9" xfId="0" applyFill="1" applyBorder="1"/>
    <xf numFmtId="0" fontId="0" fillId="6" borderId="9" xfId="0" applyFill="1" applyBorder="1" applyAlignment="1">
      <alignment wrapText="1"/>
    </xf>
    <xf numFmtId="3" fontId="0" fillId="6" borderId="9" xfId="0" applyNumberFormat="1" applyFill="1" applyBorder="1"/>
    <xf numFmtId="0" fontId="2" fillId="6" borderId="9" xfId="0" applyFont="1" applyFill="1" applyBorder="1" applyAlignment="1">
      <alignment horizontal="center"/>
    </xf>
    <xf numFmtId="3" fontId="0" fillId="6" borderId="10" xfId="0" applyNumberFormat="1" applyFill="1" applyBorder="1"/>
    <xf numFmtId="0" fontId="0" fillId="6" borderId="14" xfId="0" applyFill="1" applyBorder="1" applyAlignment="1">
      <alignment horizontal="right" wrapText="1"/>
    </xf>
    <xf numFmtId="0" fontId="0" fillId="6" borderId="1" xfId="0" applyFill="1" applyBorder="1" applyAlignment="1">
      <alignment horizontal="right" wrapText="1"/>
    </xf>
    <xf numFmtId="9" fontId="0" fillId="6" borderId="1" xfId="2" applyFont="1" applyFill="1" applyBorder="1"/>
    <xf numFmtId="9" fontId="2" fillId="6" borderId="1" xfId="3" applyNumberFormat="1" applyFont="1" applyFill="1" applyBorder="1"/>
    <xf numFmtId="3" fontId="0" fillId="6" borderId="1" xfId="0" applyNumberFormat="1" applyFill="1" applyBorder="1"/>
    <xf numFmtId="3" fontId="0" fillId="6" borderId="15" xfId="0" applyNumberFormat="1" applyFill="1" applyBorder="1"/>
    <xf numFmtId="0" fontId="0" fillId="6" borderId="11" xfId="0" applyFill="1" applyBorder="1" applyAlignment="1">
      <alignment horizontal="right" wrapText="1"/>
    </xf>
    <xf numFmtId="3" fontId="0" fillId="6" borderId="12" xfId="0" applyNumberFormat="1" applyFill="1" applyBorder="1"/>
    <xf numFmtId="3" fontId="0" fillId="6" borderId="12" xfId="0" applyNumberFormat="1" applyFill="1" applyBorder="1" applyAlignment="1">
      <alignment wrapText="1"/>
    </xf>
    <xf numFmtId="10" fontId="0" fillId="6" borderId="12" xfId="2" applyNumberFormat="1" applyFont="1" applyFill="1" applyBorder="1"/>
    <xf numFmtId="3" fontId="0" fillId="6" borderId="13" xfId="0" applyNumberFormat="1" applyFill="1" applyBorder="1"/>
    <xf numFmtId="0" fontId="0" fillId="6" borderId="8" xfId="0" applyFill="1" applyBorder="1"/>
    <xf numFmtId="0" fontId="0" fillId="6" borderId="14" xfId="0" applyFill="1" applyBorder="1" applyAlignment="1">
      <alignment horizontal="right"/>
    </xf>
    <xf numFmtId="0" fontId="0" fillId="6" borderId="1" xfId="0" applyFill="1" applyBorder="1" applyAlignment="1">
      <alignment wrapText="1"/>
    </xf>
    <xf numFmtId="9" fontId="0" fillId="6" borderId="15" xfId="2" applyFont="1" applyFill="1" applyBorder="1"/>
    <xf numFmtId="0" fontId="0" fillId="6" borderId="14" xfId="0" applyFill="1" applyBorder="1"/>
    <xf numFmtId="165" fontId="3" fillId="6" borderId="9" xfId="11" applyNumberFormat="1" applyFill="1" applyBorder="1" applyAlignment="1">
      <alignment horizontal="center"/>
    </xf>
    <xf numFmtId="0" fontId="0" fillId="6" borderId="12" xfId="0" applyFill="1" applyBorder="1"/>
    <xf numFmtId="0" fontId="0" fillId="6" borderId="12" xfId="0" applyFill="1" applyBorder="1" applyAlignment="1">
      <alignment wrapText="1"/>
    </xf>
    <xf numFmtId="9" fontId="0" fillId="6" borderId="12" xfId="2" applyFont="1" applyFill="1" applyBorder="1"/>
    <xf numFmtId="0" fontId="0" fillId="6" borderId="13" xfId="0" applyFill="1" applyBorder="1"/>
    <xf numFmtId="0" fontId="0" fillId="0" borderId="1" xfId="0" applyBorder="1" applyAlignment="1">
      <alignment horizontal="center"/>
    </xf>
    <xf numFmtId="165" fontId="11" fillId="23" borderId="51" xfId="0" applyNumberFormat="1" applyFont="1" applyFill="1" applyBorder="1"/>
    <xf numFmtId="165" fontId="11" fillId="23" borderId="52" xfId="0" applyNumberFormat="1" applyFont="1" applyFill="1" applyBorder="1"/>
    <xf numFmtId="165" fontId="11" fillId="23" borderId="47" xfId="0" applyNumberFormat="1" applyFont="1" applyFill="1" applyBorder="1"/>
    <xf numFmtId="165" fontId="11" fillId="23" borderId="46" xfId="0" applyNumberFormat="1" applyFont="1" applyFill="1" applyBorder="1"/>
    <xf numFmtId="165" fontId="11" fillId="23" borderId="54" xfId="0" applyNumberFormat="1" applyFont="1" applyFill="1" applyBorder="1"/>
    <xf numFmtId="165" fontId="29" fillId="23" borderId="53" xfId="0" applyNumberFormat="1" applyFont="1" applyFill="1" applyBorder="1"/>
    <xf numFmtId="165" fontId="29" fillId="23" borderId="46" xfId="0" applyNumberFormat="1" applyFont="1" applyFill="1" applyBorder="1"/>
    <xf numFmtId="165" fontId="0" fillId="38" borderId="1" xfId="0" applyNumberFormat="1" applyFill="1" applyBorder="1"/>
    <xf numFmtId="165" fontId="3" fillId="38" borderId="9" xfId="11" applyNumberFormat="1" applyFill="1" applyBorder="1" applyAlignment="1">
      <alignment horizontal="center"/>
    </xf>
    <xf numFmtId="9" fontId="27" fillId="0" borderId="0" xfId="0" applyNumberFormat="1" applyFont="1" applyAlignment="1">
      <alignment horizontal="center"/>
    </xf>
    <xf numFmtId="3" fontId="0" fillId="13" borderId="1" xfId="0" applyNumberFormat="1" applyFill="1" applyBorder="1"/>
    <xf numFmtId="9" fontId="8" fillId="34" borderId="0" xfId="0" applyNumberFormat="1" applyFont="1" applyFill="1" applyAlignment="1">
      <alignment horizontal="center"/>
    </xf>
    <xf numFmtId="3" fontId="30" fillId="13" borderId="1" xfId="0" applyNumberFormat="1" applyFont="1" applyFill="1" applyBorder="1"/>
    <xf numFmtId="9" fontId="8" fillId="14" borderId="0" xfId="0" applyNumberFormat="1" applyFont="1" applyFill="1" applyAlignment="1">
      <alignment horizontal="center"/>
    </xf>
    <xf numFmtId="0" fontId="18" fillId="39" borderId="0" xfId="0" applyFont="1" applyFill="1" applyAlignment="1">
      <alignment horizontal="center"/>
    </xf>
    <xf numFmtId="3" fontId="8" fillId="19" borderId="0" xfId="0" applyNumberFormat="1" applyFont="1" applyFill="1"/>
    <xf numFmtId="3" fontId="12" fillId="40" borderId="24" xfId="16" applyNumberFormat="1" applyFont="1" applyBorder="1"/>
    <xf numFmtId="3" fontId="12" fillId="40" borderId="1" xfId="16" applyNumberFormat="1" applyFont="1" applyBorder="1"/>
    <xf numFmtId="3" fontId="0" fillId="38" borderId="1" xfId="0" applyNumberFormat="1" applyFill="1" applyBorder="1"/>
    <xf numFmtId="0" fontId="4" fillId="0" borderId="0" xfId="4" applyAlignment="1">
      <alignment wrapText="1"/>
    </xf>
    <xf numFmtId="0" fontId="4" fillId="37" borderId="1" xfId="4" applyFill="1" applyBorder="1" applyAlignment="1">
      <alignment vertical="top" wrapText="1"/>
    </xf>
    <xf numFmtId="3" fontId="31" fillId="28" borderId="24" xfId="12" applyNumberFormat="1" applyFont="1" applyBorder="1"/>
    <xf numFmtId="9" fontId="0" fillId="0" borderId="0" xfId="2" applyFont="1" applyAlignment="1">
      <alignment wrapText="1"/>
    </xf>
    <xf numFmtId="0" fontId="0" fillId="19" borderId="1" xfId="0" applyFill="1" applyBorder="1" applyAlignment="1">
      <alignment wrapText="1"/>
    </xf>
    <xf numFmtId="165" fontId="2" fillId="19" borderId="1" xfId="0" applyNumberFormat="1" applyFont="1" applyFill="1" applyBorder="1"/>
    <xf numFmtId="0" fontId="2" fillId="26" borderId="1" xfId="0" applyFont="1" applyFill="1" applyBorder="1" applyAlignment="1">
      <alignment wrapText="1"/>
    </xf>
    <xf numFmtId="0" fontId="0" fillId="17" borderId="0" xfId="0" applyFill="1" applyAlignment="1">
      <alignment horizontal="center" textRotation="90"/>
    </xf>
    <xf numFmtId="0" fontId="0" fillId="12" borderId="28" xfId="0" applyFill="1" applyBorder="1" applyAlignment="1">
      <alignment horizontal="center" readingOrder="1"/>
    </xf>
    <xf numFmtId="0" fontId="0" fillId="12" borderId="0" xfId="0" applyFill="1" applyAlignment="1">
      <alignment horizontal="center" readingOrder="1"/>
    </xf>
    <xf numFmtId="0" fontId="0" fillId="12" borderId="29" xfId="0" applyFill="1" applyBorder="1" applyAlignment="1">
      <alignment horizontal="center" readingOrder="1"/>
    </xf>
    <xf numFmtId="0" fontId="0" fillId="11" borderId="28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9" borderId="0" xfId="0" applyFill="1"/>
    <xf numFmtId="0" fontId="0" fillId="11" borderId="19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6" borderId="28" xfId="0" applyFill="1" applyBorder="1" applyAlignment="1">
      <alignment horizontal="center"/>
    </xf>
    <xf numFmtId="0" fontId="0" fillId="6" borderId="19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7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41" borderId="0" xfId="0" applyFill="1"/>
    <xf numFmtId="0" fontId="0" fillId="0" borderId="0" xfId="0" applyAlignment="1">
      <alignment horizontal="left"/>
    </xf>
    <xf numFmtId="0" fontId="9" fillId="15" borderId="0" xfId="6" applyAlignment="1">
      <alignment horizontal="left"/>
    </xf>
    <xf numFmtId="0" fontId="9" fillId="15" borderId="0" xfId="6" applyAlignment="1">
      <alignment horizontal="left" vertical="top" wrapText="1"/>
    </xf>
    <xf numFmtId="3" fontId="9" fillId="15" borderId="0" xfId="6" applyNumberFormat="1"/>
    <xf numFmtId="164" fontId="9" fillId="15" borderId="0" xfId="2" applyNumberFormat="1" applyFont="1" applyFill="1"/>
    <xf numFmtId="0" fontId="9" fillId="15" borderId="0" xfId="6"/>
    <xf numFmtId="0" fontId="9" fillId="15" borderId="0" xfId="6" applyAlignment="1">
      <alignment wrapText="1"/>
    </xf>
    <xf numFmtId="0" fontId="33" fillId="0" borderId="0" xfId="0" applyFont="1"/>
    <xf numFmtId="3" fontId="0" fillId="22" borderId="12" xfId="0" applyNumberFormat="1" applyFill="1" applyBorder="1"/>
    <xf numFmtId="165" fontId="0" fillId="22" borderId="12" xfId="0" applyNumberFormat="1" applyFill="1" applyBorder="1"/>
    <xf numFmtId="0" fontId="0" fillId="7" borderId="0" xfId="0" applyFill="1"/>
    <xf numFmtId="3" fontId="0" fillId="7" borderId="1" xfId="0" applyNumberFormat="1" applyFill="1" applyBorder="1"/>
    <xf numFmtId="0" fontId="0" fillId="7" borderId="32" xfId="0" applyFill="1" applyBorder="1"/>
    <xf numFmtId="165" fontId="0" fillId="0" borderId="0" xfId="1" applyNumberFormat="1" applyFont="1"/>
    <xf numFmtId="164" fontId="28" fillId="37" borderId="0" xfId="2" applyNumberFormat="1" applyFont="1" applyFill="1"/>
    <xf numFmtId="0" fontId="18" fillId="6" borderId="1" xfId="0" applyFont="1" applyFill="1" applyBorder="1" applyAlignment="1">
      <alignment horizontal="left"/>
    </xf>
    <xf numFmtId="0" fontId="18" fillId="6" borderId="0" xfId="0" applyFont="1" applyFill="1" applyAlignment="1">
      <alignment horizontal="left"/>
    </xf>
    <xf numFmtId="3" fontId="32" fillId="0" borderId="0" xfId="0" applyNumberFormat="1" applyFont="1"/>
    <xf numFmtId="165" fontId="24" fillId="0" borderId="44" xfId="0" applyNumberFormat="1" applyFont="1" applyBorder="1"/>
    <xf numFmtId="165" fontId="34" fillId="35" borderId="9" xfId="11" applyNumberFormat="1" applyFont="1" applyFill="1" applyBorder="1" applyAlignment="1">
      <alignment horizontal="center"/>
    </xf>
    <xf numFmtId="0" fontId="29" fillId="35" borderId="1" xfId="0" applyFont="1" applyFill="1" applyBorder="1"/>
    <xf numFmtId="3" fontId="29" fillId="35" borderId="1" xfId="0" applyNumberFormat="1" applyFont="1" applyFill="1" applyBorder="1"/>
    <xf numFmtId="0" fontId="29" fillId="35" borderId="47" xfId="0" applyFont="1" applyFill="1" applyBorder="1"/>
    <xf numFmtId="0" fontId="29" fillId="35" borderId="44" xfId="0" applyFont="1" applyFill="1" applyBorder="1"/>
    <xf numFmtId="0" fontId="4" fillId="0" borderId="44" xfId="4" applyBorder="1" applyAlignment="1">
      <alignment wrapText="1"/>
    </xf>
    <xf numFmtId="3" fontId="0" fillId="0" borderId="44" xfId="0" applyNumberFormat="1" applyBorder="1"/>
    <xf numFmtId="3" fontId="0" fillId="0" borderId="61" xfId="0" applyNumberFormat="1" applyBorder="1"/>
    <xf numFmtId="164" fontId="29" fillId="35" borderId="47" xfId="2" applyNumberFormat="1" applyFont="1" applyFill="1" applyBorder="1"/>
    <xf numFmtId="3" fontId="3" fillId="27" borderId="24" xfId="11" applyNumberFormat="1" applyBorder="1"/>
    <xf numFmtId="0" fontId="2" fillId="19" borderId="0" xfId="0" applyFont="1" applyFill="1"/>
    <xf numFmtId="0" fontId="35" fillId="42" borderId="0" xfId="19"/>
    <xf numFmtId="0" fontId="7" fillId="8" borderId="25" xfId="5"/>
    <xf numFmtId="0" fontId="36" fillId="0" borderId="0" xfId="0" applyFont="1" applyAlignment="1">
      <alignment vertical="center"/>
    </xf>
    <xf numFmtId="0" fontId="37" fillId="0" borderId="0" xfId="0" applyFont="1" applyAlignment="1">
      <alignment vertical="center"/>
    </xf>
    <xf numFmtId="0" fontId="4" fillId="0" borderId="0" xfId="4"/>
    <xf numFmtId="0" fontId="39" fillId="0" borderId="0" xfId="0" applyFont="1"/>
    <xf numFmtId="0" fontId="40" fillId="0" borderId="0" xfId="0" applyFont="1" applyAlignment="1">
      <alignment vertical="center"/>
    </xf>
    <xf numFmtId="0" fontId="7" fillId="8" borderId="0" xfId="5" applyBorder="1"/>
    <xf numFmtId="0" fontId="28" fillId="37" borderId="0" xfId="15"/>
    <xf numFmtId="0" fontId="18" fillId="0" borderId="44" xfId="0" applyFont="1" applyBorder="1" applyAlignment="1">
      <alignment horizontal="left" vertical="top"/>
    </xf>
    <xf numFmtId="0" fontId="18" fillId="0" borderId="39" xfId="0" applyFont="1" applyBorder="1" applyAlignment="1">
      <alignment horizontal="left" vertical="top"/>
    </xf>
    <xf numFmtId="0" fontId="18" fillId="0" borderId="45" xfId="0" applyFont="1" applyBorder="1" applyAlignment="1">
      <alignment horizontal="left" vertical="top"/>
    </xf>
    <xf numFmtId="0" fontId="19" fillId="0" borderId="44" xfId="0" applyFont="1" applyBorder="1" applyAlignment="1">
      <alignment horizontal="left" vertical="center"/>
    </xf>
    <xf numFmtId="0" fontId="19" fillId="0" borderId="45" xfId="0" applyFont="1" applyBorder="1" applyAlignment="1">
      <alignment horizontal="left" vertical="center"/>
    </xf>
    <xf numFmtId="0" fontId="20" fillId="0" borderId="44" xfId="0" applyFont="1" applyBorder="1" applyAlignment="1">
      <alignment horizontal="left" vertical="center"/>
    </xf>
    <xf numFmtId="0" fontId="20" fillId="0" borderId="45" xfId="0" applyFont="1" applyBorder="1" applyAlignment="1">
      <alignment horizontal="left" vertical="center"/>
    </xf>
    <xf numFmtId="0" fontId="18" fillId="0" borderId="44" xfId="0" applyFont="1" applyBorder="1" applyAlignment="1">
      <alignment horizontal="center" vertical="top"/>
    </xf>
    <xf numFmtId="0" fontId="18" fillId="0" borderId="39" xfId="0" applyFont="1" applyBorder="1" applyAlignment="1">
      <alignment horizontal="center" vertical="top"/>
    </xf>
    <xf numFmtId="0" fontId="18" fillId="0" borderId="45" xfId="0" applyFont="1" applyBorder="1" applyAlignment="1">
      <alignment horizontal="center" vertical="top"/>
    </xf>
    <xf numFmtId="0" fontId="18" fillId="0" borderId="44" xfId="0" applyFont="1" applyBorder="1" applyAlignment="1">
      <alignment horizontal="left" vertical="center"/>
    </xf>
    <xf numFmtId="0" fontId="18" fillId="0" borderId="45" xfId="0" applyFont="1" applyBorder="1" applyAlignment="1">
      <alignment horizontal="left" vertical="center"/>
    </xf>
    <xf numFmtId="0" fontId="18" fillId="0" borderId="39" xfId="0" applyFont="1" applyBorder="1" applyAlignment="1">
      <alignment horizontal="left" vertical="center"/>
    </xf>
    <xf numFmtId="0" fontId="4" fillId="6" borderId="0" xfId="4" applyFill="1" applyAlignment="1">
      <alignment horizontal="left" wrapText="1"/>
    </xf>
    <xf numFmtId="0" fontId="4" fillId="6" borderId="60" xfId="4" applyFill="1" applyBorder="1" applyAlignment="1">
      <alignment horizontal="left" wrapText="1"/>
    </xf>
    <xf numFmtId="0" fontId="4" fillId="6" borderId="0" xfId="4" applyFill="1" applyBorder="1" applyAlignment="1">
      <alignment horizontal="left" wrapText="1"/>
    </xf>
    <xf numFmtId="0" fontId="4" fillId="13" borderId="43" xfId="4" applyFill="1" applyBorder="1" applyAlignment="1">
      <alignment horizontal="center" wrapText="1"/>
    </xf>
    <xf numFmtId="0" fontId="0" fillId="0" borderId="44" xfId="0" applyBorder="1" applyAlignment="1">
      <alignment horizontal="left" vertical="top"/>
    </xf>
    <xf numFmtId="0" fontId="0" fillId="0" borderId="39" xfId="0" applyBorder="1" applyAlignment="1">
      <alignment horizontal="left" vertical="top"/>
    </xf>
    <xf numFmtId="0" fontId="0" fillId="0" borderId="45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44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0" fontId="0" fillId="0" borderId="45" xfId="0" applyBorder="1" applyAlignment="1">
      <alignment horizontal="center" wrapText="1"/>
    </xf>
    <xf numFmtId="0" fontId="0" fillId="0" borderId="4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21" borderId="0" xfId="0" applyFont="1" applyFill="1" applyAlignment="1">
      <alignment horizontal="left" vertical="top"/>
    </xf>
    <xf numFmtId="0" fontId="3" fillId="21" borderId="46" xfId="0" applyFont="1" applyFill="1" applyBorder="1" applyAlignment="1">
      <alignment horizontal="left" vertical="top"/>
    </xf>
    <xf numFmtId="0" fontId="9" fillId="15" borderId="0" xfId="6" applyAlignment="1">
      <alignment horizontal="left" vertical="top" wrapText="1"/>
    </xf>
    <xf numFmtId="0" fontId="4" fillId="3" borderId="29" xfId="4" applyFill="1" applyBorder="1" applyAlignment="1">
      <alignment horizontal="center" wrapText="1"/>
    </xf>
    <xf numFmtId="0" fontId="0" fillId="3" borderId="29" xfId="0" applyFill="1" applyBorder="1" applyAlignment="1">
      <alignment horizontal="center" wrapText="1"/>
    </xf>
    <xf numFmtId="0" fontId="0" fillId="12" borderId="16" xfId="0" applyFill="1" applyBorder="1" applyAlignment="1">
      <alignment horizontal="center" textRotation="90"/>
    </xf>
    <xf numFmtId="0" fontId="0" fillId="12" borderId="17" xfId="0" applyFill="1" applyBorder="1" applyAlignment="1">
      <alignment horizontal="center" textRotation="90"/>
    </xf>
    <xf numFmtId="0" fontId="0" fillId="12" borderId="18" xfId="0" applyFill="1" applyBorder="1" applyAlignment="1">
      <alignment horizontal="center" textRotation="90"/>
    </xf>
    <xf numFmtId="0" fontId="0" fillId="3" borderId="28" xfId="0" applyFill="1" applyBorder="1" applyAlignment="1">
      <alignment horizontal="center" vertical="top" wrapText="1"/>
    </xf>
    <xf numFmtId="0" fontId="0" fillId="11" borderId="28" xfId="0" applyFill="1" applyBorder="1" applyAlignment="1">
      <alignment horizontal="center" textRotation="90"/>
    </xf>
    <xf numFmtId="0" fontId="0" fillId="11" borderId="0" xfId="0" applyFill="1" applyAlignment="1">
      <alignment horizontal="center" textRotation="90"/>
    </xf>
    <xf numFmtId="0" fontId="0" fillId="11" borderId="29" xfId="0" applyFill="1" applyBorder="1" applyAlignment="1">
      <alignment horizontal="center" textRotation="90"/>
    </xf>
    <xf numFmtId="0" fontId="0" fillId="3" borderId="28" xfId="0" applyFill="1" applyBorder="1" applyAlignment="1">
      <alignment horizontal="left" wrapText="1"/>
    </xf>
    <xf numFmtId="0" fontId="0" fillId="11" borderId="6" xfId="0" applyFill="1" applyBorder="1" applyAlignment="1">
      <alignment horizontal="center" textRotation="90"/>
    </xf>
    <xf numFmtId="0" fontId="0" fillId="11" borderId="19" xfId="0" applyFill="1" applyBorder="1" applyAlignment="1">
      <alignment horizontal="center" textRotation="90"/>
    </xf>
    <xf numFmtId="0" fontId="0" fillId="11" borderId="7" xfId="0" applyFill="1" applyBorder="1" applyAlignment="1">
      <alignment horizontal="center" textRotation="90"/>
    </xf>
    <xf numFmtId="0" fontId="0" fillId="17" borderId="16" xfId="0" applyFill="1" applyBorder="1" applyAlignment="1">
      <alignment horizontal="center" textRotation="90"/>
    </xf>
    <xf numFmtId="0" fontId="0" fillId="17" borderId="17" xfId="0" applyFill="1" applyBorder="1" applyAlignment="1">
      <alignment horizontal="center" textRotation="90"/>
    </xf>
    <xf numFmtId="0" fontId="0" fillId="17" borderId="18" xfId="0" applyFill="1" applyBorder="1" applyAlignment="1">
      <alignment horizontal="center" textRotation="90"/>
    </xf>
    <xf numFmtId="0" fontId="0" fillId="11" borderId="16" xfId="0" applyFill="1" applyBorder="1" applyAlignment="1">
      <alignment horizontal="center" textRotation="90"/>
    </xf>
    <xf numFmtId="0" fontId="0" fillId="11" borderId="17" xfId="0" applyFill="1" applyBorder="1" applyAlignment="1">
      <alignment horizontal="center" textRotation="90"/>
    </xf>
    <xf numFmtId="0" fontId="0" fillId="11" borderId="18" xfId="0" applyFill="1" applyBorder="1" applyAlignment="1">
      <alignment horizontal="center" textRotation="90"/>
    </xf>
    <xf numFmtId="0" fontId="0" fillId="3" borderId="0" xfId="0" applyFill="1" applyAlignment="1">
      <alignment horizontal="left" wrapText="1"/>
    </xf>
    <xf numFmtId="0" fontId="0" fillId="6" borderId="6" xfId="0" applyFill="1" applyBorder="1" applyAlignment="1">
      <alignment horizontal="center" textRotation="90"/>
    </xf>
    <xf numFmtId="0" fontId="0" fillId="6" borderId="19" xfId="0" applyFill="1" applyBorder="1" applyAlignment="1">
      <alignment horizontal="center" textRotation="90"/>
    </xf>
    <xf numFmtId="0" fontId="0" fillId="6" borderId="7" xfId="0" applyFill="1" applyBorder="1" applyAlignment="1">
      <alignment horizontal="center" textRotation="90"/>
    </xf>
    <xf numFmtId="0" fontId="18" fillId="0" borderId="42" xfId="0" applyFont="1" applyBorder="1" applyAlignment="1">
      <alignment horizontal="center" vertical="top"/>
    </xf>
    <xf numFmtId="0" fontId="18" fillId="0" borderId="57" xfId="0" applyFont="1" applyBorder="1" applyAlignment="1">
      <alignment horizontal="center" vertical="top"/>
    </xf>
    <xf numFmtId="0" fontId="18" fillId="0" borderId="20" xfId="0" applyFont="1" applyBorder="1" applyAlignment="1">
      <alignment horizontal="center" vertical="top"/>
    </xf>
    <xf numFmtId="0" fontId="20" fillId="0" borderId="21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top"/>
    </xf>
    <xf numFmtId="0" fontId="18" fillId="0" borderId="57" xfId="0" applyFont="1" applyBorder="1" applyAlignment="1">
      <alignment horizontal="left" vertical="top"/>
    </xf>
    <xf numFmtId="0" fontId="18" fillId="0" borderId="20" xfId="0" applyFont="1" applyBorder="1" applyAlignment="1">
      <alignment horizontal="left" vertical="top"/>
    </xf>
    <xf numFmtId="0" fontId="19" fillId="0" borderId="35" xfId="0" applyFont="1" applyBorder="1" applyAlignment="1">
      <alignment horizontal="left" vertical="center"/>
    </xf>
    <xf numFmtId="0" fontId="18" fillId="0" borderId="42" xfId="0" applyFont="1" applyBorder="1" applyAlignment="1">
      <alignment horizontal="left" vertical="center"/>
    </xf>
    <xf numFmtId="0" fontId="18" fillId="0" borderId="20" xfId="0" applyFont="1" applyBorder="1" applyAlignment="1">
      <alignment horizontal="left" vertical="center"/>
    </xf>
    <xf numFmtId="0" fontId="18" fillId="0" borderId="57" xfId="0" applyFont="1" applyBorder="1" applyAlignment="1">
      <alignment horizontal="left" vertical="center"/>
    </xf>
    <xf numFmtId="0" fontId="0" fillId="30" borderId="29" xfId="0" applyFill="1" applyBorder="1" applyAlignment="1">
      <alignment horizontal="center"/>
    </xf>
    <xf numFmtId="0" fontId="0" fillId="22" borderId="29" xfId="0" applyFill="1" applyBorder="1" applyAlignment="1">
      <alignment horizontal="center"/>
    </xf>
    <xf numFmtId="0" fontId="0" fillId="31" borderId="29" xfId="0" applyFill="1" applyBorder="1" applyAlignment="1">
      <alignment horizontal="center"/>
    </xf>
    <xf numFmtId="0" fontId="0" fillId="32" borderId="29" xfId="0" applyFill="1" applyBorder="1" applyAlignment="1">
      <alignment horizontal="center"/>
    </xf>
    <xf numFmtId="0" fontId="19" fillId="0" borderId="21" xfId="0" applyFont="1" applyBorder="1" applyAlignment="1">
      <alignment horizontal="left" vertical="center"/>
    </xf>
    <xf numFmtId="0" fontId="0" fillId="19" borderId="0" xfId="0" applyFill="1" applyAlignment="1">
      <alignment horizontal="center"/>
    </xf>
    <xf numFmtId="0" fontId="3" fillId="21" borderId="47" xfId="0" applyFont="1" applyFill="1" applyBorder="1" applyAlignment="1">
      <alignment horizontal="left" vertical="top"/>
    </xf>
    <xf numFmtId="0" fontId="3" fillId="21" borderId="48" xfId="0" applyFont="1" applyFill="1" applyBorder="1" applyAlignment="1">
      <alignment horizontal="left" vertical="top"/>
    </xf>
    <xf numFmtId="165" fontId="11" fillId="23" borderId="51" xfId="0" applyNumberFormat="1" applyFont="1" applyFill="1" applyBorder="1" applyAlignment="1">
      <alignment horizontal="center"/>
    </xf>
    <xf numFmtId="165" fontId="11" fillId="23" borderId="52" xfId="0" applyNumberFormat="1" applyFont="1" applyFill="1" applyBorder="1" applyAlignment="1">
      <alignment horizontal="center"/>
    </xf>
    <xf numFmtId="165" fontId="11" fillId="23" borderId="47" xfId="0" applyNumberFormat="1" applyFont="1" applyFill="1" applyBorder="1" applyAlignment="1">
      <alignment horizontal="center"/>
    </xf>
    <xf numFmtId="165" fontId="11" fillId="23" borderId="53" xfId="0" applyNumberFormat="1" applyFont="1" applyFill="1" applyBorder="1" applyAlignment="1">
      <alignment horizontal="center"/>
    </xf>
    <xf numFmtId="165" fontId="11" fillId="23" borderId="46" xfId="0" applyNumberFormat="1" applyFont="1" applyFill="1" applyBorder="1" applyAlignment="1">
      <alignment horizontal="center"/>
    </xf>
    <xf numFmtId="165" fontId="11" fillId="23" borderId="54" xfId="0" applyNumberFormat="1" applyFont="1" applyFill="1" applyBorder="1" applyAlignment="1">
      <alignment horizontal="center"/>
    </xf>
    <xf numFmtId="0" fontId="42" fillId="42" borderId="0" xfId="19" applyFont="1"/>
    <xf numFmtId="0" fontId="0" fillId="0" borderId="16" xfId="0" applyBorder="1"/>
    <xf numFmtId="0" fontId="0" fillId="0" borderId="18" xfId="0" applyBorder="1"/>
    <xf numFmtId="0" fontId="39" fillId="0" borderId="16" xfId="0" applyFont="1" applyBorder="1"/>
    <xf numFmtId="0" fontId="9" fillId="15" borderId="17" xfId="6" applyBorder="1"/>
    <xf numFmtId="0" fontId="9" fillId="15" borderId="18" xfId="6" applyBorder="1"/>
    <xf numFmtId="0" fontId="41" fillId="19" borderId="0" xfId="0" applyFont="1" applyFill="1" applyAlignment="1">
      <alignment vertical="center"/>
    </xf>
  </cellXfs>
  <cellStyles count="20">
    <cellStyle name="60% - Accent2" xfId="16" builtinId="36"/>
    <cellStyle name="60% - Accent4" xfId="12" builtinId="44"/>
    <cellStyle name="Accent2" xfId="11" builtinId="33"/>
    <cellStyle name="Accent4" xfId="3" builtinId="41"/>
    <cellStyle name="Accent6" xfId="7" builtinId="49"/>
    <cellStyle name="Bad" xfId="15" builtinId="27"/>
    <cellStyle name="Check Cell" xfId="5" builtinId="23"/>
    <cellStyle name="Comma" xfId="1" builtinId="3"/>
    <cellStyle name="Comma [0]" xfId="10" builtinId="6"/>
    <cellStyle name="Followed Hyperlink" xfId="8" builtinId="9" hidden="1"/>
    <cellStyle name="Followed Hyperlink" xfId="9" builtinId="9" hidden="1"/>
    <cellStyle name="Followed Hyperlink" xfId="13" builtinId="9" hidden="1"/>
    <cellStyle name="Followed Hyperlink" xfId="14" builtinId="9" hidden="1"/>
    <cellStyle name="Followed Hyperlink" xfId="17" builtinId="9" hidden="1"/>
    <cellStyle name="Followed Hyperlink" xfId="18" builtinId="9" hidden="1"/>
    <cellStyle name="Good" xfId="6" builtinId="26"/>
    <cellStyle name="Hyperlink" xfId="4" builtinId="8"/>
    <cellStyle name="Neutral" xfId="19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518584</xdr:colOff>
      <xdr:row>105</xdr:row>
      <xdr:rowOff>21167</xdr:rowOff>
    </xdr:from>
    <xdr:to>
      <xdr:col>12</xdr:col>
      <xdr:colOff>1025381</xdr:colOff>
      <xdr:row>110</xdr:row>
      <xdr:rowOff>150143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12751" y="33337500"/>
          <a:ext cx="6228571" cy="1123810"/>
        </a:xfrm>
        <a:prstGeom prst="rect">
          <a:avLst/>
        </a:prstGeom>
      </xdr:spPr>
    </xdr:pic>
    <xdr:clientData/>
  </xdr:twoCellAnchor>
  <xdr:twoCellAnchor editAs="oneCell">
    <xdr:from>
      <xdr:col>10</xdr:col>
      <xdr:colOff>4233333</xdr:colOff>
      <xdr:row>115</xdr:row>
      <xdr:rowOff>169334</xdr:rowOff>
    </xdr:from>
    <xdr:to>
      <xdr:col>15</xdr:col>
      <xdr:colOff>389345</xdr:colOff>
      <xdr:row>118</xdr:row>
      <xdr:rowOff>346989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827500" y="35454167"/>
          <a:ext cx="4361905" cy="1161905"/>
        </a:xfrm>
        <a:prstGeom prst="rect">
          <a:avLst/>
        </a:prstGeom>
      </xdr:spPr>
    </xdr:pic>
    <xdr:clientData/>
  </xdr:twoCellAnchor>
  <xdr:twoCellAnchor editAs="oneCell">
    <xdr:from>
      <xdr:col>10</xdr:col>
      <xdr:colOff>4328583</xdr:colOff>
      <xdr:row>119</xdr:row>
      <xdr:rowOff>31750</xdr:rowOff>
    </xdr:from>
    <xdr:to>
      <xdr:col>12</xdr:col>
      <xdr:colOff>122999</xdr:colOff>
      <xdr:row>123</xdr:row>
      <xdr:rowOff>177870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922750" y="36692417"/>
          <a:ext cx="1523810" cy="1133333"/>
        </a:xfrm>
        <a:prstGeom prst="rect">
          <a:avLst/>
        </a:prstGeom>
      </xdr:spPr>
    </xdr:pic>
    <xdr:clientData/>
  </xdr:twoCellAnchor>
  <xdr:twoCellAnchor editAs="oneCell">
    <xdr:from>
      <xdr:col>10</xdr:col>
      <xdr:colOff>4593166</xdr:colOff>
      <xdr:row>156</xdr:row>
      <xdr:rowOff>137583</xdr:rowOff>
    </xdr:from>
    <xdr:to>
      <xdr:col>12</xdr:col>
      <xdr:colOff>463772</xdr:colOff>
      <xdr:row>162</xdr:row>
      <xdr:rowOff>156488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187333" y="45127333"/>
          <a:ext cx="1600000" cy="1161905"/>
        </a:xfrm>
        <a:prstGeom prst="rect">
          <a:avLst/>
        </a:prstGeom>
      </xdr:spPr>
    </xdr:pic>
    <xdr:clientData/>
  </xdr:twoCellAnchor>
  <xdr:twoCellAnchor editAs="oneCell">
    <xdr:from>
      <xdr:col>8</xdr:col>
      <xdr:colOff>63500</xdr:colOff>
      <xdr:row>201</xdr:row>
      <xdr:rowOff>74083</xdr:rowOff>
    </xdr:from>
    <xdr:to>
      <xdr:col>10</xdr:col>
      <xdr:colOff>4091849</xdr:colOff>
      <xdr:row>207</xdr:row>
      <xdr:rowOff>24417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44250" y="54705250"/>
          <a:ext cx="5819048" cy="1085714"/>
        </a:xfrm>
        <a:prstGeom prst="rect">
          <a:avLst/>
        </a:prstGeom>
      </xdr:spPr>
    </xdr:pic>
    <xdr:clientData/>
  </xdr:twoCellAnchor>
  <xdr:twoCellAnchor editAs="oneCell">
    <xdr:from>
      <xdr:col>8</xdr:col>
      <xdr:colOff>63501</xdr:colOff>
      <xdr:row>214</xdr:row>
      <xdr:rowOff>3164417</xdr:rowOff>
    </xdr:from>
    <xdr:to>
      <xdr:col>10</xdr:col>
      <xdr:colOff>2805499</xdr:colOff>
      <xdr:row>220</xdr:row>
      <xdr:rowOff>118595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44251" y="60282667"/>
          <a:ext cx="4533333" cy="12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20</xdr:row>
      <xdr:rowOff>190500</xdr:rowOff>
    </xdr:from>
    <xdr:to>
      <xdr:col>21</xdr:col>
      <xdr:colOff>18158</xdr:colOff>
      <xdr:row>29</xdr:row>
      <xdr:rowOff>85314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791825" y="2295525"/>
          <a:ext cx="7133333" cy="3295238"/>
        </a:xfrm>
        <a:prstGeom prst="rect">
          <a:avLst/>
        </a:prstGeom>
      </xdr:spPr>
    </xdr:pic>
    <xdr:clientData/>
  </xdr:twoCellAnchor>
  <xdr:twoCellAnchor editAs="oneCell">
    <xdr:from>
      <xdr:col>9</xdr:col>
      <xdr:colOff>201083</xdr:colOff>
      <xdr:row>15</xdr:row>
      <xdr:rowOff>199761</xdr:rowOff>
    </xdr:from>
    <xdr:to>
      <xdr:col>23</xdr:col>
      <xdr:colOff>128592</xdr:colOff>
      <xdr:row>20</xdr:row>
      <xdr:rowOff>62842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19666" y="2686844"/>
          <a:ext cx="8521176" cy="1027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ashboard.applaydu.com/question/2430-consumer-data-overview-with-country-debug?idate=2023-01-01~2023-03-31" TargetMode="External"/><Relationship Id="rId3" Type="http://schemas.openxmlformats.org/officeDocument/2006/relationships/hyperlink" Target="https://dashboard.applaydu.com/dashboard/250-consumer-data-v4?date_range=2023-01-01~2023-03-31" TargetMode="External"/><Relationship Id="rId7" Type="http://schemas.openxmlformats.org/officeDocument/2006/relationships/hyperlink" Target="https://dashboard.applaydu.com/dashboard/218?date_range=2023-01-01~2023-03-31" TargetMode="External"/><Relationship Id="rId2" Type="http://schemas.openxmlformats.org/officeDocument/2006/relationships/hyperlink" Target="https://dashboard.applaydu.com/question/2744-consumer-data-overview-with-country-debug-new-users?idate=2023-01-01~2023-03-31" TargetMode="External"/><Relationship Id="rId1" Type="http://schemas.openxmlformats.org/officeDocument/2006/relationships/hyperlink" Target="https://dashboard.applaydu.com/question/2744-consumer-data-overview-with-country-debug-new-users" TargetMode="External"/><Relationship Id="rId6" Type="http://schemas.openxmlformats.org/officeDocument/2006/relationships/hyperlink" Target="https://dashboard.applaydu.com/question/2743-consumer-data-details-with-country-debug-new-users?idate=2023-01-01~2023-03-31" TargetMode="External"/><Relationship Id="rId5" Type="http://schemas.openxmlformats.org/officeDocument/2006/relationships/hyperlink" Target="https://dashboard.applaydu.com/question/2431-consumer-data-details-with-country-debug?idate=2023-01-01~2023-03-31" TargetMode="External"/><Relationship Id="rId4" Type="http://schemas.openxmlformats.org/officeDocument/2006/relationships/hyperlink" Target="https://dashboard.applaydu.com/question/2782-consumer-data-v4-liveops-report?idate=2023-04-01~2023-06-30" TargetMode="External"/><Relationship Id="rId9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dashboard.applaydu.com/question/249-total-downloads?idate=2021-03-01~2022-02-28" TargetMode="External"/><Relationship Id="rId13" Type="http://schemas.openxmlformats.org/officeDocument/2006/relationships/comments" Target="../comments5.xml"/><Relationship Id="rId3" Type="http://schemas.openxmlformats.org/officeDocument/2006/relationships/hyperlink" Target="https://dashboard.applaydu.com/question/2309-applaydu-qr-first-scans-external-download-and-1st-scan-toys-in-app-conversion-by-ident-id-pos" TargetMode="External"/><Relationship Id="rId7" Type="http://schemas.openxmlformats.org/officeDocument/2006/relationships/hyperlink" Target="https://dashboard.applaydu.com/question/2326-users-who-have-scanned-surprises-by-old-new-users-and-platform?timeframe=2021-03-01~2022-02-28" TargetMode="External"/><Relationship Id="rId12" Type="http://schemas.openxmlformats.org/officeDocument/2006/relationships/vmlDrawing" Target="../drawings/vmlDrawing5.vml"/><Relationship Id="rId2" Type="http://schemas.openxmlformats.org/officeDocument/2006/relationships/hyperlink" Target="https://dashboard.applaydu.com/question/2311-applaydu-qr-first-scans-external-download-and-1st-scan-toys-in-app-conversion-by-ident-id-leftover" TargetMode="External"/><Relationship Id="rId1" Type="http://schemas.openxmlformats.org/officeDocument/2006/relationships/hyperlink" Target="https://dashboard.applaydu.com/question/2307-question-v1-basic-kpi-qr-first-scans-external-download-and-1st-scan-toys-in-app-conversion-by-ident-id-leaflet-only" TargetMode="External"/><Relationship Id="rId6" Type="http://schemas.openxmlformats.org/officeDocument/2006/relationships/hyperlink" Target="https://dashboard.applaydu.com/question/2314-applaydu-number-of-organic-users-that-scan-at-least-1-toy?" TargetMode="External"/><Relationship Id="rId11" Type="http://schemas.openxmlformats.org/officeDocument/2006/relationships/printerSettings" Target="../printerSettings/printerSettings8.bin"/><Relationship Id="rId5" Type="http://schemas.openxmlformats.org/officeDocument/2006/relationships/hyperlink" Target="https://dashboard.applaydu.com/question/2308-applaydu-qr-first-scans-external-download-and-1st-scan-toys-in-app-conversion-by-ident-id-k-com-badge-page" TargetMode="External"/><Relationship Id="rId10" Type="http://schemas.openxmlformats.org/officeDocument/2006/relationships/hyperlink" Target="https://dashboard.applaydu.com/question/2328-applaydu-number-of-organic-users-that-do-not-scan-toys?idate=2023-01-01~2023-03-31&amp;icountry=France" TargetMode="External"/><Relationship Id="rId4" Type="http://schemas.openxmlformats.org/officeDocument/2006/relationships/hyperlink" Target="https://dashboard.applaydu.com/question/2310-applaydu-qr-first-scans-external-download-and-1st-scan-toys-in-app-conversion-by-ident-id-campaign-b" TargetMode="External"/><Relationship Id="rId9" Type="http://schemas.openxmlformats.org/officeDocument/2006/relationships/hyperlink" Target="https://dashboard.applaydu.com/question/2328-applaydu-number-of-organic-users-that-do-not-scan-toys?idate=2023-01-01~2023-03-31&amp;icountry=France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dashboard.applaydu.com/question/249-total-downloads?idate=2021-03-01~2022-02-28" TargetMode="External"/><Relationship Id="rId13" Type="http://schemas.openxmlformats.org/officeDocument/2006/relationships/comments" Target="../comments6.xml"/><Relationship Id="rId3" Type="http://schemas.openxmlformats.org/officeDocument/2006/relationships/hyperlink" Target="https://dashboard.applaydu.com/question/2309-applaydu-qr-first-scans-external-download-and-1st-scan-toys-in-app-conversion-by-ident-id-pos" TargetMode="External"/><Relationship Id="rId7" Type="http://schemas.openxmlformats.org/officeDocument/2006/relationships/hyperlink" Target="https://dashboard.applaydu.com/question/2326-users-who-have-scanned-surprises-by-old-new-users-and-platform?timeframe=2021-03-01~2022-02-28" TargetMode="External"/><Relationship Id="rId12" Type="http://schemas.openxmlformats.org/officeDocument/2006/relationships/vmlDrawing" Target="../drawings/vmlDrawing6.vml"/><Relationship Id="rId2" Type="http://schemas.openxmlformats.org/officeDocument/2006/relationships/hyperlink" Target="https://dashboard.applaydu.com/question/2311-applaydu-qr-first-scans-external-download-and-1st-scan-toys-in-app-conversion-by-ident-id-leftover" TargetMode="External"/><Relationship Id="rId1" Type="http://schemas.openxmlformats.org/officeDocument/2006/relationships/hyperlink" Target="https://dashboard.applaydu.com/question/2307-question-v1-basic-kpi-qr-first-scans-external-download-and-1st-scan-toys-in-app-conversion-by-ident-id-leaflet-only" TargetMode="External"/><Relationship Id="rId6" Type="http://schemas.openxmlformats.org/officeDocument/2006/relationships/hyperlink" Target="https://dashboard.applaydu.com/question/2314-applaydu-number-of-organic-users-that-scan-at-least-1-toy?" TargetMode="External"/><Relationship Id="rId11" Type="http://schemas.openxmlformats.org/officeDocument/2006/relationships/printerSettings" Target="../printerSettings/printerSettings9.bin"/><Relationship Id="rId5" Type="http://schemas.openxmlformats.org/officeDocument/2006/relationships/hyperlink" Target="https://dashboard.applaydu.com/question/2308-applaydu-qr-first-scans-external-download-and-1st-scan-toys-in-app-conversion-by-ident-id-k-com-badge-page" TargetMode="External"/><Relationship Id="rId10" Type="http://schemas.openxmlformats.org/officeDocument/2006/relationships/hyperlink" Target="https://dashboard.applaydu.com/question/2328-applaydu-number-of-organic-users-that-do-not-scan-toys?idate=2023-01-01~2023-03-31&amp;icountry=France" TargetMode="External"/><Relationship Id="rId4" Type="http://schemas.openxmlformats.org/officeDocument/2006/relationships/hyperlink" Target="https://dashboard.applaydu.com/question/2310-applaydu-qr-first-scans-external-download-and-1st-scan-toys-in-app-conversion-by-ident-id-campaign-b" TargetMode="External"/><Relationship Id="rId9" Type="http://schemas.openxmlformats.org/officeDocument/2006/relationships/hyperlink" Target="https://dashboard.applaydu.com/question/2328-applaydu-number-of-organic-users-that-do-not-scan-toys?idate=2023-01-01~2023-03-31&amp;icountry=France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dashboard.applaydu.com/question/249-total-downloads?idate=2021-03-01~2022-02-28" TargetMode="External"/><Relationship Id="rId13" Type="http://schemas.openxmlformats.org/officeDocument/2006/relationships/comments" Target="../comments7.xml"/><Relationship Id="rId3" Type="http://schemas.openxmlformats.org/officeDocument/2006/relationships/hyperlink" Target="https://dashboard.applaydu.com/question/2309-applaydu-qr-first-scans-external-download-and-1st-scan-toys-in-app-conversion-by-ident-id-pos" TargetMode="External"/><Relationship Id="rId7" Type="http://schemas.openxmlformats.org/officeDocument/2006/relationships/hyperlink" Target="https://dashboard.applaydu.com/question/2326-users-who-have-scanned-surprises-by-old-new-users-and-platform?timeframe=2021-03-01~2022-02-28" TargetMode="External"/><Relationship Id="rId12" Type="http://schemas.openxmlformats.org/officeDocument/2006/relationships/vmlDrawing" Target="../drawings/vmlDrawing7.vml"/><Relationship Id="rId2" Type="http://schemas.openxmlformats.org/officeDocument/2006/relationships/hyperlink" Target="https://dashboard.applaydu.com/question/2311-applaydu-qr-first-scans-external-download-and-1st-scan-toys-in-app-conversion-by-ident-id-leftover" TargetMode="External"/><Relationship Id="rId1" Type="http://schemas.openxmlformats.org/officeDocument/2006/relationships/hyperlink" Target="https://dashboard.applaydu.com/question/2307-question-v1-basic-kpi-qr-first-scans-external-download-and-1st-scan-toys-in-app-conversion-by-ident-id-leaflet-only" TargetMode="External"/><Relationship Id="rId6" Type="http://schemas.openxmlformats.org/officeDocument/2006/relationships/hyperlink" Target="https://dashboard.applaydu.com/question/2314-applaydu-number-of-organic-users-that-scan-at-least-1-toy?" TargetMode="External"/><Relationship Id="rId11" Type="http://schemas.openxmlformats.org/officeDocument/2006/relationships/printerSettings" Target="../printerSettings/printerSettings10.bin"/><Relationship Id="rId5" Type="http://schemas.openxmlformats.org/officeDocument/2006/relationships/hyperlink" Target="https://dashboard.applaydu.com/question/2308-applaydu-qr-first-scans-external-download-and-1st-scan-toys-in-app-conversion-by-ident-id-k-com-badge-page" TargetMode="External"/><Relationship Id="rId10" Type="http://schemas.openxmlformats.org/officeDocument/2006/relationships/hyperlink" Target="https://dashboard.applaydu.com/question/2328-applaydu-number-of-organic-users-that-do-not-scan-toys?idate=2023-01-01~2023-03-31&amp;icountry=France" TargetMode="External"/><Relationship Id="rId4" Type="http://schemas.openxmlformats.org/officeDocument/2006/relationships/hyperlink" Target="https://dashboard.applaydu.com/question/2310-applaydu-qr-first-scans-external-download-and-1st-scan-toys-in-app-conversion-by-ident-id-campaign-b" TargetMode="External"/><Relationship Id="rId9" Type="http://schemas.openxmlformats.org/officeDocument/2006/relationships/hyperlink" Target="https://dashboard.applaydu.com/question/2328-applaydu-number-of-organic-users-that-do-not-scan-toys?idate=2023-01-01~2023-03-31&amp;icountry=France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shboard.applaydu.com/question/249-total-downloads?idate=2021-03-01~2022-02-28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dashboard.applaydu.com/question/2309-applaydu-qr-first-scans-external-download-and-1st-scan-toys-in-app-conversion-by-ident-id-pos" TargetMode="External"/><Relationship Id="rId7" Type="http://schemas.openxmlformats.org/officeDocument/2006/relationships/hyperlink" Target="https://dashboard.applaydu.com/question/2326-users-who-have-scanned-surprises-by-old-new-users-and-platform?timeframe=2021-03-01~2022-02-28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s://dashboard.applaydu.com/question/2311-applaydu-qr-first-scans-external-download-and-1st-scan-toys-in-app-conversion-by-ident-id-leftover" TargetMode="External"/><Relationship Id="rId1" Type="http://schemas.openxmlformats.org/officeDocument/2006/relationships/hyperlink" Target="https://dashboard.applaydu.com/question/2307-question-v1-basic-kpi-qr-first-scans-external-download-and-1st-scan-toys-in-app-conversion-by-ident-id-leaflet-only" TargetMode="External"/><Relationship Id="rId6" Type="http://schemas.openxmlformats.org/officeDocument/2006/relationships/hyperlink" Target="https://dashboard.applaydu.com/question/2314-applaydu-number-of-organic-users-that-scan-at-least-1-toy?" TargetMode="External"/><Relationship Id="rId11" Type="http://schemas.openxmlformats.org/officeDocument/2006/relationships/printerSettings" Target="../printerSettings/printerSettings2.bin"/><Relationship Id="rId5" Type="http://schemas.openxmlformats.org/officeDocument/2006/relationships/hyperlink" Target="https://dashboard.applaydu.com/question/2308-applaydu-qr-first-scans-external-download-and-1st-scan-toys-in-app-conversion-by-ident-id-k-com-badge-page" TargetMode="External"/><Relationship Id="rId10" Type="http://schemas.openxmlformats.org/officeDocument/2006/relationships/hyperlink" Target="https://dashboard.applaydu.com/question/2726-applaydu-number-of-organic-users-that-do-not-scan-toys-new-users?idate=2023-01-01~2023-03-31" TargetMode="External"/><Relationship Id="rId4" Type="http://schemas.openxmlformats.org/officeDocument/2006/relationships/hyperlink" Target="https://dashboard.applaydu.com/question/2310-applaydu-qr-first-scans-external-download-and-1st-scan-toys-in-app-conversion-by-ident-id-campaign-b" TargetMode="External"/><Relationship Id="rId9" Type="http://schemas.openxmlformats.org/officeDocument/2006/relationships/hyperlink" Target="https://dashboard.applaydu.com/question/2724-applaydu-number-of-organic-users-that-scan-at-least-1-toy-new-users?idate=2023-01-01~2023-03-31" TargetMode="External"/><Relationship Id="rId1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ndroid-developers.googleblog.com/2017/04/changes-to-device-identifiers-in.html" TargetMode="External"/><Relationship Id="rId2" Type="http://schemas.openxmlformats.org/officeDocument/2006/relationships/hyperlink" Target="https://stackoverflow.com/questions/6993325/uidevice-uniqueidentifier-deprecated-what-to-do-now" TargetMode="External"/><Relationship Id="rId1" Type="http://schemas.openxmlformats.org/officeDocument/2006/relationships/hyperlink" Target="https://play.google.com/console/u/1/developers/5120711382017088645/app/4975524349012685341/statistics?metrics=DEVICE_ACQUISITION-ALL-EVENTS-PER_INTERVAL-DAY%2CDEVICE_ACQUISITION-NEW-EVENTS-PER_INTERVAL-DAY&amp;dimension=OS_VERSION&amp;dimensionValues=OVERALL&amp;dateRange=2023_1_1-2023_3_31&amp;tab=APP_STATISTICS&amp;ctpMetric=DAU_MAU-ACQUISITION_UNSPECIFIED-COUNT_UNSPECIFIED-CALCULATION_UNSPECIFIED-DAY&amp;ctpDateRange=2023_8_26-2023_9_24&amp;ctpDimension=COUNTRY&amp;ctpDimensionValue=OVERALL&amp;ctpPeersetKey=3%3Abec6e236a060ae68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appstoreconnect.apple.com/analytics/app/r:20230916:20230930/1476035637/metrics?annotationsVisible=true&amp;chartType=singleaxis&amp;dimensionFilters=source%7CSearch%7CApp+Store+Search&amp;groupDimensionKey=storefront&amp;measureKey=units&amp;zoomType=day" TargetMode="External"/><Relationship Id="rId13" Type="http://schemas.openxmlformats.org/officeDocument/2006/relationships/printerSettings" Target="../printerSettings/printerSettings3.bin"/><Relationship Id="rId3" Type="http://schemas.openxmlformats.org/officeDocument/2006/relationships/hyperlink" Target="https://appstoreconnect.apple.com/analytics/app/r:20230916:20230930/1476035637/metrics?annotationsVisible=true&amp;chartType=singleaxis&amp;dimensionFilters=source%7CAppRef%7CApp+Referrer&amp;groupDimensionKey=storefront&amp;measureKey=totalDownloads&amp;zoomType=day" TargetMode="External"/><Relationship Id="rId7" Type="http://schemas.openxmlformats.org/officeDocument/2006/relationships/hyperlink" Target="https://appstoreconnect.apple.com/analytics/app/r:20230916:20230930/1476035637/metrics?annotationsVisible=true&amp;chartType=singleaxis&amp;dimensionFilters=source%7COther%7CApp+Store+Browse&amp;groupDimensionKey=storefront&amp;measureKey=totalDownloads&amp;zoomType=day" TargetMode="External"/><Relationship Id="rId12" Type="http://schemas.openxmlformats.org/officeDocument/2006/relationships/hyperlink" Target="https://appstoreconnect.apple.com/analytics/app/r:20230916:20230930/1476035637/metrics?annotationsVisible=true&amp;chartType=singleaxis&amp;dimensionFilters=source%7CWebRef%7CWeb+Referrer&amp;groupDimensionKey=storefront&amp;measureKey=totalDownloads&amp;zoomType=day" TargetMode="External"/><Relationship Id="rId2" Type="http://schemas.openxmlformats.org/officeDocument/2006/relationships/hyperlink" Target="https://appstoreconnect.apple.com/analytics/app/r:20230916:20230930/1476035637/metrics?annotationsVisible=true&amp;chartType=singleaxis&amp;dimensionFilters=source%7CWebRef%7CWeb+Referrer&amp;groupDimensionKey=storefront&amp;measureKey=pageViewCount&amp;zoomType=day" TargetMode="External"/><Relationship Id="rId1" Type="http://schemas.openxmlformats.org/officeDocument/2006/relationships/hyperlink" Target="https://appstoreconnect.apple.com/analytics/app/r:20230916:20230930/1476035637/metrics?annotationsVisible=true&amp;chartType=singleaxis&amp;dimensionFilters=source%7CAppRef%7CApp+Referrer&amp;measureKey=units&amp;zoomType=day" TargetMode="External"/><Relationship Id="rId6" Type="http://schemas.openxmlformats.org/officeDocument/2006/relationships/hyperlink" Target="https://appstoreconnect.apple.com/analytics/app/r:20230916:20230930/1476035637/metrics?annotationsVisible=true&amp;chartType=singleaxis&amp;dimensionFilters=source%7COther%7CApp+Store+Browse&amp;groupDimensionKey=storefront&amp;measureKey=pageViewCount&amp;zoomType=day" TargetMode="External"/><Relationship Id="rId11" Type="http://schemas.openxmlformats.org/officeDocument/2006/relationships/hyperlink" Target="https://appstoreconnect.apple.com/analytics/app/r:20230916:20230930/1476035637/metrics?annotationsVisible=true&amp;chartType=singleaxis&amp;dimensionFilters=source%7CWebRef%7CWeb+Referrer&amp;groupDimensionKey=storefront&amp;measureKey=units&amp;zoomType=day" TargetMode="External"/><Relationship Id="rId5" Type="http://schemas.openxmlformats.org/officeDocument/2006/relationships/hyperlink" Target="https://appstoreconnect.apple.com/analytics/app/r:20230916:20230930/1476035637/metrics?annotationsVisible=true&amp;chartType=singleaxis&amp;dimensionFilters=source%7COther%7CApp+Store+Browse&amp;groupDimensionKey=storefront&amp;measureKey=units&amp;zoomType=day" TargetMode="External"/><Relationship Id="rId10" Type="http://schemas.openxmlformats.org/officeDocument/2006/relationships/hyperlink" Target="https://appstoreconnect.apple.com/analytics/app/r:20230916:20230930/1476035637/metrics?annotationsVisible=true&amp;chartType=singleaxis&amp;dimensionFilters=source%7CSearch%7CApp+Store+Search&amp;groupDimensionKey=storefront&amp;measureKey=totalDownloads&amp;zoomType=day" TargetMode="External"/><Relationship Id="rId4" Type="http://schemas.openxmlformats.org/officeDocument/2006/relationships/hyperlink" Target="https://appstoreconnect.apple.com/analytics/app/r:20230916:20230930/1476035637/metrics?annotationsVisible=true&amp;chartType=singleaxis&amp;dimensionFilters=source%7CAppRef%7CApp+Referrer&amp;measureKey=pageViewCount&amp;zoomType=day" TargetMode="External"/><Relationship Id="rId9" Type="http://schemas.openxmlformats.org/officeDocument/2006/relationships/hyperlink" Target="https://appstoreconnect.apple.com/analytics/app/r:20230916:20230930/1476035637/metrics?annotationsVisible=true&amp;chartType=singleaxis&amp;dimensionFilters=source%7CSearch%7CApp+Store+Search&amp;groupDimensionKey=storefront&amp;measureKey=pageViewCount&amp;zoomType=day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5.bin"/><Relationship Id="rId3" Type="http://schemas.openxmlformats.org/officeDocument/2006/relationships/hyperlink" Target="https://dashboard.applaydu.com/question/2311-applaydu-qr-first-scans-external-download-and-1st-scan-toys-in-app-conversion-by-ident-id-leftover" TargetMode="External"/><Relationship Id="rId7" Type="http://schemas.openxmlformats.org/officeDocument/2006/relationships/hyperlink" Target="https://dashboard.applaydu.com/question/2314-applaydu-number-of-organic-users-that-scan-at-least-1-toy?" TargetMode="External"/><Relationship Id="rId2" Type="http://schemas.openxmlformats.org/officeDocument/2006/relationships/hyperlink" Target="https://dashboard.applaydu.com/question/2307-question-v1-basic-kpi-qr-first-scans-external-download-and-1st-scan-toys-in-app-conversion-by-ident-id-leaflet-only" TargetMode="External"/><Relationship Id="rId1" Type="http://schemas.openxmlformats.org/officeDocument/2006/relationships/hyperlink" Target="https://dashboard.applaydu.com/question/249-total-downloads?idate=2022-01-01~2022-12-31" TargetMode="External"/><Relationship Id="rId6" Type="http://schemas.openxmlformats.org/officeDocument/2006/relationships/hyperlink" Target="https://dashboard.applaydu.com/question/2308-applaydu-qr-first-scans-external-download-and-1st-scan-toys-in-app-conversion-by-ident-id-k-com-badge-page" TargetMode="External"/><Relationship Id="rId11" Type="http://schemas.openxmlformats.org/officeDocument/2006/relationships/comments" Target="../comments2.xml"/><Relationship Id="rId5" Type="http://schemas.openxmlformats.org/officeDocument/2006/relationships/hyperlink" Target="https://dashboard.applaydu.com/question/2310-applaydu-qr-first-scans-external-download-and-1st-scan-toys-in-app-conversion-by-ident-id-campaign-b" TargetMode="External"/><Relationship Id="rId10" Type="http://schemas.openxmlformats.org/officeDocument/2006/relationships/vmlDrawing" Target="../drawings/vmlDrawing2.vml"/><Relationship Id="rId4" Type="http://schemas.openxmlformats.org/officeDocument/2006/relationships/hyperlink" Target="https://dashboard.applaydu.com/question/2309-applaydu-qr-first-scans-external-download-and-1st-scan-toys-in-app-conversion-by-ident-id-pos" TargetMode="External"/><Relationship Id="rId9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dashboard.applaydu.com/question/249-total-downloads?idate=2021-03-01~2022-02-28" TargetMode="External"/><Relationship Id="rId13" Type="http://schemas.openxmlformats.org/officeDocument/2006/relationships/comments" Target="../comments3.xml"/><Relationship Id="rId3" Type="http://schemas.openxmlformats.org/officeDocument/2006/relationships/hyperlink" Target="https://dashboard.applaydu.com/question/2309-applaydu-qr-first-scans-external-download-and-1st-scan-toys-in-app-conversion-by-ident-id-pos" TargetMode="External"/><Relationship Id="rId7" Type="http://schemas.openxmlformats.org/officeDocument/2006/relationships/hyperlink" Target="https://dashboard.applaydu.com/question/2326-users-who-have-scanned-surprises-by-old-new-users-and-platform?timeframe=2021-03-01~2022-02-28" TargetMode="External"/><Relationship Id="rId12" Type="http://schemas.openxmlformats.org/officeDocument/2006/relationships/vmlDrawing" Target="../drawings/vmlDrawing3.vml"/><Relationship Id="rId2" Type="http://schemas.openxmlformats.org/officeDocument/2006/relationships/hyperlink" Target="https://dashboard.applaydu.com/question/2311-applaydu-qr-first-scans-external-download-and-1st-scan-toys-in-app-conversion-by-ident-id-leftover" TargetMode="External"/><Relationship Id="rId1" Type="http://schemas.openxmlformats.org/officeDocument/2006/relationships/hyperlink" Target="https://dashboard.applaydu.com/question/2307-question-v1-basic-kpi-qr-first-scans-external-download-and-1st-scan-toys-in-app-conversion-by-ident-id-leaflet-only" TargetMode="External"/><Relationship Id="rId6" Type="http://schemas.openxmlformats.org/officeDocument/2006/relationships/hyperlink" Target="https://dashboard.applaydu.com/question/2314-applaydu-number-of-organic-users-that-scan-at-least-1-toy?" TargetMode="External"/><Relationship Id="rId11" Type="http://schemas.openxmlformats.org/officeDocument/2006/relationships/printerSettings" Target="../printerSettings/printerSettings6.bin"/><Relationship Id="rId5" Type="http://schemas.openxmlformats.org/officeDocument/2006/relationships/hyperlink" Target="https://dashboard.applaydu.com/question/2308-applaydu-qr-first-scans-external-download-and-1st-scan-toys-in-app-conversion-by-ident-id-k-com-badge-page" TargetMode="External"/><Relationship Id="rId10" Type="http://schemas.openxmlformats.org/officeDocument/2006/relationships/hyperlink" Target="https://dashboard.applaydu.com/question/2328-applaydu-number-of-organic-users-that-do-not-scan-toys?idate=2023-01-01~2023-03-31&amp;icountry=France" TargetMode="External"/><Relationship Id="rId4" Type="http://schemas.openxmlformats.org/officeDocument/2006/relationships/hyperlink" Target="https://dashboard.applaydu.com/question/2310-applaydu-qr-first-scans-external-download-and-1st-scan-toys-in-app-conversion-by-ident-id-campaign-b" TargetMode="External"/><Relationship Id="rId9" Type="http://schemas.openxmlformats.org/officeDocument/2006/relationships/hyperlink" Target="https://dashboard.applaydu.com/question/2328-applaydu-number-of-organic-users-that-do-not-scan-toys?idate=2023-01-01~2023-03-31&amp;icountry=France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dashboard.applaydu.com/question/249-total-downloads?idate=2021-03-01~2022-02-28" TargetMode="External"/><Relationship Id="rId13" Type="http://schemas.openxmlformats.org/officeDocument/2006/relationships/comments" Target="../comments4.xml"/><Relationship Id="rId3" Type="http://schemas.openxmlformats.org/officeDocument/2006/relationships/hyperlink" Target="https://dashboard.applaydu.com/question/2309-applaydu-qr-first-scans-external-download-and-1st-scan-toys-in-app-conversion-by-ident-id-pos" TargetMode="External"/><Relationship Id="rId7" Type="http://schemas.openxmlformats.org/officeDocument/2006/relationships/hyperlink" Target="https://dashboard.applaydu.com/question/2326-users-who-have-scanned-surprises-by-old-new-users-and-platform?timeframe=2021-03-01~2022-02-28" TargetMode="External"/><Relationship Id="rId12" Type="http://schemas.openxmlformats.org/officeDocument/2006/relationships/vmlDrawing" Target="../drawings/vmlDrawing4.vml"/><Relationship Id="rId2" Type="http://schemas.openxmlformats.org/officeDocument/2006/relationships/hyperlink" Target="https://dashboard.applaydu.com/question/2311-applaydu-qr-first-scans-external-download-and-1st-scan-toys-in-app-conversion-by-ident-id-leftover" TargetMode="External"/><Relationship Id="rId1" Type="http://schemas.openxmlformats.org/officeDocument/2006/relationships/hyperlink" Target="https://dashboard.applaydu.com/question/2307-question-v1-basic-kpi-qr-first-scans-external-download-and-1st-scan-toys-in-app-conversion-by-ident-id-leaflet-only" TargetMode="External"/><Relationship Id="rId6" Type="http://schemas.openxmlformats.org/officeDocument/2006/relationships/hyperlink" Target="https://dashboard.applaydu.com/question/2314-applaydu-number-of-organic-users-that-scan-at-least-1-toy?" TargetMode="External"/><Relationship Id="rId11" Type="http://schemas.openxmlformats.org/officeDocument/2006/relationships/printerSettings" Target="../printerSettings/printerSettings7.bin"/><Relationship Id="rId5" Type="http://schemas.openxmlformats.org/officeDocument/2006/relationships/hyperlink" Target="https://dashboard.applaydu.com/question/2308-applaydu-qr-first-scans-external-download-and-1st-scan-toys-in-app-conversion-by-ident-id-k-com-badge-page" TargetMode="External"/><Relationship Id="rId10" Type="http://schemas.openxmlformats.org/officeDocument/2006/relationships/hyperlink" Target="https://dashboard.applaydu.com/question/2328-applaydu-number-of-organic-users-that-do-not-scan-toys?idate=2021-03-01~2022-02-28" TargetMode="External"/><Relationship Id="rId4" Type="http://schemas.openxmlformats.org/officeDocument/2006/relationships/hyperlink" Target="https://dashboard.applaydu.com/question/2310-applaydu-qr-first-scans-external-download-and-1st-scan-toys-in-app-conversion-by-ident-id-campaign-b" TargetMode="External"/><Relationship Id="rId9" Type="http://schemas.openxmlformats.org/officeDocument/2006/relationships/hyperlink" Target="https://dashboard.applaydu.com/question/2328-applaydu-number-of-organic-users-that-do-not-scan-toys?idate=2021-03-01~2022-02-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zoomScale="80" zoomScaleNormal="80" workbookViewId="0">
      <pane xSplit="4" ySplit="1" topLeftCell="E9" activePane="bottomRight" state="frozen"/>
      <selection pane="topRight" activeCell="E1" sqref="E1"/>
      <selection pane="bottomLeft" activeCell="A2" sqref="A2"/>
      <selection pane="bottomRight" activeCell="E11" sqref="E11"/>
    </sheetView>
  </sheetViews>
  <sheetFormatPr defaultColWidth="8.85546875" defaultRowHeight="18.75" x14ac:dyDescent="0.3"/>
  <cols>
    <col min="1" max="1" width="51.42578125" style="154" customWidth="1"/>
    <col min="2" max="2" width="27.28515625" customWidth="1"/>
    <col min="3" max="3" width="5.85546875" customWidth="1"/>
    <col min="4" max="4" width="1.42578125" customWidth="1"/>
    <col min="5" max="5" width="13.85546875" bestFit="1" customWidth="1"/>
    <col min="6" max="6" width="19.42578125" customWidth="1"/>
    <col min="7" max="7" width="12" bestFit="1" customWidth="1"/>
    <col min="8" max="8" width="26.140625" customWidth="1"/>
    <col min="9" max="9" width="13.42578125" bestFit="1" customWidth="1"/>
    <col min="10" max="10" width="13.42578125" customWidth="1"/>
    <col min="11" max="11" width="12" bestFit="1" customWidth="1"/>
    <col min="12" max="12" width="27.28515625" customWidth="1"/>
    <col min="13" max="13" width="10.28515625" bestFit="1" customWidth="1"/>
    <col min="14" max="14" width="23" customWidth="1"/>
    <col min="15" max="15" width="13.140625" bestFit="1" customWidth="1"/>
    <col min="16" max="16" width="29.7109375" customWidth="1"/>
    <col min="17" max="17" width="16" hidden="1" customWidth="1"/>
    <col min="18" max="18" width="13.42578125" hidden="1" customWidth="1"/>
    <col min="19" max="19" width="4" hidden="1" customWidth="1"/>
    <col min="20" max="20" width="3.140625" hidden="1" customWidth="1"/>
    <col min="21" max="21" width="4.7109375" hidden="1" customWidth="1"/>
    <col min="22" max="22" width="14.140625" hidden="1" customWidth="1"/>
    <col min="23" max="23" width="11.85546875" customWidth="1"/>
  </cols>
  <sheetData>
    <row r="1" spans="1:22" ht="84.75" customHeight="1" x14ac:dyDescent="0.3">
      <c r="A1" s="162" t="s">
        <v>2354</v>
      </c>
      <c r="B1" s="3"/>
      <c r="C1" s="3"/>
      <c r="D1" s="151"/>
      <c r="E1" s="165" t="s">
        <v>2363</v>
      </c>
      <c r="F1" s="189" t="s">
        <v>2356</v>
      </c>
      <c r="G1" s="165"/>
      <c r="H1" s="332" t="s">
        <v>2385</v>
      </c>
      <c r="I1" s="165"/>
      <c r="J1" s="189"/>
      <c r="K1" s="165"/>
      <c r="L1" s="259"/>
      <c r="M1" s="165"/>
      <c r="N1" s="259"/>
      <c r="O1" s="165"/>
      <c r="P1" s="259"/>
      <c r="Q1" s="161" t="s">
        <v>2301</v>
      </c>
      <c r="R1" s="161" t="s">
        <v>2300</v>
      </c>
      <c r="U1" s="163" t="s">
        <v>2303</v>
      </c>
      <c r="V1" s="161" t="s">
        <v>2300</v>
      </c>
    </row>
    <row r="2" spans="1:22" ht="59.25" customHeight="1" x14ac:dyDescent="0.25">
      <c r="A2" s="393" t="s">
        <v>2298</v>
      </c>
      <c r="B2" s="396" t="s">
        <v>2296</v>
      </c>
      <c r="C2" s="3"/>
      <c r="D2" s="151"/>
      <c r="E2" s="4">
        <f>'Details-GLOBAL-202301-202303'!F129</f>
        <v>4767440</v>
      </c>
      <c r="F2" s="188" t="s">
        <v>2355</v>
      </c>
      <c r="G2" s="4"/>
      <c r="H2" s="188">
        <f>1087165+3680275</f>
        <v>4767440</v>
      </c>
      <c r="I2" s="4"/>
      <c r="J2" s="188"/>
      <c r="K2" s="4"/>
      <c r="L2" s="188"/>
      <c r="M2" s="4"/>
      <c r="N2" s="188"/>
      <c r="O2" s="166"/>
      <c r="P2" s="188"/>
      <c r="Q2" s="4" t="e">
        <f>#REF!-E2</f>
        <v>#REF!</v>
      </c>
      <c r="R2" s="3" t="s">
        <v>8</v>
      </c>
      <c r="U2" s="3"/>
      <c r="V2" s="3"/>
    </row>
    <row r="3" spans="1:22" ht="15" customHeight="1" x14ac:dyDescent="0.25">
      <c r="A3" s="394"/>
      <c r="B3" s="397"/>
      <c r="C3" s="148" t="s">
        <v>2286</v>
      </c>
      <c r="D3" s="151"/>
      <c r="E3" s="168">
        <f>E2/E8</f>
        <v>0.3165665073267393</v>
      </c>
      <c r="F3" s="168"/>
      <c r="G3" s="8"/>
      <c r="H3" s="8"/>
      <c r="I3" s="8"/>
      <c r="J3" s="8"/>
      <c r="K3" s="8"/>
      <c r="L3" s="8"/>
      <c r="M3" s="8"/>
      <c r="N3" s="167"/>
      <c r="O3" s="167"/>
      <c r="Q3" s="8" t="e">
        <f>#REF!-E3</f>
        <v>#REF!</v>
      </c>
      <c r="R3" s="3"/>
      <c r="U3" s="3"/>
      <c r="V3" s="3"/>
    </row>
    <row r="4" spans="1:22" ht="15" customHeight="1" x14ac:dyDescent="0.25">
      <c r="A4" s="394"/>
      <c r="B4" s="396" t="s">
        <v>2297</v>
      </c>
      <c r="C4" s="3"/>
      <c r="D4" s="151"/>
      <c r="E4" s="4">
        <f>'Details-GLOBAL-202301-202303'!F130</f>
        <v>1369636</v>
      </c>
      <c r="F4" s="188" t="s">
        <v>2355</v>
      </c>
      <c r="G4" s="4"/>
      <c r="H4" s="188">
        <f>1119126+250510</f>
        <v>1369636</v>
      </c>
      <c r="I4" s="4"/>
      <c r="J4" s="188"/>
      <c r="K4" s="4"/>
      <c r="L4" s="188"/>
      <c r="M4" s="4"/>
      <c r="N4" s="188"/>
      <c r="O4" s="166"/>
      <c r="P4" s="188"/>
      <c r="Q4" s="4" t="e">
        <f>#REF!-E4</f>
        <v>#REF!</v>
      </c>
      <c r="R4" s="3"/>
      <c r="U4" s="3"/>
      <c r="V4" s="3"/>
    </row>
    <row r="5" spans="1:22" ht="15" customHeight="1" x14ac:dyDescent="0.25">
      <c r="A5" s="394"/>
      <c r="B5" s="397"/>
      <c r="C5" s="148" t="s">
        <v>2286</v>
      </c>
      <c r="D5" s="151"/>
      <c r="E5" s="168">
        <f>E4/E8</f>
        <v>9.0946269869985982E-2</v>
      </c>
      <c r="F5" s="168"/>
      <c r="G5" s="8"/>
      <c r="H5" s="8"/>
      <c r="I5" s="8"/>
      <c r="J5" s="8"/>
      <c r="K5" s="8"/>
      <c r="L5" s="8"/>
      <c r="M5" s="8"/>
      <c r="N5" s="167"/>
      <c r="O5" s="167"/>
      <c r="Q5" s="8" t="e">
        <f>#REF!-E5</f>
        <v>#REF!</v>
      </c>
      <c r="R5" s="3"/>
      <c r="U5" s="3"/>
      <c r="V5" s="3"/>
    </row>
    <row r="6" spans="1:22" ht="15" customHeight="1" x14ac:dyDescent="0.25">
      <c r="A6" s="394"/>
      <c r="B6" s="155" t="s">
        <v>2290</v>
      </c>
      <c r="C6" s="3"/>
      <c r="D6" s="151"/>
      <c r="E6" s="4">
        <f>'Details-GLOBAL-202301-202303'!F131</f>
        <v>8922761</v>
      </c>
      <c r="F6" s="188" t="s">
        <v>2355</v>
      </c>
      <c r="G6" s="4"/>
      <c r="H6" s="188">
        <f>4033433+4889328</f>
        <v>8922761</v>
      </c>
      <c r="I6" s="4"/>
      <c r="J6" s="188"/>
      <c r="K6" s="4"/>
      <c r="L6" s="188"/>
      <c r="M6" s="4"/>
      <c r="N6" s="188"/>
      <c r="O6" s="166"/>
      <c r="P6" s="188"/>
      <c r="Q6" s="4" t="e">
        <f>#REF!-E6</f>
        <v>#REF!</v>
      </c>
      <c r="R6" s="3"/>
      <c r="U6" s="3"/>
      <c r="V6" s="3"/>
    </row>
    <row r="7" spans="1:22" ht="15" customHeight="1" x14ac:dyDescent="0.25">
      <c r="A7" s="395"/>
      <c r="B7" s="148"/>
      <c r="C7" s="148" t="s">
        <v>2286</v>
      </c>
      <c r="D7" s="151"/>
      <c r="E7" s="168">
        <f>E6/E8</f>
        <v>0.5924872228032747</v>
      </c>
      <c r="F7" s="168"/>
      <c r="G7" s="8"/>
      <c r="H7" s="8"/>
      <c r="I7" s="8"/>
      <c r="J7" s="8"/>
      <c r="K7" s="8"/>
      <c r="L7" s="8"/>
      <c r="M7" s="8"/>
      <c r="N7" s="167"/>
      <c r="O7" s="167"/>
      <c r="Q7" s="8" t="e">
        <f>#REF!-E7</f>
        <v>#REF!</v>
      </c>
      <c r="R7" s="3"/>
      <c r="U7" s="3"/>
      <c r="V7" s="3"/>
    </row>
    <row r="8" spans="1:22" x14ac:dyDescent="0.3">
      <c r="A8" s="150" t="s">
        <v>2284</v>
      </c>
      <c r="B8" s="3"/>
      <c r="C8" s="3"/>
      <c r="D8" s="151"/>
      <c r="E8" s="4">
        <f>'Details-GLOBAL-202301-202303'!F133</f>
        <v>15059837</v>
      </c>
      <c r="F8" s="188" t="s">
        <v>2355</v>
      </c>
      <c r="G8" s="4"/>
      <c r="H8" s="188">
        <f>5371108+9688729</f>
        <v>15059837</v>
      </c>
      <c r="I8" s="4"/>
      <c r="J8" s="188"/>
      <c r="K8" s="4"/>
      <c r="L8" s="188"/>
      <c r="M8" s="4"/>
      <c r="N8" s="188"/>
      <c r="O8" s="166"/>
      <c r="P8" s="188"/>
      <c r="Q8" s="4" t="e">
        <f>#REF!-E8</f>
        <v>#REF!</v>
      </c>
      <c r="R8" s="3"/>
      <c r="U8" s="3"/>
      <c r="V8" s="3"/>
    </row>
    <row r="9" spans="1:22" ht="18.95" customHeight="1" x14ac:dyDescent="0.25">
      <c r="A9" s="403" t="s">
        <v>2285</v>
      </c>
      <c r="B9" s="3"/>
      <c r="C9" s="3"/>
      <c r="D9" s="151"/>
      <c r="E9" s="4">
        <f>'Details-GLOBAL-202301-202303'!F136</f>
        <v>11110364</v>
      </c>
      <c r="F9" s="188" t="s">
        <v>2355</v>
      </c>
      <c r="G9" s="4"/>
      <c r="H9" s="188">
        <f>4293516+6816848</f>
        <v>11110364</v>
      </c>
      <c r="I9" s="4"/>
      <c r="J9" s="188"/>
      <c r="K9" s="4"/>
      <c r="L9" s="188"/>
      <c r="M9" s="4"/>
      <c r="N9" s="188"/>
      <c r="O9" s="166"/>
      <c r="P9" s="188"/>
      <c r="Q9" s="4" t="e">
        <f>#REF!-E9</f>
        <v>#REF!</v>
      </c>
      <c r="R9" s="3"/>
      <c r="U9" s="3"/>
      <c r="V9" s="3"/>
    </row>
    <row r="10" spans="1:22" ht="18.95" customHeight="1" x14ac:dyDescent="0.25">
      <c r="A10" s="404"/>
      <c r="B10" s="148" t="s">
        <v>2286</v>
      </c>
      <c r="C10" s="149"/>
      <c r="D10" s="152"/>
      <c r="E10" s="8">
        <f>E9/E8</f>
        <v>0.73774795836103668</v>
      </c>
      <c r="F10" s="8"/>
      <c r="G10" s="8"/>
      <c r="H10" s="8"/>
      <c r="I10" s="8"/>
      <c r="J10" s="8"/>
      <c r="K10" s="8"/>
      <c r="L10" s="8"/>
      <c r="M10" s="8"/>
      <c r="N10" s="167"/>
      <c r="O10" s="167"/>
      <c r="Q10" s="8" t="e">
        <f>#REF!-E10</f>
        <v>#REF!</v>
      </c>
      <c r="R10" s="3"/>
      <c r="U10" s="3"/>
      <c r="V10" s="3"/>
    </row>
    <row r="11" spans="1:22" ht="18.95" customHeight="1" x14ac:dyDescent="0.25">
      <c r="A11" s="403" t="s">
        <v>2287</v>
      </c>
      <c r="B11" s="3"/>
      <c r="C11" s="3"/>
      <c r="D11" s="151"/>
      <c r="E11" s="4">
        <f>'Details-GLOBAL-202301-202303'!F141</f>
        <v>5565994</v>
      </c>
      <c r="F11" s="188" t="s">
        <v>2355</v>
      </c>
      <c r="G11" s="4"/>
      <c r="H11" s="188">
        <f>2157961+3408033</f>
        <v>5565994</v>
      </c>
      <c r="I11" s="4"/>
      <c r="J11" s="188"/>
      <c r="K11" s="4"/>
      <c r="L11" s="188"/>
      <c r="M11" s="4"/>
      <c r="N11" s="188"/>
      <c r="O11" s="166"/>
      <c r="P11" s="188"/>
      <c r="Q11" s="4" t="e">
        <f>#REF!-E11</f>
        <v>#REF!</v>
      </c>
      <c r="R11" s="3"/>
      <c r="U11" s="3"/>
      <c r="V11" s="3"/>
    </row>
    <row r="12" spans="1:22" ht="18.95" customHeight="1" x14ac:dyDescent="0.25">
      <c r="A12" s="404"/>
      <c r="B12" s="148" t="s">
        <v>2286</v>
      </c>
      <c r="C12" s="149"/>
      <c r="D12" s="152"/>
      <c r="E12" s="8">
        <f>E11/E8</f>
        <v>0.36959191523786084</v>
      </c>
      <c r="F12" s="8"/>
      <c r="G12" s="8"/>
      <c r="H12" s="8"/>
      <c r="I12" s="8"/>
      <c r="J12" s="8"/>
      <c r="K12" s="8"/>
      <c r="L12" s="8"/>
      <c r="M12" s="8"/>
      <c r="N12" s="167"/>
      <c r="O12" s="167"/>
      <c r="Q12" s="8" t="e">
        <f>#REF!-E12</f>
        <v>#REF!</v>
      </c>
      <c r="R12" s="3"/>
      <c r="U12" s="3"/>
      <c r="V12" s="3"/>
    </row>
    <row r="13" spans="1:22" x14ac:dyDescent="0.3">
      <c r="A13" s="150" t="s">
        <v>2288</v>
      </c>
      <c r="B13" s="175" t="s">
        <v>2347</v>
      </c>
      <c r="C13" s="3"/>
      <c r="D13" s="151"/>
      <c r="E13" s="4">
        <f>'Details-GLOBAL-202301-202303'!F142</f>
        <v>3949473</v>
      </c>
      <c r="F13" s="188"/>
      <c r="G13" s="4"/>
      <c r="H13" s="188">
        <f>1077592+2871881</f>
        <v>3949473</v>
      </c>
      <c r="I13" s="4"/>
      <c r="J13" s="188"/>
      <c r="K13" s="4"/>
      <c r="L13" s="188"/>
      <c r="M13" s="4"/>
      <c r="N13" s="188"/>
      <c r="O13" s="166"/>
      <c r="P13" s="188"/>
      <c r="Q13" s="4" t="e">
        <f>#REF!-E13</f>
        <v>#REF!</v>
      </c>
      <c r="R13" s="3"/>
      <c r="U13" s="3"/>
      <c r="V13" s="3"/>
    </row>
    <row r="14" spans="1:22" ht="18.95" customHeight="1" x14ac:dyDescent="0.25">
      <c r="A14" s="403" t="s">
        <v>2289</v>
      </c>
      <c r="B14" s="149"/>
      <c r="C14" s="149"/>
      <c r="D14" s="151"/>
      <c r="E14" s="4">
        <f>'Details-GLOBAL-202301-202303'!F143</f>
        <v>2460570</v>
      </c>
      <c r="F14" s="188"/>
      <c r="G14" s="4"/>
      <c r="H14" s="188">
        <f>1074883+1385687</f>
        <v>2460570</v>
      </c>
      <c r="I14" s="4"/>
      <c r="J14" s="188"/>
      <c r="K14" s="4"/>
      <c r="L14" s="188"/>
      <c r="M14" s="4"/>
      <c r="N14" s="188"/>
      <c r="O14" s="166"/>
      <c r="P14" s="188"/>
      <c r="Q14" s="4" t="e">
        <f>#REF!-E14</f>
        <v>#REF!</v>
      </c>
      <c r="R14" s="3"/>
      <c r="U14" s="3" t="s">
        <v>2306</v>
      </c>
      <c r="V14" s="3"/>
    </row>
    <row r="15" spans="1:22" ht="18.95" customHeight="1" x14ac:dyDescent="0.25">
      <c r="A15" s="405"/>
      <c r="B15" s="148" t="s">
        <v>2350</v>
      </c>
      <c r="C15" s="149"/>
      <c r="D15" s="151"/>
      <c r="E15" s="8">
        <f>E14/E11</f>
        <v>0.44207198211137128</v>
      </c>
      <c r="F15" s="8"/>
      <c r="G15" s="8"/>
      <c r="H15" s="8"/>
      <c r="I15" s="8"/>
      <c r="J15" s="8"/>
      <c r="K15" s="8"/>
      <c r="L15" s="8"/>
      <c r="M15" s="8"/>
      <c r="N15" s="8"/>
      <c r="O15" s="8"/>
      <c r="Q15" s="4"/>
      <c r="R15" s="3"/>
      <c r="U15" s="3"/>
      <c r="V15" s="3"/>
    </row>
    <row r="16" spans="1:22" ht="18.95" customHeight="1" x14ac:dyDescent="0.25">
      <c r="A16" s="393" t="s">
        <v>2290</v>
      </c>
      <c r="B16" s="148"/>
      <c r="C16" s="148"/>
      <c r="D16" s="151"/>
      <c r="E16" s="4">
        <f>E18+E20+E22</f>
        <v>738839.81197610626</v>
      </c>
      <c r="F16" s="188"/>
      <c r="G16" s="4"/>
      <c r="H16" s="188">
        <f>360565+378572</f>
        <v>739137</v>
      </c>
      <c r="I16" s="4"/>
      <c r="J16" s="251"/>
      <c r="K16" s="4"/>
      <c r="L16" s="251"/>
      <c r="M16" s="4"/>
      <c r="N16" s="188"/>
      <c r="O16" s="166"/>
      <c r="P16" s="188"/>
      <c r="Q16" s="4" t="e">
        <f>#REF!-E16</f>
        <v>#REF!</v>
      </c>
      <c r="R16" s="3" t="s">
        <v>2302</v>
      </c>
      <c r="U16" s="3" t="s">
        <v>2308</v>
      </c>
      <c r="V16" s="3"/>
    </row>
    <row r="17" spans="1:24" ht="18.95" customHeight="1" x14ac:dyDescent="0.25">
      <c r="A17" s="394"/>
      <c r="B17" s="148" t="s">
        <v>2286</v>
      </c>
      <c r="C17" s="148"/>
      <c r="D17" s="151"/>
      <c r="E17" s="8">
        <f>E16/E13</f>
        <v>0.18707301251992514</v>
      </c>
      <c r="F17" s="8"/>
      <c r="G17" s="8"/>
      <c r="H17" s="8"/>
      <c r="I17" s="8"/>
      <c r="J17" s="8"/>
      <c r="K17" s="8"/>
      <c r="L17" s="8"/>
      <c r="M17" s="8"/>
      <c r="N17" s="167"/>
      <c r="O17" s="167"/>
      <c r="Q17" s="8" t="e">
        <f>#REF!-E17</f>
        <v>#REF!</v>
      </c>
      <c r="R17" s="3"/>
      <c r="U17" s="3"/>
      <c r="V17" s="3"/>
    </row>
    <row r="18" spans="1:24" ht="18.95" customHeight="1" x14ac:dyDescent="0.25">
      <c r="A18" s="394"/>
      <c r="B18" s="396" t="s">
        <v>2291</v>
      </c>
      <c r="C18" s="3"/>
      <c r="D18" s="151"/>
      <c r="E18" s="4">
        <f>'Details-GLOBAL-202301-202303'!G164</f>
        <v>377545</v>
      </c>
      <c r="F18" s="188"/>
      <c r="G18" s="4"/>
      <c r="H18" s="188">
        <v>377533</v>
      </c>
      <c r="I18" s="4"/>
      <c r="J18" s="251"/>
      <c r="K18" s="4"/>
      <c r="L18" s="188"/>
      <c r="M18" s="4"/>
      <c r="N18" s="188"/>
      <c r="O18" s="166"/>
      <c r="P18" s="188"/>
      <c r="Q18" s="4" t="e">
        <f>#REF!-E18</f>
        <v>#REF!</v>
      </c>
      <c r="R18" s="3" t="s">
        <v>2302</v>
      </c>
      <c r="U18" s="3" t="s">
        <v>2304</v>
      </c>
      <c r="V18" s="3"/>
    </row>
    <row r="19" spans="1:24" ht="18.95" customHeight="1" x14ac:dyDescent="0.25">
      <c r="A19" s="394"/>
      <c r="B19" s="397"/>
      <c r="C19" s="148" t="s">
        <v>2286</v>
      </c>
      <c r="D19" s="151"/>
      <c r="E19" s="8">
        <f>E18/E16</f>
        <v>0.51099709826168604</v>
      </c>
      <c r="F19" s="8"/>
      <c r="G19" s="168"/>
      <c r="H19" s="168"/>
      <c r="I19" s="8"/>
      <c r="J19" s="8"/>
      <c r="K19" s="8"/>
      <c r="L19" s="8"/>
      <c r="M19" s="8"/>
      <c r="N19" s="167"/>
      <c r="O19" s="167"/>
      <c r="Q19" s="8" t="e">
        <f>#REF!-E19</f>
        <v>#REF!</v>
      </c>
      <c r="R19" s="3"/>
      <c r="U19" s="3"/>
      <c r="V19" s="3"/>
    </row>
    <row r="20" spans="1:24" ht="18.95" customHeight="1" x14ac:dyDescent="0.25">
      <c r="A20" s="394"/>
      <c r="B20" s="396" t="s">
        <v>2292</v>
      </c>
      <c r="C20" s="3"/>
      <c r="D20" s="151"/>
      <c r="E20" s="4">
        <f>'Details-GLOBAL-202301-202303'!H164</f>
        <v>360269</v>
      </c>
      <c r="F20" s="188"/>
      <c r="G20" s="4"/>
      <c r="H20" s="188">
        <v>360258</v>
      </c>
      <c r="I20" s="4"/>
      <c r="J20" s="251"/>
      <c r="K20" s="4"/>
      <c r="L20" s="251"/>
      <c r="M20" s="4"/>
      <c r="N20" s="188"/>
      <c r="O20" s="166"/>
      <c r="P20" s="188"/>
      <c r="Q20" s="4" t="e">
        <f>#REF!-E20</f>
        <v>#REF!</v>
      </c>
      <c r="R20" s="3" t="s">
        <v>2302</v>
      </c>
      <c r="U20" s="3" t="s">
        <v>2305</v>
      </c>
      <c r="V20" s="3"/>
    </row>
    <row r="21" spans="1:24" ht="18.95" customHeight="1" x14ac:dyDescent="0.25">
      <c r="A21" s="394"/>
      <c r="B21" s="397"/>
      <c r="C21" s="148" t="s">
        <v>2286</v>
      </c>
      <c r="D21" s="151"/>
      <c r="E21" s="8">
        <f>E20/E16</f>
        <v>0.48761449256019646</v>
      </c>
      <c r="F21" s="8"/>
      <c r="G21" s="168"/>
      <c r="H21" s="168"/>
      <c r="I21" s="8"/>
      <c r="J21" s="8"/>
      <c r="K21" s="8"/>
      <c r="L21" s="8"/>
      <c r="M21" s="8"/>
      <c r="N21" s="167"/>
      <c r="O21" s="167"/>
      <c r="Q21" s="8" t="e">
        <f>#REF!-E21</f>
        <v>#REF!</v>
      </c>
      <c r="R21" s="3"/>
      <c r="U21" s="3"/>
      <c r="V21" s="3"/>
    </row>
    <row r="22" spans="1:24" ht="18.95" customHeight="1" x14ac:dyDescent="0.25">
      <c r="A22" s="394"/>
      <c r="B22" s="396" t="s">
        <v>2293</v>
      </c>
      <c r="C22" s="3"/>
      <c r="D22" s="151"/>
      <c r="E22" s="4">
        <f>'Details-GLOBAL-202301-202303'!G169+'Details-GLOBAL-202301-202303'!H169</f>
        <v>1025.8119761062658</v>
      </c>
      <c r="F22" s="188"/>
      <c r="G22" s="4"/>
      <c r="H22" s="188">
        <f>296+728</f>
        <v>1024</v>
      </c>
      <c r="I22" s="4"/>
      <c r="J22" s="251"/>
      <c r="K22" s="4"/>
      <c r="L22" s="251"/>
      <c r="M22" s="4"/>
      <c r="N22" s="188"/>
      <c r="O22" s="166"/>
      <c r="P22" s="188"/>
      <c r="Q22" s="4" t="e">
        <f>#REF!-E22</f>
        <v>#REF!</v>
      </c>
      <c r="R22" s="3" t="s">
        <v>2302</v>
      </c>
      <c r="U22" s="3" t="s">
        <v>2309</v>
      </c>
      <c r="V22" s="3"/>
    </row>
    <row r="23" spans="1:24" ht="27" customHeight="1" x14ac:dyDescent="0.25">
      <c r="A23" s="395"/>
      <c r="B23" s="397"/>
      <c r="C23" s="148" t="s">
        <v>2286</v>
      </c>
      <c r="D23" s="151"/>
      <c r="E23" s="168">
        <f>E22/E16</f>
        <v>1.388409178117543E-3</v>
      </c>
      <c r="F23" s="168"/>
      <c r="G23" s="168"/>
      <c r="H23" s="168"/>
      <c r="I23" s="8"/>
      <c r="J23" s="8"/>
      <c r="K23" s="8"/>
      <c r="L23" s="8"/>
      <c r="M23" s="8"/>
      <c r="N23" s="167"/>
      <c r="O23" s="167"/>
      <c r="Q23" s="8" t="e">
        <f>#REF!-E23</f>
        <v>#REF!</v>
      </c>
      <c r="R23" s="3"/>
      <c r="U23" s="3"/>
      <c r="V23" s="3"/>
    </row>
    <row r="24" spans="1:24" ht="15" customHeight="1" x14ac:dyDescent="0.25">
      <c r="A24" s="400" t="s">
        <v>2294</v>
      </c>
      <c r="B24" s="3"/>
      <c r="C24" s="3"/>
      <c r="D24" s="151"/>
      <c r="E24" s="4">
        <f>SUM(E28+E26+E30)</f>
        <v>1911304.1880238939</v>
      </c>
      <c r="F24" s="250"/>
      <c r="G24" s="4"/>
      <c r="H24" s="4">
        <f>1107933+378974</f>
        <v>1486907</v>
      </c>
      <c r="J24" s="251"/>
      <c r="K24" s="4"/>
      <c r="L24" s="251"/>
      <c r="M24" s="4"/>
      <c r="N24" s="141"/>
      <c r="O24" s="166"/>
      <c r="P24" s="188"/>
      <c r="Q24" s="4" t="e">
        <f>#REF!-E24</f>
        <v>#REF!</v>
      </c>
      <c r="R24" s="3"/>
      <c r="U24" s="3"/>
      <c r="V24" s="3"/>
    </row>
    <row r="25" spans="1:24" ht="15" customHeight="1" x14ac:dyDescent="0.25">
      <c r="A25" s="401"/>
      <c r="B25" s="148" t="s">
        <v>2286</v>
      </c>
      <c r="C25" s="3"/>
      <c r="D25" s="151"/>
      <c r="E25" s="8">
        <f>E24/E13</f>
        <v>0.48393904402534055</v>
      </c>
      <c r="F25" s="8"/>
      <c r="G25" s="8"/>
      <c r="H25" s="8"/>
      <c r="I25" s="8"/>
      <c r="J25" s="8"/>
      <c r="K25" s="8"/>
      <c r="L25" s="8"/>
      <c r="M25" s="8"/>
      <c r="N25" s="167"/>
      <c r="O25" s="167"/>
      <c r="Q25" s="8" t="e">
        <f>#REF!-E25</f>
        <v>#REF!</v>
      </c>
      <c r="R25" s="3"/>
      <c r="U25" s="3"/>
      <c r="V25" s="3"/>
    </row>
    <row r="26" spans="1:24" ht="15" customHeight="1" x14ac:dyDescent="0.25">
      <c r="A26" s="401"/>
      <c r="B26" s="396" t="s">
        <v>2295</v>
      </c>
      <c r="C26" s="3"/>
      <c r="D26" s="151"/>
      <c r="E26" s="4">
        <f>'Details-GLOBAL-202301-202303'!F165</f>
        <v>1145629</v>
      </c>
      <c r="F26" s="258"/>
      <c r="G26" s="4"/>
      <c r="H26" s="188">
        <f>791701+351985</f>
        <v>1143686</v>
      </c>
      <c r="I26" s="4">
        <f>791701+351985</f>
        <v>1143686</v>
      </c>
      <c r="J26" s="188"/>
      <c r="K26" s="4"/>
      <c r="L26" s="188"/>
      <c r="M26" s="4"/>
      <c r="N26" s="250"/>
      <c r="O26" s="166"/>
      <c r="P26" s="188"/>
      <c r="Q26" s="4" t="e">
        <f>#REF!-E26</f>
        <v>#REF!</v>
      </c>
      <c r="R26" s="3"/>
      <c r="U26" s="3" t="s">
        <v>2311</v>
      </c>
      <c r="V26" s="3"/>
      <c r="X26" s="1"/>
    </row>
    <row r="27" spans="1:24" ht="15" customHeight="1" x14ac:dyDescent="0.25">
      <c r="A27" s="401"/>
      <c r="B27" s="397"/>
      <c r="C27" s="148" t="s">
        <v>2286</v>
      </c>
      <c r="D27" s="151"/>
      <c r="E27" s="8">
        <f t="shared" ref="E27" si="0">E26/E24</f>
        <v>0.59939647868635237</v>
      </c>
      <c r="F27" s="8"/>
      <c r="G27" s="8"/>
      <c r="H27" s="8"/>
      <c r="I27" s="8"/>
      <c r="J27" s="8"/>
      <c r="K27" s="8"/>
      <c r="L27" s="8"/>
      <c r="M27" s="8"/>
      <c r="N27" s="252"/>
      <c r="O27" s="167"/>
      <c r="Q27" s="8" t="e">
        <f>#REF!-E27</f>
        <v>#REF!</v>
      </c>
      <c r="R27" s="3"/>
      <c r="U27" s="3"/>
      <c r="V27" s="3"/>
    </row>
    <row r="28" spans="1:24" ht="15" customHeight="1" x14ac:dyDescent="0.25">
      <c r="A28" s="401"/>
      <c r="B28" s="396" t="s">
        <v>2314</v>
      </c>
      <c r="C28" s="3"/>
      <c r="D28" s="151"/>
      <c r="E28" s="4">
        <f>SUM('Details-GLOBAL-202301-202303'!F166:F168)</f>
        <v>46224.075193782497</v>
      </c>
      <c r="F28" s="250"/>
      <c r="G28" s="4"/>
      <c r="H28" s="188">
        <f>26898+19236</f>
        <v>46134</v>
      </c>
      <c r="I28" s="4">
        <f>19236+26989</f>
        <v>46225</v>
      </c>
      <c r="J28" s="251"/>
      <c r="K28" s="4"/>
      <c r="L28" s="251"/>
      <c r="M28" s="4"/>
      <c r="N28" s="188"/>
      <c r="O28" s="166"/>
      <c r="P28" s="188"/>
      <c r="Q28" s="4" t="e">
        <f>#REF!-E28</f>
        <v>#REF!</v>
      </c>
      <c r="R28" s="3"/>
      <c r="U28" s="3" t="s">
        <v>2310</v>
      </c>
      <c r="V28" s="3"/>
    </row>
    <row r="29" spans="1:24" ht="15" customHeight="1" x14ac:dyDescent="0.25">
      <c r="A29" s="401"/>
      <c r="B29" s="397"/>
      <c r="C29" s="148" t="s">
        <v>2286</v>
      </c>
      <c r="D29" s="151"/>
      <c r="E29" s="8">
        <f t="shared" ref="E29" si="1">E28/E24</f>
        <v>2.4184572755827936E-2</v>
      </c>
      <c r="F29" s="8"/>
      <c r="G29" s="8"/>
      <c r="H29" s="8"/>
      <c r="I29" s="8"/>
      <c r="J29" s="8"/>
      <c r="K29" s="8"/>
      <c r="L29" s="8"/>
      <c r="M29" s="8"/>
      <c r="N29" s="167"/>
      <c r="O29" s="167"/>
      <c r="Q29" s="8" t="e">
        <f>#REF!-E29</f>
        <v>#REF!</v>
      </c>
      <c r="R29" s="3"/>
      <c r="U29" s="3"/>
      <c r="V29" s="3"/>
    </row>
    <row r="30" spans="1:24" ht="15" customHeight="1" x14ac:dyDescent="0.25">
      <c r="A30" s="401"/>
      <c r="B30" s="398" t="s">
        <v>2348</v>
      </c>
      <c r="C30" s="3"/>
      <c r="D30" s="151"/>
      <c r="E30" s="164">
        <f>IF((E13-E14-E16-E28-E26)&gt;0,E13-E14-E16-E28-E26,'Details-GLOBAL-202301-202303'!F173)</f>
        <v>719451.11283011129</v>
      </c>
      <c r="F30" s="250"/>
      <c r="G30" s="164"/>
      <c r="H30" s="164">
        <v>296996</v>
      </c>
      <c r="J30" s="188"/>
      <c r="K30" s="164"/>
      <c r="L30" s="188"/>
      <c r="M30" s="164"/>
      <c r="N30" s="188"/>
      <c r="O30" s="164"/>
      <c r="P30" s="188"/>
      <c r="Q30" s="4" t="e">
        <f>#REF!-E30</f>
        <v>#REF!</v>
      </c>
      <c r="R30" s="3"/>
      <c r="U30" s="3" t="s">
        <v>2307</v>
      </c>
      <c r="V30" s="3"/>
    </row>
    <row r="31" spans="1:24" ht="15" customHeight="1" x14ac:dyDescent="0.25">
      <c r="A31" s="402"/>
      <c r="B31" s="399"/>
      <c r="C31" s="148" t="s">
        <v>2286</v>
      </c>
      <c r="D31" s="151"/>
      <c r="E31" s="8">
        <f t="shared" ref="E31" si="2">E30/E24</f>
        <v>0.3764189485578196</v>
      </c>
      <c r="F31" s="8"/>
      <c r="G31" s="8"/>
      <c r="H31" s="8"/>
      <c r="I31" s="8"/>
      <c r="J31" s="8"/>
      <c r="K31" s="8"/>
      <c r="L31" s="8"/>
      <c r="M31" s="8"/>
      <c r="N31" s="167"/>
      <c r="O31" s="167"/>
      <c r="Q31" s="8" t="e">
        <f>#REF!-E31</f>
        <v>#REF!</v>
      </c>
      <c r="R31" s="3"/>
      <c r="U31" s="3"/>
      <c r="V31" s="3"/>
    </row>
    <row r="32" spans="1:24" ht="19.5" thickBot="1" x14ac:dyDescent="0.35"/>
    <row r="33" spans="1:21" ht="21.75" thickBot="1" x14ac:dyDescent="0.4">
      <c r="A33" s="158" t="s">
        <v>2299</v>
      </c>
      <c r="B33" s="159"/>
      <c r="C33" s="159"/>
      <c r="D33" s="159"/>
      <c r="E33" s="160">
        <f>+E14+E16</f>
        <v>3199409.8119761064</v>
      </c>
      <c r="F33" s="160"/>
      <c r="G33" s="160">
        <f>+G14+G16</f>
        <v>0</v>
      </c>
      <c r="H33" s="160"/>
      <c r="I33" s="160">
        <f>+I14+I16</f>
        <v>0</v>
      </c>
      <c r="J33" s="160"/>
      <c r="K33" s="160">
        <f>+K14+K16</f>
        <v>0</v>
      </c>
      <c r="L33" s="160"/>
      <c r="M33" s="160">
        <f>+M14+M16</f>
        <v>0</v>
      </c>
      <c r="N33" s="160"/>
      <c r="O33" s="160">
        <f>+O14+O16</f>
        <v>0</v>
      </c>
      <c r="P33" s="160"/>
      <c r="Q33" s="160" t="e">
        <f>+Q14+Q16</f>
        <v>#REF!</v>
      </c>
      <c r="U33" s="160" t="s">
        <v>2312</v>
      </c>
    </row>
    <row r="34" spans="1:21" x14ac:dyDescent="0.3">
      <c r="E34" s="176"/>
      <c r="F34" s="176"/>
      <c r="G34" s="176"/>
      <c r="H34" s="176"/>
      <c r="I34" s="176"/>
      <c r="J34" s="176"/>
      <c r="K34" s="176"/>
      <c r="L34" s="176"/>
      <c r="M34" s="176"/>
      <c r="N34" s="176"/>
      <c r="O34" s="176"/>
    </row>
    <row r="35" spans="1:21" x14ac:dyDescent="0.3">
      <c r="E35" s="323" t="s">
        <v>2376</v>
      </c>
      <c r="F35" s="325" t="s">
        <v>33</v>
      </c>
      <c r="G35" s="321" t="s">
        <v>2381</v>
      </c>
      <c r="H35" s="176"/>
      <c r="I35" s="176"/>
      <c r="J35" s="176"/>
      <c r="K35" s="176"/>
      <c r="L35" s="176"/>
      <c r="M35" s="176"/>
      <c r="N35" s="176"/>
      <c r="O35" s="176"/>
    </row>
    <row r="36" spans="1:21" x14ac:dyDescent="0.3">
      <c r="A36" s="154" t="s">
        <v>2367</v>
      </c>
      <c r="E36" s="324">
        <f>827189+103648</f>
        <v>930837</v>
      </c>
      <c r="F36" s="188">
        <f>'Details-GLOBAL-202301-202303'!G4+'Details-GLOBAL-202301-202303'!G81</f>
        <v>752059</v>
      </c>
      <c r="G36" s="144">
        <f>(F36-E36)/F36</f>
        <v>-0.23771805137628829</v>
      </c>
    </row>
    <row r="37" spans="1:21" x14ac:dyDescent="0.3">
      <c r="A37" s="154" t="s">
        <v>2368</v>
      </c>
      <c r="E37" s="324">
        <v>675710</v>
      </c>
      <c r="F37" s="188">
        <f>'Details-GLOBAL-202301-202303'!H4+'Details-GLOBAL-202301-202303'!H81</f>
        <v>716961.30756902788</v>
      </c>
      <c r="G37" s="144">
        <f>(F37-E37)/F37</f>
        <v>5.7536309328737753E-2</v>
      </c>
    </row>
    <row r="38" spans="1:21" x14ac:dyDescent="0.3">
      <c r="A38" s="260" t="s">
        <v>2369</v>
      </c>
      <c r="E38" s="324">
        <f>SUM(E36:E37)</f>
        <v>1606547</v>
      </c>
      <c r="F38" s="188">
        <f>SUM(F36:F37)</f>
        <v>1469020.3075690279</v>
      </c>
      <c r="G38" s="144">
        <f>(F38-E38)/F38</f>
        <v>-9.3617965471528966E-2</v>
      </c>
    </row>
    <row r="40" spans="1:21" x14ac:dyDescent="0.3">
      <c r="A40" s="154" t="s">
        <v>2373</v>
      </c>
      <c r="E40" s="322">
        <v>153026</v>
      </c>
      <c r="F40" s="188">
        <f>'Details-GLOBAL-202301-202303'!G19+'Details-GLOBAL-202301-202303'!G35+'Details-GLOBAL-202301-202303'!G51</f>
        <v>36987</v>
      </c>
      <c r="G40" s="144">
        <f>(F40-E40)/F40</f>
        <v>-3.1372914807905481</v>
      </c>
    </row>
    <row r="41" spans="1:21" x14ac:dyDescent="0.3">
      <c r="A41" s="154" t="s">
        <v>2374</v>
      </c>
      <c r="E41" s="322">
        <v>45630</v>
      </c>
      <c r="F41" s="188">
        <f>'Details-GLOBAL-202301-202303'!H19+'Details-GLOBAL-202301-202303'!H35+'Details-GLOBAL-202301-202303'!H51</f>
        <v>52396</v>
      </c>
      <c r="G41" s="144">
        <f>(F41-E41)/F41</f>
        <v>0.12913199480876403</v>
      </c>
    </row>
    <row r="42" spans="1:21" x14ac:dyDescent="0.3">
      <c r="A42" s="260" t="s">
        <v>2375</v>
      </c>
      <c r="E42" s="322">
        <f>SUM(E40:E41)</f>
        <v>198656</v>
      </c>
      <c r="F42" s="188">
        <f>SUM(F40:F41)</f>
        <v>89383</v>
      </c>
      <c r="G42" s="144">
        <f>(F42-E42)/F42</f>
        <v>-1.222525536175783</v>
      </c>
    </row>
    <row r="44" spans="1:21" x14ac:dyDescent="0.3">
      <c r="A44" s="154" t="s">
        <v>2370</v>
      </c>
      <c r="E44" s="4">
        <v>887042</v>
      </c>
      <c r="F44" s="311"/>
      <c r="I44" s="144"/>
    </row>
    <row r="45" spans="1:21" x14ac:dyDescent="0.3">
      <c r="A45" s="154" t="s">
        <v>2371</v>
      </c>
      <c r="E45" s="311" t="s">
        <v>2378</v>
      </c>
      <c r="F45" s="311"/>
    </row>
    <row r="46" spans="1:21" x14ac:dyDescent="0.3">
      <c r="A46" s="260" t="s">
        <v>2372</v>
      </c>
      <c r="E46" s="322">
        <f>SUM(E44:E45)</f>
        <v>887042</v>
      </c>
      <c r="F46" s="311"/>
    </row>
    <row r="48" spans="1:21" x14ac:dyDescent="0.3">
      <c r="A48" s="326" t="s">
        <v>2206</v>
      </c>
      <c r="E48" s="327">
        <f>SUM(E38+E42+E46)</f>
        <v>2692245</v>
      </c>
    </row>
    <row r="50" spans="1:8" x14ac:dyDescent="0.3">
      <c r="B50" s="2"/>
    </row>
    <row r="51" spans="1:8" ht="45.75" customHeight="1" x14ac:dyDescent="0.3">
      <c r="A51" s="369" t="s">
        <v>2526</v>
      </c>
      <c r="B51" s="407" t="s">
        <v>2547</v>
      </c>
      <c r="C51" s="408"/>
      <c r="D51" s="408"/>
      <c r="E51" s="408"/>
      <c r="F51" s="408"/>
      <c r="G51" s="408"/>
      <c r="H51" s="408"/>
    </row>
    <row r="52" spans="1:8" ht="90.75" customHeight="1" x14ac:dyDescent="0.3">
      <c r="A52" s="369" t="s">
        <v>2523</v>
      </c>
      <c r="B52" s="407" t="s">
        <v>2548</v>
      </c>
      <c r="C52" s="408"/>
      <c r="D52" s="408"/>
      <c r="E52" s="408"/>
      <c r="F52" s="408"/>
      <c r="G52" s="408"/>
      <c r="H52" s="408"/>
    </row>
    <row r="53" spans="1:8" ht="75.75" customHeight="1" x14ac:dyDescent="0.3">
      <c r="A53" s="369" t="s">
        <v>2524</v>
      </c>
      <c r="B53" s="407" t="s">
        <v>2545</v>
      </c>
      <c r="C53" s="408"/>
      <c r="D53" s="408"/>
      <c r="E53" s="408"/>
      <c r="F53" s="408"/>
      <c r="G53" s="408"/>
      <c r="H53" s="408"/>
    </row>
    <row r="54" spans="1:8" x14ac:dyDescent="0.3">
      <c r="B54" s="90"/>
      <c r="C54" s="354"/>
      <c r="D54" s="354"/>
      <c r="E54" s="354"/>
      <c r="F54" s="354"/>
      <c r="G54" s="354"/>
      <c r="H54" s="354"/>
    </row>
    <row r="55" spans="1:8" ht="75.75" customHeight="1" x14ac:dyDescent="0.3">
      <c r="A55" s="370" t="s">
        <v>2525</v>
      </c>
      <c r="B55" s="406" t="s">
        <v>2543</v>
      </c>
      <c r="C55" s="406"/>
      <c r="D55" s="406"/>
      <c r="E55" s="406"/>
      <c r="F55" s="406"/>
      <c r="G55" s="406"/>
      <c r="H55" s="406"/>
    </row>
    <row r="56" spans="1:8" ht="90.75" customHeight="1" x14ac:dyDescent="0.3">
      <c r="A56" s="370" t="s">
        <v>2523</v>
      </c>
      <c r="B56" s="406" t="s">
        <v>2544</v>
      </c>
      <c r="C56" s="406"/>
      <c r="D56" s="406"/>
      <c r="E56" s="406"/>
      <c r="F56" s="406"/>
      <c r="G56" s="406"/>
      <c r="H56" s="406"/>
    </row>
    <row r="57" spans="1:8" ht="90.75" customHeight="1" x14ac:dyDescent="0.3">
      <c r="A57" s="370" t="s">
        <v>2524</v>
      </c>
      <c r="B57" s="406" t="s">
        <v>2546</v>
      </c>
      <c r="C57" s="406"/>
      <c r="D57" s="406"/>
      <c r="E57" s="406"/>
      <c r="F57" s="406"/>
      <c r="G57" s="406"/>
      <c r="H57" s="406"/>
    </row>
    <row r="58" spans="1:8" x14ac:dyDescent="0.3">
      <c r="B58" s="90"/>
      <c r="C58" s="354"/>
      <c r="D58" s="354"/>
      <c r="E58" s="354"/>
      <c r="F58" s="354"/>
      <c r="G58" s="354"/>
      <c r="H58" s="354"/>
    </row>
    <row r="59" spans="1:8" ht="75.75" customHeight="1" x14ac:dyDescent="0.3">
      <c r="A59" s="369" t="s">
        <v>2527</v>
      </c>
      <c r="B59" s="407" t="s">
        <v>2528</v>
      </c>
      <c r="C59" s="408"/>
      <c r="D59" s="408"/>
      <c r="E59" s="408"/>
      <c r="F59" s="408"/>
      <c r="G59" s="408"/>
      <c r="H59" s="408"/>
    </row>
  </sheetData>
  <mergeCells count="21">
    <mergeCell ref="B57:H57"/>
    <mergeCell ref="B59:H59"/>
    <mergeCell ref="B51:H51"/>
    <mergeCell ref="B52:H52"/>
    <mergeCell ref="B53:H53"/>
    <mergeCell ref="B55:H55"/>
    <mergeCell ref="B56:H56"/>
    <mergeCell ref="B30:B31"/>
    <mergeCell ref="A16:A23"/>
    <mergeCell ref="A24:A31"/>
    <mergeCell ref="A9:A10"/>
    <mergeCell ref="A11:A12"/>
    <mergeCell ref="A14:A15"/>
    <mergeCell ref="B18:B19"/>
    <mergeCell ref="B20:B21"/>
    <mergeCell ref="A2:A7"/>
    <mergeCell ref="B2:B3"/>
    <mergeCell ref="B4:B5"/>
    <mergeCell ref="B22:B23"/>
    <mergeCell ref="B28:B29"/>
    <mergeCell ref="B26:B27"/>
  </mergeCells>
  <hyperlinks>
    <hyperlink ref="H1" r:id="rId1"/>
    <hyperlink ref="B56" r:id="rId2"/>
    <hyperlink ref="B55" r:id="rId3"/>
    <hyperlink ref="B59" r:id="rId4"/>
    <hyperlink ref="B53" r:id="rId5"/>
    <hyperlink ref="B57" r:id="rId6"/>
    <hyperlink ref="B51" r:id="rId7"/>
    <hyperlink ref="B52" r:id="rId8"/>
  </hyperlinks>
  <pageMargins left="0.7" right="0.7" top="0.75" bottom="0.75" header="0.3" footer="0.3"/>
  <pageSetup paperSize="9" orientation="portrait" r:id="rId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6"/>
  <sheetViews>
    <sheetView topLeftCell="A85" zoomScale="90" zoomScaleNormal="90" workbookViewId="0">
      <selection activeCell="E139" sqref="E139"/>
    </sheetView>
  </sheetViews>
  <sheetFormatPr defaultColWidth="8.85546875" defaultRowHeight="15" x14ac:dyDescent="0.25"/>
  <cols>
    <col min="1" max="1" width="4" customWidth="1"/>
    <col min="2" max="2" width="40.42578125" customWidth="1"/>
    <col min="3" max="3" width="48.42578125" customWidth="1"/>
    <col min="4" max="4" width="41.42578125" style="2" customWidth="1"/>
    <col min="5" max="5" width="24" bestFit="1" customWidth="1"/>
    <col min="6" max="7" width="16" customWidth="1"/>
    <col min="8" max="8" width="20.140625" bestFit="1" customWidth="1"/>
    <col min="9" max="9" width="17.42578125" bestFit="1" customWidth="1"/>
    <col min="12" max="12" width="19.42578125" customWidth="1"/>
  </cols>
  <sheetData>
    <row r="1" spans="1:9" ht="15.75" thickBot="1" x14ac:dyDescent="0.3">
      <c r="B1" s="84" t="s">
        <v>2174</v>
      </c>
      <c r="C1" s="422" t="s">
        <v>2175</v>
      </c>
      <c r="D1" s="423"/>
      <c r="E1" s="423"/>
      <c r="F1" s="423"/>
      <c r="G1" s="423"/>
      <c r="H1" s="423"/>
      <c r="I1" s="423"/>
    </row>
    <row r="2" spans="1:9" ht="15.75" thickBot="1" x14ac:dyDescent="0.3">
      <c r="C2" s="80" t="s">
        <v>23</v>
      </c>
      <c r="D2" s="81" t="s">
        <v>36</v>
      </c>
      <c r="E2" s="82" t="s">
        <v>21</v>
      </c>
      <c r="F2" s="82" t="s">
        <v>13</v>
      </c>
      <c r="G2" s="82" t="s">
        <v>14</v>
      </c>
      <c r="H2" s="82" t="s">
        <v>15</v>
      </c>
      <c r="I2" s="83" t="s">
        <v>29</v>
      </c>
    </row>
    <row r="3" spans="1:9" ht="15.75" customHeight="1" thickBot="1" x14ac:dyDescent="0.3">
      <c r="A3" s="424" t="s">
        <v>2136</v>
      </c>
      <c r="B3" s="58" t="s">
        <v>54</v>
      </c>
      <c r="C3" s="5" t="s">
        <v>24</v>
      </c>
      <c r="D3" s="48"/>
      <c r="E3" s="35">
        <f>SUM(F3:I3)</f>
        <v>59461</v>
      </c>
      <c r="F3" s="37">
        <v>35399</v>
      </c>
      <c r="G3" s="38">
        <v>24062</v>
      </c>
      <c r="H3" s="38">
        <v>0</v>
      </c>
      <c r="I3" s="6">
        <v>0</v>
      </c>
    </row>
    <row r="4" spans="1:9" ht="54" customHeight="1" thickBot="1" x14ac:dyDescent="0.3">
      <c r="A4" s="425"/>
      <c r="B4" s="59" t="s">
        <v>40</v>
      </c>
      <c r="C4" s="31" t="s">
        <v>33</v>
      </c>
      <c r="D4" s="32" t="s">
        <v>42</v>
      </c>
      <c r="E4" s="33">
        <f>SUM(F4:I4)</f>
        <v>11294.549676544535</v>
      </c>
      <c r="F4" s="33">
        <v>6724</v>
      </c>
      <c r="G4" s="245">
        <f>MAX(F4*G3/F3,G3*'Details-GLOBAL-202301-202303'!H4/'Details-GLOBAL-202301-202303'!H3)</f>
        <v>4570.549676544535</v>
      </c>
      <c r="H4" s="33">
        <v>0</v>
      </c>
      <c r="I4" s="34"/>
    </row>
    <row r="5" spans="1:9" ht="17.25" customHeight="1" thickBot="1" x14ac:dyDescent="0.3">
      <c r="A5" s="425"/>
      <c r="B5" s="66"/>
      <c r="C5" s="66"/>
      <c r="D5" s="67"/>
      <c r="E5" s="68"/>
      <c r="F5" s="68"/>
      <c r="G5" s="68"/>
      <c r="H5" s="68"/>
      <c r="I5" s="68"/>
    </row>
    <row r="6" spans="1:9" ht="60" customHeight="1" x14ac:dyDescent="0.25">
      <c r="A6" s="425"/>
      <c r="B6" s="60" t="s">
        <v>41</v>
      </c>
      <c r="C6" s="11" t="s">
        <v>33</v>
      </c>
      <c r="D6" s="12" t="s">
        <v>43</v>
      </c>
      <c r="E6" s="13">
        <f>SUM(F6:H6)</f>
        <v>3249</v>
      </c>
      <c r="F6" s="100">
        <v>3249</v>
      </c>
      <c r="G6" s="36" t="s">
        <v>8</v>
      </c>
      <c r="H6" s="99">
        <v>0</v>
      </c>
      <c r="I6" s="15"/>
    </row>
    <row r="7" spans="1:9" ht="45" x14ac:dyDescent="0.25">
      <c r="A7" s="425"/>
      <c r="B7" s="61" t="s">
        <v>50</v>
      </c>
      <c r="C7" s="3"/>
      <c r="D7" s="7" t="s">
        <v>51</v>
      </c>
      <c r="E7" s="8"/>
      <c r="F7" s="9">
        <f>F6/F4</f>
        <v>0.48319452706722188</v>
      </c>
      <c r="G7" s="4"/>
      <c r="H7" s="4"/>
      <c r="I7" s="21"/>
    </row>
    <row r="8" spans="1:9" ht="15.75" thickBot="1" x14ac:dyDescent="0.3">
      <c r="A8" s="425"/>
      <c r="B8" s="62" t="s">
        <v>52</v>
      </c>
      <c r="C8" s="18"/>
      <c r="D8" s="49"/>
      <c r="E8" s="18"/>
      <c r="F8" s="92">
        <f>F6/F3</f>
        <v>9.1782253735981242E-2</v>
      </c>
      <c r="G8" s="18"/>
      <c r="H8" s="18"/>
      <c r="I8" s="19"/>
    </row>
    <row r="9" spans="1:9" ht="14.25" customHeight="1" thickBot="1" x14ac:dyDescent="0.3">
      <c r="A9" s="425"/>
      <c r="B9" s="66"/>
      <c r="C9" s="66"/>
      <c r="D9" s="67"/>
      <c r="E9" s="68"/>
      <c r="F9" s="68"/>
      <c r="G9" s="68"/>
      <c r="H9" s="68"/>
      <c r="I9" s="68"/>
    </row>
    <row r="10" spans="1:9" ht="30" customHeight="1" x14ac:dyDescent="0.25">
      <c r="A10" s="425"/>
      <c r="B10" s="63" t="s">
        <v>44</v>
      </c>
      <c r="C10" s="13"/>
      <c r="D10" s="12" t="s">
        <v>45</v>
      </c>
      <c r="E10" s="13">
        <f>E4</f>
        <v>11294.549676544535</v>
      </c>
      <c r="F10" s="13">
        <f>F4</f>
        <v>6724</v>
      </c>
      <c r="G10" s="13">
        <f>G4</f>
        <v>4570.549676544535</v>
      </c>
      <c r="H10" s="13">
        <f>H4</f>
        <v>0</v>
      </c>
      <c r="I10" s="15">
        <f>I4</f>
        <v>0</v>
      </c>
    </row>
    <row r="11" spans="1:9" ht="15.75" thickBot="1" x14ac:dyDescent="0.3">
      <c r="A11" s="425"/>
      <c r="B11" s="64" t="s">
        <v>49</v>
      </c>
      <c r="C11" s="4"/>
      <c r="D11" s="44"/>
      <c r="E11" s="9">
        <f>E10/E3</f>
        <v>0.18994886861210769</v>
      </c>
      <c r="F11" s="9">
        <f>F10/F3</f>
        <v>0.18994886861210769</v>
      </c>
      <c r="G11" s="9">
        <f t="shared" ref="G11" si="0">G10/G3</f>
        <v>0.18994886861210769</v>
      </c>
      <c r="H11" s="8"/>
      <c r="I11" s="23"/>
    </row>
    <row r="12" spans="1:9" ht="45" x14ac:dyDescent="0.25">
      <c r="A12" s="425"/>
      <c r="B12" s="65" t="s">
        <v>46</v>
      </c>
      <c r="C12" s="3"/>
      <c r="D12" s="44" t="s">
        <v>47</v>
      </c>
      <c r="E12" s="4">
        <f>E10-E6</f>
        <v>8045.549676544535</v>
      </c>
      <c r="F12" s="4">
        <f>F10-F6</f>
        <v>3475</v>
      </c>
      <c r="G12" s="142">
        <f>F12*G10/F10</f>
        <v>2362.0850871493544</v>
      </c>
      <c r="H12" s="4">
        <f>H10-H6</f>
        <v>0</v>
      </c>
      <c r="I12" s="21">
        <f>I10-I6</f>
        <v>0</v>
      </c>
    </row>
    <row r="13" spans="1:9" ht="15.75" thickBot="1" x14ac:dyDescent="0.3">
      <c r="A13" s="426"/>
      <c r="B13" s="62" t="s">
        <v>48</v>
      </c>
      <c r="C13" s="16"/>
      <c r="D13" s="46"/>
      <c r="E13" s="16"/>
      <c r="F13" s="17">
        <f>F12/F3</f>
        <v>9.8166614876126448E-2</v>
      </c>
      <c r="G13" s="16"/>
      <c r="H13" s="16"/>
      <c r="I13" s="25"/>
    </row>
    <row r="14" spans="1:9" ht="30.75" customHeight="1" x14ac:dyDescent="0.25">
      <c r="A14" s="85"/>
      <c r="B14" s="427" t="s">
        <v>2183</v>
      </c>
      <c r="C14" s="427"/>
      <c r="D14" s="427"/>
      <c r="E14" s="427"/>
      <c r="F14" s="427"/>
      <c r="G14" s="427"/>
      <c r="H14" s="427"/>
      <c r="I14" s="427"/>
    </row>
    <row r="15" spans="1:9" x14ac:dyDescent="0.25">
      <c r="A15" s="56"/>
      <c r="B15" s="56"/>
      <c r="F15" s="57"/>
    </row>
    <row r="16" spans="1:9" ht="15.75" thickBot="1" x14ac:dyDescent="0.3">
      <c r="A16" s="56"/>
      <c r="B16" s="87" t="s">
        <v>2174</v>
      </c>
      <c r="C16" s="96" t="s">
        <v>2187</v>
      </c>
      <c r="D16" s="88"/>
      <c r="E16" s="87"/>
      <c r="F16" s="89"/>
      <c r="G16" s="87"/>
      <c r="H16" s="87"/>
      <c r="I16" s="87"/>
    </row>
    <row r="17" spans="1:9" ht="15.75" thickBot="1" x14ac:dyDescent="0.3">
      <c r="A17" s="56"/>
      <c r="B17" s="56"/>
      <c r="C17" s="80" t="s">
        <v>23</v>
      </c>
      <c r="D17" s="81" t="s">
        <v>36</v>
      </c>
      <c r="E17" s="82" t="s">
        <v>21</v>
      </c>
      <c r="F17" s="82" t="s">
        <v>13</v>
      </c>
      <c r="G17" s="82" t="s">
        <v>14</v>
      </c>
      <c r="H17" s="82" t="s">
        <v>15</v>
      </c>
      <c r="I17" s="83" t="s">
        <v>29</v>
      </c>
    </row>
    <row r="18" spans="1:9" ht="15.75" thickBot="1" x14ac:dyDescent="0.3">
      <c r="A18" s="428" t="s">
        <v>2137</v>
      </c>
      <c r="B18" s="40" t="s">
        <v>2142</v>
      </c>
      <c r="C18" s="5" t="s">
        <v>24</v>
      </c>
      <c r="D18" s="48"/>
      <c r="E18" s="35">
        <f>SUM(F18:I18)</f>
        <v>60</v>
      </c>
      <c r="F18" s="37">
        <v>41</v>
      </c>
      <c r="G18" s="38">
        <v>19</v>
      </c>
      <c r="H18" s="38">
        <v>0</v>
      </c>
      <c r="I18" s="6">
        <v>0</v>
      </c>
    </row>
    <row r="19" spans="1:9" ht="30.75" thickBot="1" x14ac:dyDescent="0.3">
      <c r="A19" s="429"/>
      <c r="B19" s="30" t="s">
        <v>2143</v>
      </c>
      <c r="C19" s="31" t="s">
        <v>33</v>
      </c>
      <c r="D19" s="32" t="s">
        <v>2144</v>
      </c>
      <c r="E19" s="33">
        <f>SUM(F19:I19)</f>
        <v>2.9268292682926829</v>
      </c>
      <c r="F19" s="33">
        <v>2</v>
      </c>
      <c r="G19" s="245">
        <f>MAX(F19*G18/F18,G18*'Details-GLOBAL-202301-202303'!H19/'Details-GLOBAL-202301-202303'!H18)</f>
        <v>0.92682926829268297</v>
      </c>
      <c r="H19" s="33">
        <v>0</v>
      </c>
      <c r="I19" s="34"/>
    </row>
    <row r="20" spans="1:9" ht="15.75" thickBot="1" x14ac:dyDescent="0.3">
      <c r="A20" s="429"/>
      <c r="B20" s="69"/>
      <c r="C20" s="66"/>
      <c r="D20" s="67"/>
      <c r="E20" s="68"/>
      <c r="F20" s="68"/>
      <c r="G20" s="68"/>
      <c r="H20" s="68"/>
      <c r="I20" s="70"/>
    </row>
    <row r="21" spans="1:9" ht="45" x14ac:dyDescent="0.25">
      <c r="A21" s="429"/>
      <c r="B21" s="41" t="s">
        <v>2145</v>
      </c>
      <c r="C21" s="11" t="s">
        <v>33</v>
      </c>
      <c r="D21" s="12" t="s">
        <v>2146</v>
      </c>
      <c r="E21" s="13">
        <f>SUM(F21:H21)</f>
        <v>0</v>
      </c>
      <c r="F21" s="100">
        <v>0</v>
      </c>
      <c r="G21" s="36" t="s">
        <v>8</v>
      </c>
      <c r="H21" s="14">
        <v>0</v>
      </c>
      <c r="I21" s="15"/>
    </row>
    <row r="22" spans="1:9" ht="45" x14ac:dyDescent="0.25">
      <c r="A22" s="429"/>
      <c r="B22" s="42" t="s">
        <v>2141</v>
      </c>
      <c r="C22" s="3"/>
      <c r="D22" s="7" t="s">
        <v>2147</v>
      </c>
      <c r="E22" s="8"/>
      <c r="F22" s="9">
        <f>F21/F19</f>
        <v>0</v>
      </c>
      <c r="G22" s="4"/>
      <c r="H22" s="4"/>
      <c r="I22" s="21"/>
    </row>
    <row r="23" spans="1:9" ht="15.75" thickBot="1" x14ac:dyDescent="0.3">
      <c r="A23" s="429"/>
      <c r="B23" s="43" t="s">
        <v>52</v>
      </c>
      <c r="C23" s="18"/>
      <c r="D23" s="49"/>
      <c r="E23" s="18"/>
      <c r="F23" s="22">
        <f>F21/F18</f>
        <v>0</v>
      </c>
      <c r="G23" s="18"/>
      <c r="H23" s="18"/>
      <c r="I23" s="19"/>
    </row>
    <row r="24" spans="1:9" ht="15.75" thickBot="1" x14ac:dyDescent="0.3">
      <c r="A24" s="429"/>
      <c r="B24" s="69"/>
      <c r="C24" s="66"/>
      <c r="D24" s="67"/>
      <c r="E24" s="68"/>
      <c r="F24" s="68"/>
      <c r="G24" s="68"/>
      <c r="H24" s="68"/>
      <c r="I24" s="70"/>
    </row>
    <row r="25" spans="1:9" ht="30" x14ac:dyDescent="0.25">
      <c r="A25" s="429"/>
      <c r="B25" s="10" t="s">
        <v>44</v>
      </c>
      <c r="C25" s="13"/>
      <c r="D25" s="12" t="s">
        <v>2184</v>
      </c>
      <c r="E25" s="13">
        <f>SUM(F25:I25)</f>
        <v>2.9268292682926829</v>
      </c>
      <c r="F25" s="13">
        <f>F19</f>
        <v>2</v>
      </c>
      <c r="G25" s="13">
        <f t="shared" ref="G25:I25" si="1">G19</f>
        <v>0.92682926829268297</v>
      </c>
      <c r="H25" s="13">
        <f t="shared" si="1"/>
        <v>0</v>
      </c>
      <c r="I25" s="13">
        <f t="shared" si="1"/>
        <v>0</v>
      </c>
    </row>
    <row r="26" spans="1:9" ht="15.75" thickBot="1" x14ac:dyDescent="0.3">
      <c r="A26" s="429"/>
      <c r="B26" s="20" t="s">
        <v>49</v>
      </c>
      <c r="C26" s="4"/>
      <c r="D26" s="44"/>
      <c r="E26" s="9">
        <f>E25/E18</f>
        <v>4.878048780487805E-2</v>
      </c>
      <c r="F26" s="9">
        <f>F25/F18</f>
        <v>4.878048780487805E-2</v>
      </c>
      <c r="G26" s="9">
        <f t="shared" ref="G26" si="2">G25/G18</f>
        <v>4.878048780487805E-2</v>
      </c>
      <c r="H26" s="8"/>
      <c r="I26" s="23"/>
    </row>
    <row r="27" spans="1:9" ht="60" x14ac:dyDescent="0.25">
      <c r="A27" s="429"/>
      <c r="B27" s="24" t="s">
        <v>46</v>
      </c>
      <c r="C27" s="3"/>
      <c r="D27" s="12" t="s">
        <v>56</v>
      </c>
      <c r="E27" s="93">
        <f>E25-E21</f>
        <v>2.9268292682926829</v>
      </c>
      <c r="F27" s="4">
        <f>F25-F21</f>
        <v>2</v>
      </c>
      <c r="G27" s="142">
        <f>F27*G25/F25</f>
        <v>0.92682926829268297</v>
      </c>
      <c r="H27" s="4">
        <f>H25-H21</f>
        <v>0</v>
      </c>
      <c r="I27" s="21">
        <f>I25-I21</f>
        <v>0</v>
      </c>
    </row>
    <row r="28" spans="1:9" ht="15.75" thickBot="1" x14ac:dyDescent="0.3">
      <c r="A28" s="430"/>
      <c r="B28" s="43" t="s">
        <v>48</v>
      </c>
      <c r="C28" s="16"/>
      <c r="D28" s="46"/>
      <c r="E28" s="16"/>
      <c r="F28" s="17">
        <f>F27/F18</f>
        <v>4.878048780487805E-2</v>
      </c>
      <c r="G28" s="16"/>
      <c r="H28" s="16"/>
      <c r="I28" s="25"/>
    </row>
    <row r="29" spans="1:9" x14ac:dyDescent="0.25">
      <c r="A29" s="56"/>
      <c r="B29" s="431" t="s">
        <v>2173</v>
      </c>
      <c r="C29" s="431"/>
      <c r="D29" s="431"/>
      <c r="E29" s="431"/>
      <c r="F29" s="431"/>
      <c r="G29" s="431"/>
      <c r="H29" s="431"/>
      <c r="I29" s="431"/>
    </row>
    <row r="30" spans="1:9" x14ac:dyDescent="0.25">
      <c r="A30" s="56"/>
      <c r="B30" s="90"/>
      <c r="C30" s="90"/>
      <c r="D30" s="90"/>
      <c r="E30" s="90"/>
      <c r="F30" s="90"/>
      <c r="G30" s="90"/>
      <c r="H30" s="90"/>
      <c r="I30" s="90"/>
    </row>
    <row r="31" spans="1:9" x14ac:dyDescent="0.25">
      <c r="A31" s="56"/>
      <c r="B31" s="90"/>
      <c r="C31" s="90"/>
      <c r="D31" s="90"/>
      <c r="E31" s="90"/>
      <c r="F31" s="90"/>
      <c r="G31" s="90"/>
      <c r="H31" s="90"/>
      <c r="I31" s="90"/>
    </row>
    <row r="32" spans="1:9" ht="15.75" thickBot="1" x14ac:dyDescent="0.3">
      <c r="A32" s="56"/>
      <c r="B32" s="87" t="s">
        <v>2174</v>
      </c>
      <c r="C32" s="96" t="s">
        <v>2189</v>
      </c>
      <c r="D32" s="88"/>
      <c r="E32" s="87"/>
      <c r="F32" s="89"/>
      <c r="G32" s="87"/>
      <c r="H32" s="87"/>
      <c r="I32" s="87"/>
    </row>
    <row r="33" spans="1:9" ht="15.75" thickBot="1" x14ac:dyDescent="0.3">
      <c r="A33" s="56"/>
      <c r="B33" s="56"/>
      <c r="C33" s="80" t="s">
        <v>23</v>
      </c>
      <c r="D33" s="81" t="s">
        <v>36</v>
      </c>
      <c r="E33" s="82" t="s">
        <v>21</v>
      </c>
      <c r="F33" s="82" t="s">
        <v>13</v>
      </c>
      <c r="G33" s="82" t="s">
        <v>14</v>
      </c>
      <c r="H33" s="82" t="s">
        <v>15</v>
      </c>
      <c r="I33" s="83" t="s">
        <v>29</v>
      </c>
    </row>
    <row r="34" spans="1:9" ht="15.75" thickBot="1" x14ac:dyDescent="0.3">
      <c r="A34" s="438" t="s">
        <v>2138</v>
      </c>
      <c r="B34" s="78" t="s">
        <v>2148</v>
      </c>
      <c r="C34" s="71" t="s">
        <v>24</v>
      </c>
      <c r="D34" s="72"/>
      <c r="E34" s="73">
        <f>SUM(F34:I34)</f>
        <v>525</v>
      </c>
      <c r="F34" s="74">
        <v>339</v>
      </c>
      <c r="G34" s="75">
        <v>186</v>
      </c>
      <c r="H34" s="75"/>
      <c r="I34" s="76"/>
    </row>
    <row r="35" spans="1:9" ht="30.75" customHeight="1" thickBot="1" x14ac:dyDescent="0.3">
      <c r="A35" s="439"/>
      <c r="B35" s="58" t="s">
        <v>2149</v>
      </c>
      <c r="C35" s="5" t="s">
        <v>33</v>
      </c>
      <c r="D35" s="47" t="s">
        <v>2150</v>
      </c>
      <c r="E35" s="77">
        <f>SUM(F35:I35)</f>
        <v>47</v>
      </c>
      <c r="F35" s="77">
        <v>28</v>
      </c>
      <c r="G35" s="246">
        <f>MAX(19,F35*G34/F34,G34*'Details-GLOBAL-202301-202303'!H35/'Details-GLOBAL-202301-202303'!H34)</f>
        <v>19</v>
      </c>
      <c r="H35" s="77"/>
      <c r="I35" s="6"/>
    </row>
    <row r="36" spans="1:9" ht="15.75" thickBot="1" x14ac:dyDescent="0.3">
      <c r="A36" s="439"/>
      <c r="B36" s="66"/>
      <c r="C36" s="66"/>
      <c r="D36" s="67"/>
      <c r="E36" s="68"/>
      <c r="F36" s="68"/>
      <c r="G36" s="68"/>
      <c r="H36" s="68"/>
      <c r="I36" s="70"/>
    </row>
    <row r="37" spans="1:9" ht="45" x14ac:dyDescent="0.25">
      <c r="A37" s="439"/>
      <c r="B37" s="60" t="s">
        <v>2151</v>
      </c>
      <c r="C37" s="11" t="s">
        <v>33</v>
      </c>
      <c r="D37" s="12" t="s">
        <v>2152</v>
      </c>
      <c r="E37" s="13">
        <f>SUM(F37:H37)</f>
        <v>8</v>
      </c>
      <c r="F37" s="100">
        <v>8</v>
      </c>
      <c r="G37" s="36" t="s">
        <v>8</v>
      </c>
      <c r="H37" s="14"/>
      <c r="I37" s="15"/>
    </row>
    <row r="38" spans="1:9" ht="45" x14ac:dyDescent="0.25">
      <c r="A38" s="439"/>
      <c r="B38" s="61" t="s">
        <v>2141</v>
      </c>
      <c r="C38" s="3"/>
      <c r="D38" s="7" t="s">
        <v>2153</v>
      </c>
      <c r="E38" s="8"/>
      <c r="F38" s="9">
        <f t="shared" ref="F38" si="3">F37/F35</f>
        <v>0.2857142857142857</v>
      </c>
      <c r="G38" s="4"/>
      <c r="H38" s="4"/>
      <c r="I38" s="21"/>
    </row>
    <row r="39" spans="1:9" ht="15.75" thickBot="1" x14ac:dyDescent="0.3">
      <c r="A39" s="439"/>
      <c r="B39" s="62" t="s">
        <v>52</v>
      </c>
      <c r="C39" s="18"/>
      <c r="D39" s="49"/>
      <c r="E39" s="18"/>
      <c r="F39" s="92">
        <f>F37/F34</f>
        <v>2.359882005899705E-2</v>
      </c>
      <c r="G39" s="18"/>
      <c r="H39" s="18"/>
      <c r="I39" s="19"/>
    </row>
    <row r="40" spans="1:9" ht="15.75" thickBot="1" x14ac:dyDescent="0.3">
      <c r="A40" s="439"/>
      <c r="B40" s="66"/>
      <c r="C40" s="66"/>
      <c r="D40" s="67"/>
      <c r="E40" s="68"/>
      <c r="F40" s="68"/>
      <c r="G40" s="68"/>
      <c r="H40" s="68"/>
      <c r="I40" s="70"/>
    </row>
    <row r="41" spans="1:9" ht="75" customHeight="1" x14ac:dyDescent="0.25">
      <c r="A41" s="439"/>
      <c r="B41" s="63" t="s">
        <v>44</v>
      </c>
      <c r="C41" s="13"/>
      <c r="D41" s="12" t="s">
        <v>2185</v>
      </c>
      <c r="E41" s="13">
        <f>SUM(F41:I41)</f>
        <v>47</v>
      </c>
      <c r="F41" s="13">
        <f>F35</f>
        <v>28</v>
      </c>
      <c r="G41" s="13">
        <f t="shared" ref="G41:I41" si="4">G35</f>
        <v>19</v>
      </c>
      <c r="H41" s="13">
        <f t="shared" si="4"/>
        <v>0</v>
      </c>
      <c r="I41" s="13">
        <f t="shared" si="4"/>
        <v>0</v>
      </c>
    </row>
    <row r="42" spans="1:9" ht="15.75" thickBot="1" x14ac:dyDescent="0.3">
      <c r="A42" s="439"/>
      <c r="B42" s="64" t="s">
        <v>49</v>
      </c>
      <c r="C42" s="4"/>
      <c r="D42" s="44"/>
      <c r="E42" s="9">
        <f>E41/E34</f>
        <v>8.9523809523809519E-2</v>
      </c>
      <c r="F42" s="9">
        <f>F41/F34</f>
        <v>8.2595870206489674E-2</v>
      </c>
      <c r="G42" s="9">
        <f>G41/G34</f>
        <v>0.10215053763440861</v>
      </c>
      <c r="H42" s="8"/>
      <c r="I42" s="23"/>
    </row>
    <row r="43" spans="1:9" ht="60" x14ac:dyDescent="0.25">
      <c r="A43" s="439"/>
      <c r="B43" s="65" t="s">
        <v>46</v>
      </c>
      <c r="C43" s="3"/>
      <c r="D43" s="12" t="s">
        <v>57</v>
      </c>
      <c r="E43" s="93">
        <f>E41-E37</f>
        <v>39</v>
      </c>
      <c r="F43" s="4">
        <f>F41-F37</f>
        <v>20</v>
      </c>
      <c r="G43" s="142">
        <f>F43*G41/F41</f>
        <v>13.571428571428571</v>
      </c>
      <c r="H43" s="4">
        <f>H41-H37</f>
        <v>0</v>
      </c>
      <c r="I43" s="21">
        <f>I41-I37</f>
        <v>0</v>
      </c>
    </row>
    <row r="44" spans="1:9" ht="15.75" thickBot="1" x14ac:dyDescent="0.3">
      <c r="A44" s="440"/>
      <c r="B44" s="62" t="s">
        <v>48</v>
      </c>
      <c r="C44" s="16"/>
      <c r="D44" s="46"/>
      <c r="E44" s="16"/>
      <c r="F44" s="22">
        <f>F43/F34</f>
        <v>5.8997050147492625E-2</v>
      </c>
      <c r="G44" s="16"/>
      <c r="H44" s="16"/>
      <c r="I44" s="25"/>
    </row>
    <row r="45" spans="1:9" ht="15" customHeight="1" x14ac:dyDescent="0.25">
      <c r="A45" s="56"/>
      <c r="B45" s="431" t="s">
        <v>2176</v>
      </c>
      <c r="C45" s="431"/>
      <c r="D45" s="431"/>
      <c r="E45" s="431"/>
      <c r="F45" s="431"/>
      <c r="G45" s="431"/>
      <c r="H45" s="431"/>
      <c r="I45" s="431"/>
    </row>
    <row r="46" spans="1:9" ht="55.5" customHeight="1" x14ac:dyDescent="0.25">
      <c r="A46" s="56"/>
      <c r="B46" s="441" t="s">
        <v>2177</v>
      </c>
      <c r="C46" s="441"/>
      <c r="D46" s="441"/>
      <c r="E46" s="441"/>
      <c r="F46" s="441"/>
      <c r="G46" s="441"/>
      <c r="H46" s="441"/>
      <c r="I46" s="441"/>
    </row>
    <row r="47" spans="1:9" x14ac:dyDescent="0.25">
      <c r="A47" s="56"/>
      <c r="B47" s="56"/>
      <c r="F47" s="57"/>
    </row>
    <row r="48" spans="1:9" ht="15.75" thickBot="1" x14ac:dyDescent="0.3">
      <c r="A48" s="56"/>
      <c r="B48" s="87" t="s">
        <v>2174</v>
      </c>
      <c r="C48" s="96" t="s">
        <v>2188</v>
      </c>
      <c r="D48" s="88"/>
      <c r="E48" s="87"/>
      <c r="F48" s="89"/>
      <c r="G48" s="87"/>
      <c r="H48" s="87"/>
      <c r="I48" s="87"/>
    </row>
    <row r="49" spans="1:9" ht="15.75" thickBot="1" x14ac:dyDescent="0.3">
      <c r="A49" s="56"/>
      <c r="B49" s="56"/>
      <c r="C49" s="80" t="s">
        <v>23</v>
      </c>
      <c r="D49" s="81" t="s">
        <v>36</v>
      </c>
      <c r="E49" s="82" t="s">
        <v>21</v>
      </c>
      <c r="F49" s="82" t="s">
        <v>13</v>
      </c>
      <c r="G49" s="82" t="s">
        <v>14</v>
      </c>
      <c r="H49" s="82" t="s">
        <v>15</v>
      </c>
      <c r="I49" s="83" t="s">
        <v>29</v>
      </c>
    </row>
    <row r="50" spans="1:9" ht="15.75" customHeight="1" thickBot="1" x14ac:dyDescent="0.3">
      <c r="A50" s="432" t="s">
        <v>2171</v>
      </c>
      <c r="B50" s="5" t="s">
        <v>2155</v>
      </c>
      <c r="C50" s="5" t="s">
        <v>24</v>
      </c>
      <c r="D50" s="48"/>
      <c r="E50" s="35">
        <f>SUM(F50:I50)</f>
        <v>1410</v>
      </c>
      <c r="F50" s="37">
        <v>1191</v>
      </c>
      <c r="G50" s="38">
        <v>219</v>
      </c>
      <c r="H50" s="38">
        <v>0</v>
      </c>
      <c r="I50" s="6">
        <v>0</v>
      </c>
    </row>
    <row r="51" spans="1:9" ht="30.75" thickBot="1" x14ac:dyDescent="0.3">
      <c r="A51" s="433"/>
      <c r="B51" s="30" t="s">
        <v>2156</v>
      </c>
      <c r="C51" s="31" t="s">
        <v>33</v>
      </c>
      <c r="D51" s="32" t="s">
        <v>2154</v>
      </c>
      <c r="E51" s="33">
        <f>SUM(F51:I51)</f>
        <v>854.88035943517332</v>
      </c>
      <c r="F51" s="33">
        <v>444</v>
      </c>
      <c r="G51" s="245">
        <f>MAX(F51*G50/F50,G50*'Details-GLOBAL-202301-202303'!H51/'Details-GLOBAL-202301-202303'!H50)</f>
        <v>410.88035943517332</v>
      </c>
      <c r="H51" s="33">
        <v>0</v>
      </c>
      <c r="I51" s="34"/>
    </row>
    <row r="52" spans="1:9" ht="15.75" thickBot="1" x14ac:dyDescent="0.3">
      <c r="A52" s="433"/>
      <c r="B52" s="66"/>
      <c r="C52" s="66"/>
      <c r="D52" s="67"/>
      <c r="E52" s="68"/>
      <c r="F52" s="68"/>
      <c r="G52" s="68"/>
      <c r="H52" s="68"/>
      <c r="I52" s="70"/>
    </row>
    <row r="53" spans="1:9" ht="45" x14ac:dyDescent="0.25">
      <c r="A53" s="433"/>
      <c r="B53" s="41" t="s">
        <v>2157</v>
      </c>
      <c r="C53" s="11" t="s">
        <v>33</v>
      </c>
      <c r="D53" s="12" t="s">
        <v>2159</v>
      </c>
      <c r="E53" s="13">
        <f>SUM(F53:H53)</f>
        <v>228</v>
      </c>
      <c r="F53" s="100">
        <v>228</v>
      </c>
      <c r="G53" s="36" t="s">
        <v>8</v>
      </c>
      <c r="H53" s="14">
        <v>0</v>
      </c>
      <c r="I53" s="15"/>
    </row>
    <row r="54" spans="1:9" ht="45" x14ac:dyDescent="0.25">
      <c r="A54" s="433"/>
      <c r="B54" s="42" t="s">
        <v>2158</v>
      </c>
      <c r="C54" s="3"/>
      <c r="D54" s="7" t="s">
        <v>2160</v>
      </c>
      <c r="E54" s="8"/>
      <c r="F54" s="9">
        <f t="shared" ref="F54:H54" si="5">F53/F51</f>
        <v>0.51351351351351349</v>
      </c>
      <c r="G54" s="8"/>
      <c r="H54" s="8" t="e">
        <f t="shared" si="5"/>
        <v>#DIV/0!</v>
      </c>
      <c r="I54" s="21"/>
    </row>
    <row r="55" spans="1:9" ht="15.75" thickBot="1" x14ac:dyDescent="0.3">
      <c r="A55" s="433"/>
      <c r="B55" s="43" t="s">
        <v>52</v>
      </c>
      <c r="C55" s="18"/>
      <c r="D55" s="49"/>
      <c r="E55" s="18"/>
      <c r="F55" s="92">
        <f>F53/F50</f>
        <v>0.19143576826196473</v>
      </c>
      <c r="G55" s="18"/>
      <c r="H55" s="18"/>
      <c r="I55" s="19"/>
    </row>
    <row r="56" spans="1:9" ht="15.75" thickBot="1" x14ac:dyDescent="0.3">
      <c r="A56" s="433"/>
      <c r="B56" s="66"/>
      <c r="C56" s="66"/>
      <c r="D56" s="67"/>
      <c r="E56" s="68"/>
      <c r="F56" s="68"/>
      <c r="G56" s="68"/>
      <c r="H56" s="68"/>
      <c r="I56" s="70"/>
    </row>
    <row r="57" spans="1:9" ht="45" x14ac:dyDescent="0.25">
      <c r="A57" s="433"/>
      <c r="B57" s="10" t="s">
        <v>44</v>
      </c>
      <c r="C57" s="13"/>
      <c r="D57" s="12" t="s">
        <v>2186</v>
      </c>
      <c r="E57" s="13">
        <f>SUM(F57:I57)</f>
        <v>854.88035943517332</v>
      </c>
      <c r="F57" s="13">
        <f>F51</f>
        <v>444</v>
      </c>
      <c r="G57" s="13">
        <f t="shared" ref="G57:I57" si="6">G51</f>
        <v>410.88035943517332</v>
      </c>
      <c r="H57" s="13">
        <f t="shared" si="6"/>
        <v>0</v>
      </c>
      <c r="I57" s="13">
        <f t="shared" si="6"/>
        <v>0</v>
      </c>
    </row>
    <row r="58" spans="1:9" ht="15.75" thickBot="1" x14ac:dyDescent="0.3">
      <c r="A58" s="433"/>
      <c r="B58" s="20" t="s">
        <v>49</v>
      </c>
      <c r="C58" s="4"/>
      <c r="D58" s="44"/>
      <c r="E58" s="9">
        <f>E57/E50</f>
        <v>0.60629812725898813</v>
      </c>
      <c r="F58" s="9">
        <f>F57/F50</f>
        <v>0.37279596977329976</v>
      </c>
      <c r="G58" s="9">
        <f t="shared" ref="G58:H58" si="7">G57/G50</f>
        <v>1.8761660248181431</v>
      </c>
      <c r="H58" s="8" t="e">
        <f t="shared" si="7"/>
        <v>#DIV/0!</v>
      </c>
      <c r="I58" s="8"/>
    </row>
    <row r="59" spans="1:9" ht="60" x14ac:dyDescent="0.25">
      <c r="A59" s="433"/>
      <c r="B59" s="24" t="s">
        <v>46</v>
      </c>
      <c r="C59" s="3"/>
      <c r="D59" s="12" t="s">
        <v>2161</v>
      </c>
      <c r="E59" s="93">
        <f>E57-E53</f>
        <v>626.88035943517332</v>
      </c>
      <c r="F59" s="4">
        <f>F57-F53</f>
        <v>216</v>
      </c>
      <c r="G59" s="142">
        <f>F59*G57/F57</f>
        <v>199.88774242792218</v>
      </c>
      <c r="H59" s="4">
        <f t="shared" ref="H59:I59" si="8">H57-H53</f>
        <v>0</v>
      </c>
      <c r="I59" s="4">
        <f t="shared" si="8"/>
        <v>0</v>
      </c>
    </row>
    <row r="60" spans="1:9" ht="15.75" thickBot="1" x14ac:dyDescent="0.3">
      <c r="A60" s="434"/>
      <c r="B60" s="43" t="s">
        <v>48</v>
      </c>
      <c r="C60" s="16"/>
      <c r="D60" s="46"/>
      <c r="E60" s="16"/>
      <c r="F60" s="17">
        <f>F59/F50</f>
        <v>0.181360201511335</v>
      </c>
      <c r="G60" s="16"/>
      <c r="H60" s="16"/>
      <c r="I60" s="25"/>
    </row>
    <row r="61" spans="1:9" x14ac:dyDescent="0.25">
      <c r="A61" s="56"/>
      <c r="B61" s="431" t="s">
        <v>2178</v>
      </c>
      <c r="C61" s="431"/>
      <c r="D61" s="431"/>
      <c r="E61" s="431"/>
      <c r="F61" s="431"/>
      <c r="G61" s="431"/>
      <c r="H61" s="431"/>
      <c r="I61" s="431"/>
    </row>
    <row r="62" spans="1:9" ht="15.75" thickBot="1" x14ac:dyDescent="0.3">
      <c r="A62" s="56"/>
      <c r="B62" s="56"/>
      <c r="F62" s="57"/>
    </row>
    <row r="63" spans="1:9" ht="15.75" thickBot="1" x14ac:dyDescent="0.3">
      <c r="A63" s="56"/>
      <c r="B63" s="56"/>
      <c r="C63" s="80" t="s">
        <v>23</v>
      </c>
      <c r="D63" s="81" t="s">
        <v>36</v>
      </c>
      <c r="E63" s="82" t="s">
        <v>21</v>
      </c>
      <c r="F63" s="82" t="s">
        <v>13</v>
      </c>
      <c r="G63" s="82" t="s">
        <v>14</v>
      </c>
      <c r="H63" s="82" t="s">
        <v>15</v>
      </c>
      <c r="I63" s="83" t="s">
        <v>29</v>
      </c>
    </row>
    <row r="64" spans="1:9" ht="15.75" customHeight="1" thickBot="1" x14ac:dyDescent="0.3">
      <c r="A64" s="432" t="s">
        <v>2139</v>
      </c>
      <c r="B64" s="5" t="s">
        <v>2162</v>
      </c>
      <c r="C64" s="5" t="s">
        <v>24</v>
      </c>
      <c r="D64" s="48"/>
      <c r="E64" s="35">
        <f>SUM(F64:I64)</f>
        <v>61667</v>
      </c>
      <c r="F64" s="37">
        <f>F3+F18+F34+F50+F80</f>
        <v>37128</v>
      </c>
      <c r="G64" s="37">
        <f t="shared" ref="G64:H65" si="9">G3+G18+G34+G50+G80</f>
        <v>24539</v>
      </c>
      <c r="H64" s="37">
        <f t="shared" si="9"/>
        <v>0</v>
      </c>
      <c r="I64" s="37">
        <f>I3+I18+I34+I50</f>
        <v>0</v>
      </c>
    </row>
    <row r="65" spans="1:9" ht="30.75" thickBot="1" x14ac:dyDescent="0.3">
      <c r="A65" s="433"/>
      <c r="B65" s="30" t="s">
        <v>2163</v>
      </c>
      <c r="C65" s="31" t="s">
        <v>33</v>
      </c>
      <c r="D65" s="32" t="s">
        <v>2164</v>
      </c>
      <c r="E65" s="33">
        <f>SUM(F65:I65)</f>
        <v>12205.39528275796</v>
      </c>
      <c r="F65" s="37">
        <f>F4+F19+F35+F51+F81</f>
        <v>7201</v>
      </c>
      <c r="G65" s="37">
        <f t="shared" si="9"/>
        <v>5004.3952827579596</v>
      </c>
      <c r="H65" s="37">
        <f t="shared" si="9"/>
        <v>0</v>
      </c>
      <c r="I65" s="37">
        <f>I4+I19+I35+I51+I81</f>
        <v>0</v>
      </c>
    </row>
    <row r="66" spans="1:9" ht="15.75" thickBot="1" x14ac:dyDescent="0.3">
      <c r="A66" s="433"/>
      <c r="B66" s="66"/>
      <c r="C66" s="66"/>
      <c r="D66" s="67"/>
      <c r="E66" s="68"/>
      <c r="F66" s="68"/>
      <c r="G66" s="68"/>
      <c r="H66" s="68"/>
      <c r="I66" s="70"/>
    </row>
    <row r="67" spans="1:9" ht="45.75" thickBot="1" x14ac:dyDescent="0.3">
      <c r="A67" s="433"/>
      <c r="B67" s="41" t="s">
        <v>2151</v>
      </c>
      <c r="C67" s="11" t="s">
        <v>33</v>
      </c>
      <c r="D67" s="12" t="s">
        <v>2165</v>
      </c>
      <c r="E67" s="13">
        <f>SUM(F67:H67)</f>
        <v>3486</v>
      </c>
      <c r="F67" s="100">
        <f>F6+F21+F37+F53+F83</f>
        <v>3486</v>
      </c>
      <c r="G67" s="36" t="s">
        <v>8</v>
      </c>
      <c r="H67" s="91">
        <f>H6+H21+H37+H53</f>
        <v>0</v>
      </c>
      <c r="I67" s="91">
        <f>I6+I21+I37+I53</f>
        <v>0</v>
      </c>
    </row>
    <row r="68" spans="1:9" ht="45" x14ac:dyDescent="0.25">
      <c r="A68" s="433"/>
      <c r="B68" s="42" t="s">
        <v>2141</v>
      </c>
      <c r="C68" s="3"/>
      <c r="D68" s="7" t="s">
        <v>2166</v>
      </c>
      <c r="E68" s="8"/>
      <c r="F68" s="9">
        <f>F67/F65</f>
        <v>0.48409943063463406</v>
      </c>
      <c r="G68" s="4"/>
      <c r="H68" s="4"/>
      <c r="I68" s="21"/>
    </row>
    <row r="69" spans="1:9" ht="15.75" thickBot="1" x14ac:dyDescent="0.3">
      <c r="A69" s="433"/>
      <c r="B69" s="43" t="s">
        <v>52</v>
      </c>
      <c r="C69" s="18"/>
      <c r="D69" s="49"/>
      <c r="E69" s="18"/>
      <c r="F69" s="92">
        <f>F67/F64</f>
        <v>9.3891402714932126E-2</v>
      </c>
      <c r="G69" s="18"/>
      <c r="H69" s="18"/>
      <c r="I69" s="19"/>
    </row>
    <row r="70" spans="1:9" ht="15.75" thickBot="1" x14ac:dyDescent="0.3">
      <c r="A70" s="433"/>
      <c r="B70" s="66"/>
      <c r="C70" s="66"/>
      <c r="D70" s="67"/>
      <c r="E70" s="68"/>
      <c r="F70" s="68"/>
      <c r="G70" s="68"/>
      <c r="H70" s="68"/>
      <c r="I70" s="70"/>
    </row>
    <row r="71" spans="1:9" ht="45" customHeight="1" x14ac:dyDescent="0.25">
      <c r="A71" s="433"/>
      <c r="B71" s="10" t="s">
        <v>44</v>
      </c>
      <c r="C71" s="13"/>
      <c r="D71" s="12" t="s">
        <v>2167</v>
      </c>
      <c r="E71" s="13">
        <f>SUM(F71:I71)</f>
        <v>12205.39528275796</v>
      </c>
      <c r="F71" s="13">
        <f>F41+F25+F10+F57+F87</f>
        <v>7201</v>
      </c>
      <c r="G71" s="13">
        <f>G41+G25+G10+G57+G87</f>
        <v>5004.3952827579596</v>
      </c>
      <c r="H71" s="13">
        <f>H41+H25+H10+H57+H87</f>
        <v>0</v>
      </c>
      <c r="I71" s="13">
        <f>I41+I25+I10+I57+I87</f>
        <v>0</v>
      </c>
    </row>
    <row r="72" spans="1:9" ht="15.75" thickBot="1" x14ac:dyDescent="0.3">
      <c r="A72" s="433"/>
      <c r="B72" s="20" t="s">
        <v>49</v>
      </c>
      <c r="C72" s="4"/>
      <c r="D72" s="44"/>
      <c r="E72" s="9">
        <f>E71/E64</f>
        <v>0.19792425904872882</v>
      </c>
      <c r="F72" s="9">
        <f>F71/F64</f>
        <v>0.19395065718595131</v>
      </c>
      <c r="G72" s="9">
        <f t="shared" ref="G72" si="10">G71/G64</f>
        <v>0.20393639849863318</v>
      </c>
      <c r="H72" s="8"/>
      <c r="I72" s="23"/>
    </row>
    <row r="73" spans="1:9" ht="60" x14ac:dyDescent="0.25">
      <c r="A73" s="433"/>
      <c r="B73" s="24" t="s">
        <v>46</v>
      </c>
      <c r="C73" s="3"/>
      <c r="D73" s="12" t="s">
        <v>2140</v>
      </c>
      <c r="E73" s="4">
        <f>E71-E67</f>
        <v>8719.3952827579596</v>
      </c>
      <c r="F73" s="13">
        <f>F43+F27+F12+F59+F89</f>
        <v>3715</v>
      </c>
      <c r="G73" s="142">
        <f>F73*G71/F71</f>
        <v>2581.7703757041832</v>
      </c>
      <c r="H73" s="13">
        <f>H43+H27+H12+H59</f>
        <v>0</v>
      </c>
      <c r="I73" s="15">
        <f>I43+I27+I12+I59</f>
        <v>0</v>
      </c>
    </row>
    <row r="74" spans="1:9" ht="15.75" thickBot="1" x14ac:dyDescent="0.3">
      <c r="A74" s="434"/>
      <c r="B74" s="43" t="s">
        <v>48</v>
      </c>
      <c r="C74" s="16"/>
      <c r="D74" s="46"/>
      <c r="E74" s="16"/>
      <c r="F74" s="17">
        <f>F73/F64</f>
        <v>0.10005925447101918</v>
      </c>
      <c r="G74" s="16"/>
      <c r="H74" s="16"/>
      <c r="I74" s="25"/>
    </row>
    <row r="78" spans="1:9" ht="15.75" thickBot="1" x14ac:dyDescent="0.3">
      <c r="A78" s="56"/>
      <c r="B78" s="87" t="s">
        <v>2174</v>
      </c>
      <c r="C78" s="96" t="s">
        <v>2190</v>
      </c>
      <c r="D78" s="88"/>
      <c r="E78" s="87"/>
      <c r="F78" s="89"/>
      <c r="G78" s="87"/>
      <c r="H78" s="87"/>
      <c r="I78" s="87"/>
    </row>
    <row r="79" spans="1:9" ht="15.75" thickBot="1" x14ac:dyDescent="0.3">
      <c r="A79" s="56"/>
      <c r="B79" s="56"/>
      <c r="C79" s="80" t="s">
        <v>23</v>
      </c>
      <c r="D79" s="81" t="s">
        <v>36</v>
      </c>
      <c r="E79" s="82" t="s">
        <v>21</v>
      </c>
      <c r="F79" s="82" t="s">
        <v>13</v>
      </c>
      <c r="G79" s="82" t="s">
        <v>14</v>
      </c>
      <c r="H79" s="82" t="s">
        <v>15</v>
      </c>
      <c r="I79" s="83" t="s">
        <v>29</v>
      </c>
    </row>
    <row r="80" spans="1:9" ht="15.75" thickBot="1" x14ac:dyDescent="0.3">
      <c r="A80" s="432" t="s">
        <v>2191</v>
      </c>
      <c r="B80" s="5" t="s">
        <v>2192</v>
      </c>
      <c r="C80" s="5" t="s">
        <v>24</v>
      </c>
      <c r="D80" s="48"/>
      <c r="E80" s="35">
        <f>SUM(F80:I80)</f>
        <v>211</v>
      </c>
      <c r="F80" s="37">
        <v>158</v>
      </c>
      <c r="G80" s="38">
        <v>53</v>
      </c>
      <c r="H80" s="38">
        <v>0</v>
      </c>
      <c r="I80" s="6">
        <v>0</v>
      </c>
    </row>
    <row r="81" spans="1:9" ht="30.75" thickBot="1" x14ac:dyDescent="0.3">
      <c r="A81" s="433"/>
      <c r="B81" s="30" t="s">
        <v>2193</v>
      </c>
      <c r="C81" s="31" t="s">
        <v>33</v>
      </c>
      <c r="D81" s="32" t="s">
        <v>2197</v>
      </c>
      <c r="E81" s="33">
        <f>SUM(F81:I81)</f>
        <v>6.0384175099592472</v>
      </c>
      <c r="F81" s="33">
        <v>3</v>
      </c>
      <c r="G81" s="245">
        <f>MAX(F81*G80/F80,G80*'Details-GLOBAL-202301-202303'!H81/'Details-GLOBAL-202301-202303'!H80)</f>
        <v>3.0384175099592472</v>
      </c>
      <c r="H81" s="33">
        <v>0</v>
      </c>
      <c r="I81" s="34"/>
    </row>
    <row r="82" spans="1:9" ht="15.75" thickBot="1" x14ac:dyDescent="0.3">
      <c r="A82" s="433"/>
      <c r="B82" s="66"/>
      <c r="C82" s="66"/>
      <c r="D82" s="67"/>
      <c r="E82" s="68"/>
      <c r="F82" s="68"/>
      <c r="G82" s="68"/>
      <c r="H82" s="68"/>
      <c r="I82" s="70"/>
    </row>
    <row r="83" spans="1:9" ht="30" x14ac:dyDescent="0.25">
      <c r="A83" s="433"/>
      <c r="B83" s="41" t="s">
        <v>2194</v>
      </c>
      <c r="C83" s="11" t="s">
        <v>33</v>
      </c>
      <c r="D83" s="12" t="s">
        <v>2198</v>
      </c>
      <c r="E83" s="13">
        <f>SUM(F83:H83)</f>
        <v>1</v>
      </c>
      <c r="F83" s="100">
        <v>1</v>
      </c>
      <c r="G83" s="36" t="s">
        <v>8</v>
      </c>
      <c r="H83" s="14">
        <v>0</v>
      </c>
      <c r="I83" s="15"/>
    </row>
    <row r="84" spans="1:9" ht="45" x14ac:dyDescent="0.25">
      <c r="A84" s="433"/>
      <c r="B84" s="42" t="s">
        <v>2195</v>
      </c>
      <c r="C84" s="3"/>
      <c r="D84" s="7" t="s">
        <v>2199</v>
      </c>
      <c r="E84" s="8"/>
      <c r="F84" s="9">
        <f t="shared" ref="F84" si="11">F83/F81</f>
        <v>0.33333333333333331</v>
      </c>
      <c r="G84" s="8"/>
      <c r="H84" s="8" t="e">
        <f t="shared" ref="H84" si="12">H83/H81</f>
        <v>#DIV/0!</v>
      </c>
      <c r="I84" s="21"/>
    </row>
    <row r="85" spans="1:9" ht="15.75" thickBot="1" x14ac:dyDescent="0.3">
      <c r="A85" s="433"/>
      <c r="B85" s="43" t="s">
        <v>2196</v>
      </c>
      <c r="C85" s="18"/>
      <c r="D85" s="49"/>
      <c r="E85" s="18"/>
      <c r="F85" s="92">
        <f>F83/F80</f>
        <v>6.3291139240506328E-3</v>
      </c>
      <c r="G85" s="18"/>
      <c r="H85" s="18"/>
      <c r="I85" s="19"/>
    </row>
    <row r="86" spans="1:9" ht="15.75" thickBot="1" x14ac:dyDescent="0.3">
      <c r="A86" s="433"/>
      <c r="B86" s="66"/>
      <c r="C86" s="66"/>
      <c r="D86" s="67"/>
      <c r="E86" s="68"/>
      <c r="F86" s="68"/>
      <c r="G86" s="68"/>
      <c r="H86" s="68"/>
      <c r="I86" s="70"/>
    </row>
    <row r="87" spans="1:9" ht="45" x14ac:dyDescent="0.25">
      <c r="A87" s="433"/>
      <c r="B87" s="10" t="s">
        <v>44</v>
      </c>
      <c r="C87" s="13"/>
      <c r="D87" s="12" t="s">
        <v>2200</v>
      </c>
      <c r="E87" s="13">
        <f>SUM(F87:I87)</f>
        <v>6.0384175099592472</v>
      </c>
      <c r="F87" s="13">
        <f>F81</f>
        <v>3</v>
      </c>
      <c r="G87" s="13">
        <f t="shared" ref="G87:I87" si="13">G81</f>
        <v>3.0384175099592472</v>
      </c>
      <c r="H87" s="13">
        <f t="shared" si="13"/>
        <v>0</v>
      </c>
      <c r="I87" s="13">
        <f t="shared" si="13"/>
        <v>0</v>
      </c>
    </row>
    <row r="88" spans="1:9" ht="15.75" thickBot="1" x14ac:dyDescent="0.3">
      <c r="A88" s="433"/>
      <c r="B88" s="20" t="s">
        <v>49</v>
      </c>
      <c r="C88" s="4"/>
      <c r="D88" s="44"/>
      <c r="E88" s="9">
        <f>E87/E80</f>
        <v>2.8618092464261835E-2</v>
      </c>
      <c r="F88" s="9">
        <f>F87/F80</f>
        <v>1.8987341772151899E-2</v>
      </c>
      <c r="G88" s="9">
        <f t="shared" ref="G88:H88" si="14">G87/G80</f>
        <v>5.7328632263382022E-2</v>
      </c>
      <c r="H88" s="8" t="e">
        <f t="shared" si="14"/>
        <v>#DIV/0!</v>
      </c>
      <c r="I88" s="8"/>
    </row>
    <row r="89" spans="1:9" ht="60" x14ac:dyDescent="0.25">
      <c r="A89" s="433"/>
      <c r="B89" s="24" t="s">
        <v>46</v>
      </c>
      <c r="C89" s="3"/>
      <c r="D89" s="12" t="s">
        <v>2201</v>
      </c>
      <c r="E89" s="93">
        <f>E87-E83</f>
        <v>5.0384175099592472</v>
      </c>
      <c r="F89" s="4">
        <f>F87-F83</f>
        <v>2</v>
      </c>
      <c r="G89" s="142">
        <f>F89*G87/F87</f>
        <v>2.0256116733061647</v>
      </c>
      <c r="H89" s="4">
        <f t="shared" ref="H89:I89" si="15">H87-H83</f>
        <v>0</v>
      </c>
      <c r="I89" s="4">
        <f t="shared" si="15"/>
        <v>0</v>
      </c>
    </row>
    <row r="90" spans="1:9" ht="15.75" thickBot="1" x14ac:dyDescent="0.3">
      <c r="A90" s="434"/>
      <c r="B90" s="43" t="s">
        <v>48</v>
      </c>
      <c r="C90" s="16"/>
      <c r="D90" s="46"/>
      <c r="E90" s="16"/>
      <c r="F90" s="17">
        <f>F89/F80</f>
        <v>1.2658227848101266E-2</v>
      </c>
      <c r="G90" s="16"/>
      <c r="H90" s="16"/>
      <c r="I90" s="25"/>
    </row>
    <row r="92" spans="1:9" ht="15.75" thickBot="1" x14ac:dyDescent="0.3"/>
    <row r="93" spans="1:9" ht="15.75" thickBot="1" x14ac:dyDescent="0.3">
      <c r="A93" s="435" t="s">
        <v>2224</v>
      </c>
      <c r="B93" t="s">
        <v>16</v>
      </c>
      <c r="C93" s="80" t="s">
        <v>23</v>
      </c>
      <c r="D93" s="81" t="s">
        <v>36</v>
      </c>
      <c r="E93" s="82" t="s">
        <v>21</v>
      </c>
      <c r="F93" s="82" t="s">
        <v>13</v>
      </c>
      <c r="G93" s="82" t="s">
        <v>14</v>
      </c>
      <c r="H93" s="82" t="s">
        <v>15</v>
      </c>
      <c r="I93" s="83" t="s">
        <v>29</v>
      </c>
    </row>
    <row r="94" spans="1:9" ht="39.75" customHeight="1" x14ac:dyDescent="0.25">
      <c r="A94" s="436"/>
      <c r="B94" s="87" t="s">
        <v>2174</v>
      </c>
      <c r="C94" s="409" t="s">
        <v>2248</v>
      </c>
      <c r="D94" s="409"/>
      <c r="E94" s="409"/>
      <c r="F94" s="409"/>
      <c r="G94" s="409"/>
      <c r="H94" s="409"/>
      <c r="I94" s="409"/>
    </row>
    <row r="95" spans="1:9" x14ac:dyDescent="0.25">
      <c r="A95" s="436"/>
      <c r="B95" s="65" t="s">
        <v>2225</v>
      </c>
      <c r="C95" s="3" t="s">
        <v>33</v>
      </c>
      <c r="D95" s="104"/>
      <c r="E95" s="4">
        <v>27963</v>
      </c>
      <c r="F95" s="4"/>
      <c r="G95" s="4"/>
      <c r="H95" s="4"/>
      <c r="I95" s="4"/>
    </row>
    <row r="96" spans="1:9" x14ac:dyDescent="0.25">
      <c r="A96" s="436"/>
      <c r="B96" s="65" t="s">
        <v>2223</v>
      </c>
      <c r="C96" s="3" t="s">
        <v>33</v>
      </c>
      <c r="D96" s="104"/>
      <c r="E96" s="4">
        <f>SUM(F96:I96)</f>
        <v>8700</v>
      </c>
      <c r="F96" s="4">
        <v>5701</v>
      </c>
      <c r="G96" s="4">
        <v>2976</v>
      </c>
      <c r="H96" s="4">
        <v>1</v>
      </c>
      <c r="I96" s="4">
        <v>22</v>
      </c>
    </row>
    <row r="97" spans="1:10" x14ac:dyDescent="0.25">
      <c r="A97" s="436"/>
      <c r="B97" s="65" t="s">
        <v>2226</v>
      </c>
      <c r="C97" s="3"/>
      <c r="D97" s="104"/>
      <c r="E97" s="93">
        <f>E95-E96</f>
        <v>19263</v>
      </c>
      <c r="F97" s="4"/>
      <c r="G97" s="4"/>
      <c r="H97" s="4"/>
      <c r="I97" s="4"/>
    </row>
    <row r="98" spans="1:10" ht="15.75" thickBot="1" x14ac:dyDescent="0.3">
      <c r="A98" s="437"/>
      <c r="B98" s="65" t="s">
        <v>2279</v>
      </c>
      <c r="C98" s="3"/>
      <c r="D98" s="44"/>
      <c r="E98" s="143">
        <f>SUM(F98:I98)</f>
        <v>19264</v>
      </c>
      <c r="F98" s="4">
        <v>11821</v>
      </c>
      <c r="G98" s="4">
        <v>7303</v>
      </c>
      <c r="H98" s="4">
        <v>3</v>
      </c>
      <c r="I98" s="4">
        <v>137</v>
      </c>
    </row>
    <row r="99" spans="1:10" ht="15.75" thickBot="1" x14ac:dyDescent="0.3"/>
    <row r="100" spans="1:10" x14ac:dyDescent="0.25">
      <c r="C100" s="105" t="s">
        <v>23</v>
      </c>
      <c r="D100" s="106" t="s">
        <v>36</v>
      </c>
      <c r="E100" s="107" t="s">
        <v>21</v>
      </c>
      <c r="F100" s="107" t="s">
        <v>13</v>
      </c>
      <c r="G100" s="107" t="s">
        <v>14</v>
      </c>
      <c r="H100" s="107" t="s">
        <v>15</v>
      </c>
      <c r="I100" s="108" t="s">
        <v>29</v>
      </c>
    </row>
    <row r="101" spans="1:10" x14ac:dyDescent="0.25">
      <c r="B101" s="109" t="s">
        <v>2229</v>
      </c>
      <c r="C101" s="109" t="s">
        <v>2228</v>
      </c>
      <c r="D101" s="110"/>
      <c r="E101" s="109"/>
      <c r="F101" s="109"/>
      <c r="G101" s="109"/>
      <c r="H101" s="109"/>
      <c r="I101" s="109"/>
    </row>
    <row r="102" spans="1:10" x14ac:dyDescent="0.25">
      <c r="B102" s="3" t="s">
        <v>2227</v>
      </c>
      <c r="C102" s="3" t="s">
        <v>33</v>
      </c>
      <c r="D102" s="44"/>
      <c r="E102" s="111">
        <f>SUM(F102:I102)</f>
        <v>65918</v>
      </c>
      <c r="F102" s="4">
        <v>45212</v>
      </c>
      <c r="G102" s="4">
        <v>20131</v>
      </c>
      <c r="H102" s="4">
        <v>6</v>
      </c>
      <c r="I102" s="4">
        <v>569</v>
      </c>
    </row>
    <row r="103" spans="1:10" x14ac:dyDescent="0.25">
      <c r="B103" s="3"/>
      <c r="C103" s="3"/>
      <c r="D103" s="44"/>
      <c r="E103" s="3"/>
      <c r="F103" s="3"/>
      <c r="G103" s="3"/>
      <c r="H103" s="3"/>
      <c r="I103" s="3"/>
    </row>
    <row r="104" spans="1:10" x14ac:dyDescent="0.25">
      <c r="B104" s="112" t="s">
        <v>2230</v>
      </c>
      <c r="C104" s="84" t="s">
        <v>2232</v>
      </c>
      <c r="D104" s="113"/>
      <c r="E104" s="112"/>
      <c r="F104" s="112"/>
      <c r="G104" s="112"/>
      <c r="H104" s="112"/>
      <c r="I104" s="112"/>
    </row>
    <row r="105" spans="1:10" x14ac:dyDescent="0.25">
      <c r="B105" s="3" t="s">
        <v>2233</v>
      </c>
      <c r="C105" s="249" t="s">
        <v>2366</v>
      </c>
      <c r="D105" s="44" t="s">
        <v>2231</v>
      </c>
      <c r="E105" s="4">
        <f>SUM(F105:H105)</f>
        <v>38792</v>
      </c>
      <c r="F105" s="4">
        <v>28781</v>
      </c>
      <c r="G105" s="4">
        <v>10011</v>
      </c>
      <c r="H105" s="4">
        <v>0</v>
      </c>
      <c r="I105" s="4">
        <v>419</v>
      </c>
      <c r="J105" s="144">
        <f>E105/E102</f>
        <v>0.58848872842015842</v>
      </c>
    </row>
    <row r="106" spans="1:10" ht="15.75" thickBot="1" x14ac:dyDescent="0.3"/>
    <row r="107" spans="1:10" ht="15.75" thickBot="1" x14ac:dyDescent="0.3">
      <c r="B107" s="112" t="s">
        <v>2234</v>
      </c>
      <c r="C107" s="114" t="s">
        <v>2238</v>
      </c>
      <c r="D107" s="113"/>
      <c r="E107" s="82" t="s">
        <v>21</v>
      </c>
      <c r="F107" s="82" t="s">
        <v>13</v>
      </c>
      <c r="G107" s="82" t="s">
        <v>14</v>
      </c>
      <c r="H107" s="82" t="s">
        <v>15</v>
      </c>
      <c r="I107" s="83" t="s">
        <v>29</v>
      </c>
    </row>
    <row r="108" spans="1:10" x14ac:dyDescent="0.25">
      <c r="B108" s="146" t="s">
        <v>2235</v>
      </c>
      <c r="C108" s="3" t="s">
        <v>33</v>
      </c>
      <c r="D108" s="44"/>
      <c r="E108" s="4">
        <f>SUM(F108:H108)</f>
        <v>8233</v>
      </c>
      <c r="F108" s="4">
        <v>5388</v>
      </c>
      <c r="G108" s="4">
        <v>2844</v>
      </c>
      <c r="H108" s="4">
        <v>1</v>
      </c>
      <c r="I108" s="4"/>
    </row>
    <row r="109" spans="1:10" x14ac:dyDescent="0.25">
      <c r="B109" s="146" t="s">
        <v>2236</v>
      </c>
      <c r="C109" s="3" t="s">
        <v>33</v>
      </c>
      <c r="D109" s="44"/>
      <c r="E109" s="4">
        <f>SUM(F109:H109)</f>
        <v>18626</v>
      </c>
      <c r="F109" s="4">
        <v>12503</v>
      </c>
      <c r="G109" s="4">
        <v>6122</v>
      </c>
      <c r="H109" s="4">
        <v>1</v>
      </c>
      <c r="I109" s="4"/>
    </row>
    <row r="110" spans="1:10" x14ac:dyDescent="0.25">
      <c r="B110" s="146" t="s">
        <v>2237</v>
      </c>
      <c r="C110" s="3" t="s">
        <v>33</v>
      </c>
      <c r="D110" s="44"/>
      <c r="E110" s="4">
        <f>SUM(E108:E109)</f>
        <v>26859</v>
      </c>
      <c r="F110" s="4">
        <f>SUM(F108:F109)</f>
        <v>17891</v>
      </c>
      <c r="G110" s="4">
        <f t="shared" ref="G110:I110" si="16">SUM(G108:G109)</f>
        <v>8966</v>
      </c>
      <c r="H110" s="4">
        <f t="shared" si="16"/>
        <v>2</v>
      </c>
      <c r="I110" s="4">
        <f t="shared" si="16"/>
        <v>0</v>
      </c>
    </row>
    <row r="114" spans="2:9" ht="15.75" thickBot="1" x14ac:dyDescent="0.3"/>
    <row r="115" spans="2:9" ht="15.75" thickBot="1" x14ac:dyDescent="0.3">
      <c r="B115" s="10"/>
      <c r="C115" s="80" t="s">
        <v>23</v>
      </c>
      <c r="D115" s="81" t="s">
        <v>36</v>
      </c>
      <c r="E115" s="82" t="s">
        <v>21</v>
      </c>
      <c r="F115" s="82" t="s">
        <v>2182</v>
      </c>
      <c r="G115" s="82" t="s">
        <v>2181</v>
      </c>
      <c r="H115" s="82" t="s">
        <v>2180</v>
      </c>
      <c r="I115" s="83" t="s">
        <v>2179</v>
      </c>
    </row>
    <row r="116" spans="2:9" x14ac:dyDescent="0.25">
      <c r="B116" s="24" t="s">
        <v>2212</v>
      </c>
      <c r="C116" s="3" t="s">
        <v>31</v>
      </c>
      <c r="D116" s="44"/>
      <c r="E116" s="4">
        <f t="shared" ref="E116:E124" si="17">SUM(F116:I116)</f>
        <v>603268</v>
      </c>
      <c r="F116" s="4">
        <v>261784</v>
      </c>
      <c r="G116" s="4">
        <v>341484</v>
      </c>
      <c r="H116" s="157" t="s">
        <v>8</v>
      </c>
      <c r="I116" s="26"/>
    </row>
    <row r="117" spans="2:9" x14ac:dyDescent="0.25">
      <c r="B117" s="24" t="s">
        <v>2215</v>
      </c>
      <c r="C117" s="3" t="s">
        <v>31</v>
      </c>
      <c r="D117" s="44"/>
      <c r="E117" s="4">
        <f t="shared" si="17"/>
        <v>52668</v>
      </c>
      <c r="F117" s="4">
        <f>17626+16773</f>
        <v>34399</v>
      </c>
      <c r="G117" s="4">
        <f>16769+1500</f>
        <v>18269</v>
      </c>
      <c r="H117" s="157" t="s">
        <v>8</v>
      </c>
      <c r="I117" s="26"/>
    </row>
    <row r="118" spans="2:9" x14ac:dyDescent="0.25">
      <c r="B118" s="24" t="s">
        <v>2213</v>
      </c>
      <c r="C118" s="3" t="s">
        <v>22</v>
      </c>
      <c r="D118" s="44" t="s">
        <v>2203</v>
      </c>
      <c r="E118" s="4">
        <f>SUM(F118:I118)</f>
        <v>12978</v>
      </c>
      <c r="F118" s="4">
        <f>F119</f>
        <v>10024</v>
      </c>
      <c r="G118" s="4">
        <f>1826+1128</f>
        <v>2954</v>
      </c>
      <c r="H118" s="157" t="s">
        <v>8</v>
      </c>
      <c r="I118" s="95"/>
    </row>
    <row r="119" spans="2:9" x14ac:dyDescent="0.25">
      <c r="B119" s="24" t="s">
        <v>2214</v>
      </c>
      <c r="C119" s="3" t="s">
        <v>22</v>
      </c>
      <c r="D119" s="44" t="s">
        <v>2202</v>
      </c>
      <c r="E119" s="4">
        <f>SUM(F119:I119)</f>
        <v>11664</v>
      </c>
      <c r="F119" s="4">
        <f>8502+1522</f>
        <v>10024</v>
      </c>
      <c r="G119" s="4">
        <f>1068+572</f>
        <v>1640</v>
      </c>
      <c r="H119" s="157" t="s">
        <v>8</v>
      </c>
      <c r="I119" s="21"/>
    </row>
    <row r="120" spans="2:9" x14ac:dyDescent="0.25">
      <c r="B120" s="24" t="s">
        <v>2280</v>
      </c>
      <c r="C120" s="3" t="s">
        <v>22</v>
      </c>
      <c r="D120" s="44"/>
      <c r="E120" s="4">
        <f t="shared" ref="E120:E121" si="18">SUM(F120:I120)</f>
        <v>550600</v>
      </c>
      <c r="F120" s="4">
        <v>227385</v>
      </c>
      <c r="G120" s="4">
        <f>308869+14346</f>
        <v>323215</v>
      </c>
      <c r="H120" s="157" t="s">
        <v>8</v>
      </c>
      <c r="I120" s="21"/>
    </row>
    <row r="121" spans="2:9" x14ac:dyDescent="0.25">
      <c r="B121" s="24" t="s">
        <v>2281</v>
      </c>
      <c r="C121" s="3" t="s">
        <v>22</v>
      </c>
      <c r="D121" s="44"/>
      <c r="E121" s="4">
        <f t="shared" si="18"/>
        <v>27363</v>
      </c>
      <c r="F121" s="4">
        <v>20919</v>
      </c>
      <c r="G121" s="4">
        <f>4083+2361</f>
        <v>6444</v>
      </c>
      <c r="H121" s="157" t="s">
        <v>8</v>
      </c>
      <c r="I121" s="21"/>
    </row>
    <row r="122" spans="2:9" x14ac:dyDescent="0.25">
      <c r="B122" s="24" t="s">
        <v>26</v>
      </c>
      <c r="C122" s="3" t="s">
        <v>55</v>
      </c>
      <c r="D122" s="44" t="s">
        <v>25</v>
      </c>
      <c r="E122" s="4">
        <f>SUM(F122:I122)</f>
        <v>0</v>
      </c>
      <c r="F122" s="4"/>
      <c r="G122" s="4"/>
      <c r="H122" s="4"/>
      <c r="I122" s="26"/>
    </row>
    <row r="123" spans="2:9" ht="30" x14ac:dyDescent="0.25">
      <c r="B123" s="24" t="s">
        <v>27</v>
      </c>
      <c r="C123" s="3" t="s">
        <v>32</v>
      </c>
      <c r="D123" s="44" t="s">
        <v>35</v>
      </c>
      <c r="E123" s="4">
        <f t="shared" si="17"/>
        <v>39027</v>
      </c>
      <c r="F123" s="4">
        <v>30943</v>
      </c>
      <c r="G123" s="4">
        <f>4083+2361+1068+572</f>
        <v>8084</v>
      </c>
      <c r="H123" s="157" t="s">
        <v>8</v>
      </c>
      <c r="I123" s="21"/>
    </row>
    <row r="124" spans="2:9" ht="45" x14ac:dyDescent="0.25">
      <c r="B124" s="24" t="s">
        <v>27</v>
      </c>
      <c r="C124" s="3" t="s">
        <v>28</v>
      </c>
      <c r="D124" s="45" t="s">
        <v>2239</v>
      </c>
      <c r="E124" s="4">
        <f t="shared" si="17"/>
        <v>44487</v>
      </c>
      <c r="F124" s="39">
        <v>36406</v>
      </c>
      <c r="G124" s="4">
        <v>8081</v>
      </c>
      <c r="H124" s="157" t="s">
        <v>8</v>
      </c>
      <c r="I124" s="21"/>
    </row>
    <row r="126" spans="2:9" ht="15.75" thickBot="1" x14ac:dyDescent="0.3">
      <c r="B126" s="79" t="s">
        <v>38</v>
      </c>
      <c r="C126" s="16" t="s">
        <v>33</v>
      </c>
      <c r="D126" s="46" t="s">
        <v>39</v>
      </c>
      <c r="E126" s="18"/>
      <c r="F126" s="18"/>
      <c r="G126" s="18"/>
      <c r="H126" s="18"/>
      <c r="I126" s="19"/>
    </row>
    <row r="127" spans="2:9" ht="15.75" thickBot="1" x14ac:dyDescent="0.3"/>
    <row r="128" spans="2:9" x14ac:dyDescent="0.25">
      <c r="B128" s="122" t="s">
        <v>2263</v>
      </c>
      <c r="C128" s="3"/>
      <c r="D128" s="44"/>
      <c r="E128" s="107" t="s">
        <v>21</v>
      </c>
      <c r="F128" s="107" t="s">
        <v>2182</v>
      </c>
      <c r="G128" s="107" t="s">
        <v>2181</v>
      </c>
      <c r="H128" s="107" t="s">
        <v>2180</v>
      </c>
      <c r="I128" s="108" t="s">
        <v>2179</v>
      </c>
    </row>
    <row r="129" spans="2:9" x14ac:dyDescent="0.25">
      <c r="B129" s="123" t="s">
        <v>2260</v>
      </c>
      <c r="C129" s="3" t="s">
        <v>22</v>
      </c>
      <c r="D129" s="44" t="s">
        <v>2261</v>
      </c>
      <c r="E129" s="4">
        <f>E117</f>
        <v>52668</v>
      </c>
      <c r="F129" s="4">
        <f t="shared" ref="F129:I129" si="19">F117</f>
        <v>34399</v>
      </c>
      <c r="G129" s="4">
        <f t="shared" si="19"/>
        <v>18269</v>
      </c>
      <c r="H129" s="4" t="str">
        <f t="shared" si="19"/>
        <v>N/A</v>
      </c>
      <c r="I129" s="4">
        <f t="shared" si="19"/>
        <v>0</v>
      </c>
    </row>
    <row r="130" spans="2:9" x14ac:dyDescent="0.25">
      <c r="B130" s="123" t="s">
        <v>2262</v>
      </c>
      <c r="C130" s="3" t="s">
        <v>33</v>
      </c>
      <c r="D130" s="44"/>
      <c r="E130" s="4">
        <f>SUM(F130:I130)</f>
        <v>1995</v>
      </c>
      <c r="F130" s="4">
        <f>F18+F34+F50</f>
        <v>1571</v>
      </c>
      <c r="G130" s="4">
        <f t="shared" ref="G130:I130" si="20">G18+G34+G50</f>
        <v>424</v>
      </c>
      <c r="H130" s="4">
        <f t="shared" si="20"/>
        <v>0</v>
      </c>
      <c r="I130" s="4">
        <f t="shared" si="20"/>
        <v>0</v>
      </c>
    </row>
    <row r="131" spans="2:9" x14ac:dyDescent="0.25">
      <c r="B131" s="124" t="s">
        <v>2267</v>
      </c>
      <c r="C131" s="3" t="s">
        <v>33</v>
      </c>
      <c r="D131" s="44"/>
      <c r="E131" s="4">
        <f>SUM(F131:I131)</f>
        <v>59672</v>
      </c>
      <c r="F131" s="4">
        <f>F3+F80</f>
        <v>35557</v>
      </c>
      <c r="G131" s="4">
        <f t="shared" ref="G131:I131" si="21">G3+G80</f>
        <v>24115</v>
      </c>
      <c r="H131" s="4">
        <f t="shared" si="21"/>
        <v>0</v>
      </c>
      <c r="I131" s="4">
        <f t="shared" si="21"/>
        <v>0</v>
      </c>
    </row>
    <row r="133" spans="2:9" x14ac:dyDescent="0.25">
      <c r="B133" s="122" t="s">
        <v>2264</v>
      </c>
      <c r="C133" s="3" t="s">
        <v>2261</v>
      </c>
      <c r="D133" s="44"/>
      <c r="E133" s="4">
        <f>IF(SUM(E129:E131)&gt;E116,E116,SUM(E129:E131))</f>
        <v>114335</v>
      </c>
      <c r="F133" s="4">
        <f t="shared" ref="F133:I133" si="22">IF(SUM(F129:F131)&gt;F116,F116,SUM(F129:F131))</f>
        <v>71527</v>
      </c>
      <c r="G133" s="4">
        <f t="shared" si="22"/>
        <v>42808</v>
      </c>
      <c r="H133" s="4">
        <f t="shared" si="22"/>
        <v>0</v>
      </c>
      <c r="I133" s="4">
        <f t="shared" si="22"/>
        <v>0</v>
      </c>
    </row>
    <row r="134" spans="2:9" ht="15.75" thickBot="1" x14ac:dyDescent="0.3"/>
    <row r="135" spans="2:9" x14ac:dyDescent="0.25">
      <c r="B135" s="122" t="s">
        <v>2265</v>
      </c>
      <c r="D135"/>
      <c r="E135" s="107" t="s">
        <v>21</v>
      </c>
      <c r="F135" s="107" t="s">
        <v>2182</v>
      </c>
      <c r="G135" s="107" t="s">
        <v>2181</v>
      </c>
      <c r="H135" s="107" t="s">
        <v>2180</v>
      </c>
      <c r="I135" s="108" t="s">
        <v>2179</v>
      </c>
    </row>
    <row r="136" spans="2:9" x14ac:dyDescent="0.25">
      <c r="B136" s="124" t="s">
        <v>2282</v>
      </c>
      <c r="C136" s="3" t="s">
        <v>2283</v>
      </c>
      <c r="D136"/>
      <c r="E136" s="4">
        <f>E133-E142</f>
        <v>75308</v>
      </c>
      <c r="F136" s="4">
        <f>F133-F142</f>
        <v>40584</v>
      </c>
      <c r="G136" s="4">
        <f t="shared" ref="G136:I136" si="23">G133-G142</f>
        <v>34724</v>
      </c>
      <c r="H136" s="4" t="e">
        <f t="shared" si="23"/>
        <v>#VALUE!</v>
      </c>
      <c r="I136" s="4">
        <f t="shared" si="23"/>
        <v>0</v>
      </c>
    </row>
    <row r="137" spans="2:9" ht="15.75" thickBot="1" x14ac:dyDescent="0.3">
      <c r="D137"/>
      <c r="E137" s="147"/>
      <c r="F137" s="147"/>
      <c r="G137" s="147"/>
    </row>
    <row r="138" spans="2:9" x14ac:dyDescent="0.25">
      <c r="B138" s="462" t="s">
        <v>2240</v>
      </c>
      <c r="D138"/>
      <c r="E138" s="107" t="s">
        <v>2241</v>
      </c>
      <c r="F138" s="107" t="s">
        <v>2182</v>
      </c>
      <c r="G138" s="107" t="s">
        <v>2181</v>
      </c>
    </row>
    <row r="139" spans="2:9" ht="15.75" thickBot="1" x14ac:dyDescent="0.3">
      <c r="B139" s="463"/>
      <c r="C139" s="249" t="s">
        <v>2365</v>
      </c>
      <c r="D139" s="44"/>
      <c r="E139" s="127">
        <f>SUM(F139:G139)</f>
        <v>26704</v>
      </c>
      <c r="F139" s="4">
        <v>16566</v>
      </c>
      <c r="G139" s="4">
        <v>10138</v>
      </c>
    </row>
    <row r="140" spans="2:9" x14ac:dyDescent="0.25">
      <c r="B140" s="463"/>
      <c r="C140" s="3"/>
      <c r="D140" s="44"/>
      <c r="E140" s="107" t="s">
        <v>21</v>
      </c>
      <c r="F140" s="107" t="s">
        <v>2182</v>
      </c>
      <c r="G140" s="107" t="s">
        <v>2181</v>
      </c>
      <c r="H140" s="107" t="s">
        <v>2180</v>
      </c>
      <c r="I140" s="108" t="s">
        <v>2179</v>
      </c>
    </row>
    <row r="141" spans="2:9" x14ac:dyDescent="0.25">
      <c r="B141" s="463"/>
      <c r="C141" s="3"/>
      <c r="D141" s="44"/>
      <c r="E141" s="127">
        <f>E102</f>
        <v>65918</v>
      </c>
      <c r="F141" s="4">
        <f t="shared" ref="F141:I141" si="24">F102</f>
        <v>45212</v>
      </c>
      <c r="G141" s="4">
        <f t="shared" si="24"/>
        <v>20131</v>
      </c>
      <c r="H141" s="4">
        <f t="shared" si="24"/>
        <v>6</v>
      </c>
      <c r="I141" s="4">
        <f t="shared" si="24"/>
        <v>569</v>
      </c>
    </row>
    <row r="142" spans="2:9" x14ac:dyDescent="0.25">
      <c r="B142" t="s">
        <v>2250</v>
      </c>
      <c r="C142" s="124" t="s">
        <v>2268</v>
      </c>
      <c r="D142" s="44"/>
      <c r="E142" s="4">
        <f>E123</f>
        <v>39027</v>
      </c>
      <c r="F142" s="4">
        <f t="shared" ref="F142:I142" si="25">F123</f>
        <v>30943</v>
      </c>
      <c r="G142" s="4">
        <f t="shared" si="25"/>
        <v>8084</v>
      </c>
      <c r="H142" s="4" t="str">
        <f t="shared" si="25"/>
        <v>N/A</v>
      </c>
      <c r="I142" s="4">
        <f t="shared" si="25"/>
        <v>0</v>
      </c>
    </row>
    <row r="143" spans="2:9" x14ac:dyDescent="0.25">
      <c r="B143" s="124" t="s">
        <v>2242</v>
      </c>
      <c r="C143" s="3"/>
      <c r="D143" s="44"/>
      <c r="E143" s="129">
        <f>E110</f>
        <v>26859</v>
      </c>
      <c r="F143" s="4">
        <f t="shared" ref="F143:I143" si="26">F110</f>
        <v>17891</v>
      </c>
      <c r="G143" s="4">
        <f t="shared" si="26"/>
        <v>8966</v>
      </c>
      <c r="H143" s="4">
        <f t="shared" si="26"/>
        <v>2</v>
      </c>
      <c r="I143" s="4">
        <f t="shared" si="26"/>
        <v>0</v>
      </c>
    </row>
    <row r="144" spans="2:9" ht="15.75" thickBot="1" x14ac:dyDescent="0.3">
      <c r="E144" s="1"/>
      <c r="F144" s="1"/>
      <c r="G144" s="1"/>
    </row>
    <row r="145" spans="2:12" x14ac:dyDescent="0.25">
      <c r="E145" s="107" t="s">
        <v>21</v>
      </c>
      <c r="F145" s="107" t="s">
        <v>2182</v>
      </c>
      <c r="G145" s="107" t="s">
        <v>2181</v>
      </c>
      <c r="H145" s="107" t="s">
        <v>2180</v>
      </c>
      <c r="I145" s="108" t="s">
        <v>2179</v>
      </c>
    </row>
    <row r="146" spans="2:12" ht="30" x14ac:dyDescent="0.25">
      <c r="B146" s="24" t="s">
        <v>27</v>
      </c>
      <c r="C146" s="124" t="s">
        <v>32</v>
      </c>
      <c r="D146" s="44" t="s">
        <v>35</v>
      </c>
      <c r="E146" s="4">
        <f t="shared" ref="E146" si="27">SUM(F146:I146)</f>
        <v>39027</v>
      </c>
      <c r="F146" s="4">
        <f>F123</f>
        <v>30943</v>
      </c>
      <c r="G146" s="4">
        <f>G123</f>
        <v>8084</v>
      </c>
      <c r="H146" s="4"/>
      <c r="I146" s="21"/>
    </row>
    <row r="147" spans="2:12" x14ac:dyDescent="0.25">
      <c r="B147" s="125" t="s">
        <v>2214</v>
      </c>
      <c r="C147" s="3" t="s">
        <v>22</v>
      </c>
      <c r="D147" s="44" t="s">
        <v>2202</v>
      </c>
      <c r="E147" s="4">
        <f>SUM(F147:I147)</f>
        <v>12978</v>
      </c>
      <c r="F147" s="4">
        <f>F118</f>
        <v>10024</v>
      </c>
      <c r="G147" s="4">
        <f>G118</f>
        <v>2954</v>
      </c>
      <c r="H147" s="4"/>
      <c r="I147" s="21"/>
      <c r="L147" s="1"/>
    </row>
    <row r="148" spans="2:12" ht="15.75" thickBot="1" x14ac:dyDescent="0.3"/>
    <row r="149" spans="2:12" x14ac:dyDescent="0.25">
      <c r="B149" s="413" t="s">
        <v>2242</v>
      </c>
      <c r="C149" s="3"/>
      <c r="D149" s="44"/>
      <c r="E149" s="107" t="s">
        <v>21</v>
      </c>
      <c r="F149" s="107" t="s">
        <v>2182</v>
      </c>
      <c r="G149" s="107" t="s">
        <v>2181</v>
      </c>
      <c r="H149" s="107" t="s">
        <v>2180</v>
      </c>
      <c r="I149" s="108" t="s">
        <v>2179</v>
      </c>
    </row>
    <row r="150" spans="2:12" x14ac:dyDescent="0.25">
      <c r="B150" s="413"/>
      <c r="C150" s="3" t="s">
        <v>2243</v>
      </c>
      <c r="D150" s="44"/>
      <c r="E150" s="115">
        <f>SUM(F150:I150)</f>
        <v>3249</v>
      </c>
      <c r="F150" s="115">
        <f>F6</f>
        <v>3249</v>
      </c>
      <c r="G150" s="3"/>
      <c r="H150" s="3"/>
      <c r="I150" s="3"/>
    </row>
    <row r="151" spans="2:12" x14ac:dyDescent="0.25">
      <c r="B151" s="413"/>
      <c r="C151" s="3" t="s">
        <v>16</v>
      </c>
      <c r="D151" s="44"/>
      <c r="E151" s="115">
        <f t="shared" ref="E151:E155" si="28">SUM(F151:I151)</f>
        <v>8700</v>
      </c>
      <c r="F151" s="4">
        <f>F96</f>
        <v>5701</v>
      </c>
      <c r="G151" s="4">
        <f t="shared" ref="G151:I151" si="29">G96</f>
        <v>2976</v>
      </c>
      <c r="H151" s="4">
        <f t="shared" si="29"/>
        <v>1</v>
      </c>
      <c r="I151" s="4">
        <f t="shared" si="29"/>
        <v>22</v>
      </c>
    </row>
    <row r="152" spans="2:12" x14ac:dyDescent="0.25">
      <c r="B152" s="413"/>
      <c r="C152" s="3" t="s">
        <v>2245</v>
      </c>
      <c r="D152" s="414" t="s">
        <v>2244</v>
      </c>
      <c r="E152" s="115">
        <f t="shared" si="28"/>
        <v>8</v>
      </c>
      <c r="F152" s="115">
        <f>F37</f>
        <v>8</v>
      </c>
      <c r="G152" s="3"/>
      <c r="H152" s="3"/>
      <c r="I152" s="3"/>
    </row>
    <row r="153" spans="2:12" x14ac:dyDescent="0.25">
      <c r="B153" s="413"/>
      <c r="C153" s="3" t="s">
        <v>2246</v>
      </c>
      <c r="D153" s="415"/>
      <c r="E153" s="115">
        <f t="shared" si="28"/>
        <v>0</v>
      </c>
      <c r="F153" s="115">
        <f>F21</f>
        <v>0</v>
      </c>
      <c r="G153" s="3"/>
      <c r="H153" s="3"/>
      <c r="I153" s="3"/>
    </row>
    <row r="154" spans="2:12" x14ac:dyDescent="0.25">
      <c r="B154" s="413"/>
      <c r="C154" s="3" t="s">
        <v>2247</v>
      </c>
      <c r="D154" s="416"/>
      <c r="E154" s="115">
        <f t="shared" si="28"/>
        <v>228</v>
      </c>
      <c r="F154" s="115">
        <f>F53</f>
        <v>228</v>
      </c>
      <c r="G154" s="3"/>
      <c r="H154" s="3"/>
      <c r="I154" s="3"/>
    </row>
    <row r="155" spans="2:12" x14ac:dyDescent="0.25">
      <c r="B155" s="413"/>
      <c r="C155" s="3" t="s">
        <v>2255</v>
      </c>
      <c r="D155" s="44"/>
      <c r="E155" s="115">
        <f t="shared" si="28"/>
        <v>1</v>
      </c>
      <c r="F155" s="115">
        <f>F83</f>
        <v>1</v>
      </c>
      <c r="G155" s="3"/>
      <c r="H155" s="3"/>
      <c r="I155" s="3"/>
    </row>
    <row r="156" spans="2:12" x14ac:dyDescent="0.25">
      <c r="D156" s="120" t="s">
        <v>2269</v>
      </c>
      <c r="E156" s="117">
        <f>SUM(F156:I156)</f>
        <v>12186</v>
      </c>
      <c r="F156" s="117">
        <f>SUM(F150:F155)</f>
        <v>9187</v>
      </c>
      <c r="G156" s="117">
        <f>SUM(G150:G155)</f>
        <v>2976</v>
      </c>
      <c r="H156" s="117">
        <f t="shared" ref="H156:I156" si="30">SUM(H150:H155)</f>
        <v>1</v>
      </c>
      <c r="I156" s="117">
        <f t="shared" si="30"/>
        <v>22</v>
      </c>
    </row>
    <row r="157" spans="2:12" x14ac:dyDescent="0.25">
      <c r="E157" s="116"/>
    </row>
    <row r="158" spans="2:12" x14ac:dyDescent="0.25">
      <c r="D158" s="3" t="s">
        <v>2249</v>
      </c>
      <c r="E158" s="129">
        <f>E110</f>
        <v>26859</v>
      </c>
      <c r="F158" s="4">
        <f t="shared" ref="F158:I158" si="31">F110</f>
        <v>17891</v>
      </c>
      <c r="G158" s="4">
        <f t="shared" si="31"/>
        <v>8966</v>
      </c>
      <c r="H158" s="4">
        <f t="shared" si="31"/>
        <v>2</v>
      </c>
      <c r="I158" s="4">
        <f t="shared" si="31"/>
        <v>0</v>
      </c>
    </row>
    <row r="159" spans="2:12" x14ac:dyDescent="0.25">
      <c r="D159" s="128" t="s">
        <v>2271</v>
      </c>
      <c r="E159" s="121">
        <f>E158-E156</f>
        <v>14673</v>
      </c>
      <c r="F159" s="121">
        <f t="shared" ref="F159:I159" si="32">F158-F156</f>
        <v>8704</v>
      </c>
      <c r="G159" s="121">
        <f t="shared" si="32"/>
        <v>5990</v>
      </c>
      <c r="H159" s="121">
        <f t="shared" si="32"/>
        <v>1</v>
      </c>
      <c r="I159" s="121">
        <f t="shared" si="32"/>
        <v>-22</v>
      </c>
    </row>
    <row r="160" spans="2:12" x14ac:dyDescent="0.25">
      <c r="D160" s="128" t="s">
        <v>2272</v>
      </c>
      <c r="E160" s="130"/>
      <c r="F160" s="130"/>
      <c r="G160" s="130"/>
      <c r="H160" s="130"/>
      <c r="I160" s="130"/>
    </row>
    <row r="161" spans="2:9" x14ac:dyDescent="0.25">
      <c r="D161" s="128" t="s">
        <v>2273</v>
      </c>
      <c r="E161" s="131"/>
      <c r="F161" s="131"/>
      <c r="G161" s="131"/>
      <c r="H161" s="131"/>
      <c r="I161" s="131"/>
    </row>
    <row r="162" spans="2:9" x14ac:dyDescent="0.25">
      <c r="D162" s="119"/>
    </row>
    <row r="163" spans="2:9" x14ac:dyDescent="0.25">
      <c r="B163" s="410" t="s">
        <v>2251</v>
      </c>
      <c r="C163" s="3"/>
      <c r="D163" s="44"/>
      <c r="E163" s="112" t="s">
        <v>21</v>
      </c>
      <c r="F163" s="112" t="s">
        <v>2182</v>
      </c>
      <c r="G163" s="112" t="s">
        <v>2181</v>
      </c>
      <c r="H163" s="112" t="s">
        <v>2180</v>
      </c>
      <c r="I163" s="112" t="s">
        <v>2179</v>
      </c>
    </row>
    <row r="164" spans="2:9" x14ac:dyDescent="0.25">
      <c r="B164" s="411"/>
      <c r="C164" s="3" t="s">
        <v>2243</v>
      </c>
      <c r="D164" s="44"/>
      <c r="E164" s="4">
        <f>SUM(F164:I164)</f>
        <v>5837.0850871493549</v>
      </c>
      <c r="F164" s="141">
        <f>F12</f>
        <v>3475</v>
      </c>
      <c r="G164" s="126">
        <f>G12</f>
        <v>2362.0850871493544</v>
      </c>
      <c r="H164" s="4"/>
      <c r="I164" s="26"/>
    </row>
    <row r="165" spans="2:9" ht="60" x14ac:dyDescent="0.25">
      <c r="B165" s="411"/>
      <c r="C165" s="3" t="s">
        <v>16</v>
      </c>
      <c r="D165" s="45" t="s">
        <v>2344</v>
      </c>
      <c r="E165" s="4">
        <f>SUM(F165:I165)</f>
        <v>4323</v>
      </c>
      <c r="F165" s="4">
        <f>F186</f>
        <v>4323</v>
      </c>
      <c r="G165" s="4">
        <f t="shared" ref="G165" si="33">G186</f>
        <v>0</v>
      </c>
      <c r="H165" s="4"/>
      <c r="I165" s="4"/>
    </row>
    <row r="166" spans="2:9" x14ac:dyDescent="0.25">
      <c r="B166" s="411"/>
      <c r="C166" s="3" t="s">
        <v>2245</v>
      </c>
      <c r="D166" s="414" t="s">
        <v>2244</v>
      </c>
      <c r="E166" s="4">
        <f t="shared" ref="E166:E169" si="34">SUM(F166:I166)</f>
        <v>33.571428571428569</v>
      </c>
      <c r="F166" s="4">
        <f>F43</f>
        <v>20</v>
      </c>
      <c r="G166" s="126">
        <f>G43</f>
        <v>13.571428571428571</v>
      </c>
      <c r="H166" s="4"/>
      <c r="I166" s="26"/>
    </row>
    <row r="167" spans="2:9" x14ac:dyDescent="0.25">
      <c r="B167" s="411"/>
      <c r="C167" s="3" t="s">
        <v>2246</v>
      </c>
      <c r="D167" s="415"/>
      <c r="E167" s="4">
        <f t="shared" si="34"/>
        <v>2.9268292682926829</v>
      </c>
      <c r="F167" s="4">
        <f>F27</f>
        <v>2</v>
      </c>
      <c r="G167" s="126">
        <f>G27</f>
        <v>0.92682926829268297</v>
      </c>
      <c r="H167" s="4"/>
      <c r="I167" s="26"/>
    </row>
    <row r="168" spans="2:9" x14ac:dyDescent="0.25">
      <c r="B168" s="411"/>
      <c r="C168" s="3" t="s">
        <v>2247</v>
      </c>
      <c r="D168" s="416"/>
      <c r="E168" s="4">
        <f t="shared" si="34"/>
        <v>415.88774242792215</v>
      </c>
      <c r="F168" s="4">
        <f>F59</f>
        <v>216</v>
      </c>
      <c r="G168" s="126">
        <f>G59</f>
        <v>199.88774242792218</v>
      </c>
      <c r="H168" s="4"/>
      <c r="I168" s="26"/>
    </row>
    <row r="169" spans="2:9" x14ac:dyDescent="0.25">
      <c r="B169" s="412"/>
      <c r="C169" s="3" t="s">
        <v>2255</v>
      </c>
      <c r="D169" s="44"/>
      <c r="E169" s="4">
        <f t="shared" si="34"/>
        <v>4.0256116733061642</v>
      </c>
      <c r="F169" s="4">
        <f>F89</f>
        <v>2</v>
      </c>
      <c r="G169" s="126">
        <f>G89</f>
        <v>2.0256116733061647</v>
      </c>
      <c r="H169" s="4"/>
      <c r="I169" s="26"/>
    </row>
    <row r="170" spans="2:9" x14ac:dyDescent="0.25">
      <c r="D170" s="120" t="s">
        <v>2259</v>
      </c>
      <c r="E170" s="117">
        <f>SUM(E164:E169)</f>
        <v>10616.496699090303</v>
      </c>
      <c r="F170" s="117">
        <f>SUM(F164:F169)</f>
        <v>8038</v>
      </c>
      <c r="G170" s="117">
        <f>SUM(G164:G169)</f>
        <v>2578.496699090304</v>
      </c>
      <c r="H170" s="117">
        <f t="shared" ref="H170:I170" si="35">SUM(H164:H169)</f>
        <v>0</v>
      </c>
      <c r="I170" s="117">
        <f t="shared" si="35"/>
        <v>0</v>
      </c>
    </row>
    <row r="172" spans="2:9" x14ac:dyDescent="0.25">
      <c r="D172" s="3" t="s">
        <v>2254</v>
      </c>
      <c r="E172" s="115">
        <f>IF((E146-E158)&gt;0,E146-E158,0)</f>
        <v>12168</v>
      </c>
      <c r="F172" s="115">
        <f t="shared" ref="F172" si="36">IF((F146-F158)&gt;0,F146-F158,0)</f>
        <v>13052</v>
      </c>
      <c r="G172" s="115">
        <f>IF((G146-G158)&gt;0,G146-G158,0)</f>
        <v>0</v>
      </c>
      <c r="H172" s="115">
        <f t="shared" ref="H172:I172" si="37">IF((H146-H158)&gt;0,H146-H158,0)</f>
        <v>0</v>
      </c>
      <c r="I172" s="115">
        <f t="shared" si="37"/>
        <v>0</v>
      </c>
    </row>
    <row r="173" spans="2:9" ht="15.75" thickBot="1" x14ac:dyDescent="0.3">
      <c r="D173" s="132" t="s">
        <v>2271</v>
      </c>
      <c r="E173" s="145">
        <f>IF((E172-E170)&gt;0,(E172-E170),0)</f>
        <v>1551.5033009096969</v>
      </c>
      <c r="F173" s="133">
        <f>IF((F172-F170)&gt;0,(F172-F170),0)</f>
        <v>5014</v>
      </c>
      <c r="G173" s="133">
        <f>IF((G172-G170)&gt;0,(G172-G170),0)</f>
        <v>0</v>
      </c>
      <c r="H173" s="133">
        <f t="shared" ref="H173:I173" si="38">IF((H172-H170)&gt;0,(H172-H170),0)</f>
        <v>0</v>
      </c>
      <c r="I173" s="133">
        <f t="shared" si="38"/>
        <v>0</v>
      </c>
    </row>
    <row r="174" spans="2:9" x14ac:dyDescent="0.25">
      <c r="C174" s="417" t="s">
        <v>2275</v>
      </c>
      <c r="D174" s="134" t="s">
        <v>2272</v>
      </c>
      <c r="E174" s="135"/>
      <c r="F174" s="135"/>
      <c r="G174" s="135"/>
      <c r="H174" s="135"/>
      <c r="I174" s="136"/>
    </row>
    <row r="175" spans="2:9" ht="15.75" thickBot="1" x14ac:dyDescent="0.3">
      <c r="C175" s="418"/>
      <c r="D175" s="137" t="s">
        <v>2273</v>
      </c>
      <c r="E175" s="138"/>
      <c r="F175" s="138"/>
      <c r="G175" s="138"/>
      <c r="H175" s="138"/>
      <c r="I175" s="139"/>
    </row>
    <row r="176" spans="2:9" ht="15.75" thickBot="1" x14ac:dyDescent="0.3">
      <c r="C176" s="417" t="s">
        <v>2276</v>
      </c>
      <c r="D176" s="134" t="s">
        <v>2277</v>
      </c>
      <c r="E176" s="138"/>
      <c r="F176" s="138"/>
      <c r="G176" s="138"/>
      <c r="H176" s="138"/>
      <c r="I176" s="139"/>
    </row>
    <row r="177" spans="2:9" ht="15.75" thickBot="1" x14ac:dyDescent="0.3">
      <c r="C177" s="418"/>
      <c r="D177" s="137" t="s">
        <v>2273</v>
      </c>
      <c r="E177" s="135"/>
      <c r="F177" s="135"/>
      <c r="G177" s="135"/>
      <c r="H177" s="135"/>
      <c r="I177" s="140"/>
    </row>
    <row r="178" spans="2:9" x14ac:dyDescent="0.25">
      <c r="C178" s="417" t="s">
        <v>2278</v>
      </c>
      <c r="D178" s="134" t="s">
        <v>2274</v>
      </c>
      <c r="E178" s="135"/>
      <c r="F178" s="135"/>
      <c r="G178" s="135"/>
      <c r="H178" s="135"/>
      <c r="I178" s="136"/>
    </row>
    <row r="179" spans="2:9" ht="15.75" thickBot="1" x14ac:dyDescent="0.3">
      <c r="C179" s="418"/>
      <c r="D179" s="137" t="s">
        <v>2273</v>
      </c>
      <c r="E179" s="138"/>
      <c r="F179" s="138"/>
      <c r="G179" s="138"/>
      <c r="H179" s="138"/>
      <c r="I179" s="139"/>
    </row>
    <row r="183" spans="2:9" x14ac:dyDescent="0.25">
      <c r="B183" s="413" t="s">
        <v>16</v>
      </c>
      <c r="C183" s="3" t="s">
        <v>2214</v>
      </c>
      <c r="D183" s="44"/>
      <c r="E183" s="4">
        <f>SUM(F183:I183)</f>
        <v>12978</v>
      </c>
      <c r="F183" s="4">
        <f>F147</f>
        <v>10024</v>
      </c>
      <c r="G183" s="4">
        <f>G147</f>
        <v>2954</v>
      </c>
      <c r="H183" s="3"/>
      <c r="I183" s="3"/>
    </row>
    <row r="184" spans="2:9" x14ac:dyDescent="0.25">
      <c r="B184" s="413"/>
      <c r="C184" s="3" t="s">
        <v>2257</v>
      </c>
      <c r="D184" s="44"/>
      <c r="E184" s="115">
        <f>SUM(F184:I184)</f>
        <v>8655</v>
      </c>
      <c r="F184" s="4">
        <f>IF((F183-F151)&gt;0,F151,F183)</f>
        <v>5701</v>
      </c>
      <c r="G184" s="4">
        <f>IF((G183-G151)&gt;0,G151,G183)</f>
        <v>2954</v>
      </c>
      <c r="H184" s="4">
        <f t="shared" ref="H184:I184" si="39">IF((H183-H151)&gt;0,H151,H183)</f>
        <v>0</v>
      </c>
      <c r="I184" s="4">
        <f t="shared" si="39"/>
        <v>0</v>
      </c>
    </row>
    <row r="185" spans="2:9" ht="60" x14ac:dyDescent="0.25">
      <c r="B185" s="413"/>
      <c r="C185" s="3" t="s">
        <v>2258</v>
      </c>
      <c r="D185" s="45" t="s">
        <v>2344</v>
      </c>
      <c r="E185" s="4">
        <f>E98</f>
        <v>19264</v>
      </c>
      <c r="F185" s="4">
        <f>F98</f>
        <v>11821</v>
      </c>
      <c r="G185" s="4">
        <f>G98</f>
        <v>7303</v>
      </c>
      <c r="H185" s="4">
        <f>H165</f>
        <v>0</v>
      </c>
      <c r="I185" s="3"/>
    </row>
    <row r="186" spans="2:9" x14ac:dyDescent="0.25">
      <c r="B186" s="413"/>
      <c r="C186" s="179" t="s">
        <v>2256</v>
      </c>
      <c r="D186" s="180" t="s">
        <v>2353</v>
      </c>
      <c r="E186" s="118">
        <f>SUM(F186:I186)</f>
        <v>4323</v>
      </c>
      <c r="F186" s="118">
        <f>IF((F183-F184)&gt;0,MIN((F183-F184),F185),0)</f>
        <v>4323</v>
      </c>
      <c r="G186" s="118">
        <f>IF((G183-G184)&gt;0,MIN((G183-G184),G185),0)</f>
        <v>0</v>
      </c>
      <c r="H186" s="118">
        <f t="shared" ref="H186:I186" si="40">MIN((H183-H184),H185)</f>
        <v>0</v>
      </c>
      <c r="I186" s="118">
        <f t="shared" si="40"/>
        <v>0</v>
      </c>
    </row>
    <row r="190" spans="2:9" x14ac:dyDescent="0.25">
      <c r="B190" s="413" t="s">
        <v>2256</v>
      </c>
      <c r="C190" s="3" t="s">
        <v>2253</v>
      </c>
      <c r="D190" s="44"/>
      <c r="E190" s="121">
        <f>SUM(E159+E173)</f>
        <v>16224.503300909697</v>
      </c>
      <c r="F190" s="121">
        <f t="shared" ref="F190:I190" si="41">SUM(F159+F173)</f>
        <v>13718</v>
      </c>
      <c r="G190" s="121">
        <f t="shared" si="41"/>
        <v>5990</v>
      </c>
      <c r="H190" s="121">
        <f t="shared" si="41"/>
        <v>1</v>
      </c>
      <c r="I190" s="115">
        <f t="shared" si="41"/>
        <v>-22</v>
      </c>
    </row>
    <row r="191" spans="2:9" x14ac:dyDescent="0.25">
      <c r="B191" s="413"/>
      <c r="C191" s="3" t="s">
        <v>16</v>
      </c>
      <c r="D191" s="44"/>
      <c r="E191" s="118">
        <f>E186</f>
        <v>4323</v>
      </c>
      <c r="F191" s="118">
        <f t="shared" ref="F191:I191" si="42">F186</f>
        <v>4323</v>
      </c>
      <c r="G191" s="118">
        <f t="shared" si="42"/>
        <v>0</v>
      </c>
      <c r="H191" s="118">
        <f t="shared" si="42"/>
        <v>0</v>
      </c>
      <c r="I191" s="115">
        <f t="shared" si="42"/>
        <v>0</v>
      </c>
    </row>
    <row r="192" spans="2:9" x14ac:dyDescent="0.25">
      <c r="B192" s="413"/>
      <c r="C192" s="3" t="s">
        <v>2270</v>
      </c>
      <c r="D192" s="44"/>
      <c r="E192" s="115">
        <f>E190-E191</f>
        <v>11901.503300909697</v>
      </c>
      <c r="F192" s="115">
        <f t="shared" ref="F192:I192" si="43">F190-F191</f>
        <v>9395</v>
      </c>
      <c r="G192" s="115">
        <f t="shared" si="43"/>
        <v>5990</v>
      </c>
      <c r="H192" s="115">
        <f t="shared" si="43"/>
        <v>1</v>
      </c>
      <c r="I192" s="115">
        <f t="shared" si="43"/>
        <v>-22</v>
      </c>
    </row>
    <row r="196" spans="4:7" x14ac:dyDescent="0.25">
      <c r="D196" s="44" t="s">
        <v>2266</v>
      </c>
      <c r="E196" s="4">
        <f>SUM(F196:G196)</f>
        <v>26049</v>
      </c>
      <c r="F196" s="4">
        <f>F146-F147</f>
        <v>20919</v>
      </c>
      <c r="G196" s="4">
        <f>G146-G147</f>
        <v>5130</v>
      </c>
    </row>
  </sheetData>
  <mergeCells count="24">
    <mergeCell ref="A80:A90"/>
    <mergeCell ref="C1:I1"/>
    <mergeCell ref="A3:A13"/>
    <mergeCell ref="B14:I14"/>
    <mergeCell ref="A18:A28"/>
    <mergeCell ref="B29:I29"/>
    <mergeCell ref="A34:A44"/>
    <mergeCell ref="B45:I45"/>
    <mergeCell ref="B46:I46"/>
    <mergeCell ref="A50:A60"/>
    <mergeCell ref="B61:I61"/>
    <mergeCell ref="A64:A74"/>
    <mergeCell ref="A93:A98"/>
    <mergeCell ref="C94:I94"/>
    <mergeCell ref="B149:B155"/>
    <mergeCell ref="D152:D154"/>
    <mergeCell ref="B163:B169"/>
    <mergeCell ref="D166:D168"/>
    <mergeCell ref="B138:B141"/>
    <mergeCell ref="C174:C175"/>
    <mergeCell ref="C176:C177"/>
    <mergeCell ref="C178:C179"/>
    <mergeCell ref="B183:B186"/>
    <mergeCell ref="B190:B192"/>
  </mergeCells>
  <hyperlinks>
    <hyperlink ref="C1" r:id="rId1"/>
    <hyperlink ref="C78" r:id="rId2"/>
    <hyperlink ref="C16" r:id="rId3"/>
    <hyperlink ref="C32" r:id="rId4"/>
    <hyperlink ref="C48" r:id="rId5"/>
    <hyperlink ref="C94" r:id="rId6" display="https://dashboard.applaydu.com/question/2314-applaydu-number-of-organic-users-that-scan-at-least-1-toy?"/>
    <hyperlink ref="C107" r:id="rId7"/>
    <hyperlink ref="D124" r:id="rId8"/>
    <hyperlink ref="D185" r:id="rId9"/>
    <hyperlink ref="D165" r:id="rId10"/>
  </hyperlinks>
  <pageMargins left="0.7" right="0.7" top="0.75" bottom="0.75" header="0.3" footer="0.3"/>
  <pageSetup paperSize="9" orientation="portrait" r:id="rId11"/>
  <legacyDrawing r:id="rId1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6"/>
  <sheetViews>
    <sheetView topLeftCell="A88" zoomScale="90" zoomScaleNormal="90" workbookViewId="0">
      <selection activeCell="G140" sqref="G140"/>
    </sheetView>
  </sheetViews>
  <sheetFormatPr defaultColWidth="8.85546875" defaultRowHeight="15" x14ac:dyDescent="0.25"/>
  <cols>
    <col min="1" max="1" width="4" customWidth="1"/>
    <col min="2" max="2" width="30.42578125" customWidth="1"/>
    <col min="3" max="3" width="48.42578125" customWidth="1"/>
    <col min="4" max="4" width="41.42578125" style="2" customWidth="1"/>
    <col min="5" max="5" width="24" bestFit="1" customWidth="1"/>
    <col min="6" max="7" width="16" customWidth="1"/>
    <col min="8" max="8" width="20.140625" bestFit="1" customWidth="1"/>
    <col min="9" max="9" width="17.42578125" bestFit="1" customWidth="1"/>
    <col min="12" max="12" width="19.42578125" customWidth="1"/>
  </cols>
  <sheetData>
    <row r="1" spans="1:9" ht="15.75" thickBot="1" x14ac:dyDescent="0.3">
      <c r="B1" s="84" t="s">
        <v>2174</v>
      </c>
      <c r="C1" s="422" t="s">
        <v>2175</v>
      </c>
      <c r="D1" s="423"/>
      <c r="E1" s="423"/>
      <c r="F1" s="423"/>
      <c r="G1" s="423"/>
      <c r="H1" s="423"/>
      <c r="I1" s="423"/>
    </row>
    <row r="2" spans="1:9" ht="15.75" thickBot="1" x14ac:dyDescent="0.3">
      <c r="C2" s="80" t="s">
        <v>23</v>
      </c>
      <c r="D2" s="81" t="s">
        <v>36</v>
      </c>
      <c r="E2" s="82" t="s">
        <v>21</v>
      </c>
      <c r="F2" s="82" t="s">
        <v>13</v>
      </c>
      <c r="G2" s="82" t="s">
        <v>14</v>
      </c>
      <c r="H2" s="82" t="s">
        <v>15</v>
      </c>
      <c r="I2" s="83" t="s">
        <v>29</v>
      </c>
    </row>
    <row r="3" spans="1:9" ht="15.75" customHeight="1" thickBot="1" x14ac:dyDescent="0.3">
      <c r="A3" s="424" t="s">
        <v>2136</v>
      </c>
      <c r="B3" s="58" t="s">
        <v>54</v>
      </c>
      <c r="C3" s="5" t="s">
        <v>24</v>
      </c>
      <c r="D3" s="48"/>
      <c r="E3" s="35">
        <f>SUM(F3:I3)</f>
        <v>1278959</v>
      </c>
      <c r="F3" s="37">
        <v>752226</v>
      </c>
      <c r="G3" s="38">
        <v>526733</v>
      </c>
      <c r="H3" s="38">
        <v>0</v>
      </c>
      <c r="I3" s="6">
        <v>0</v>
      </c>
    </row>
    <row r="4" spans="1:9" ht="54" customHeight="1" thickBot="1" x14ac:dyDescent="0.3">
      <c r="A4" s="425"/>
      <c r="B4" s="59" t="s">
        <v>40</v>
      </c>
      <c r="C4" s="31" t="s">
        <v>33</v>
      </c>
      <c r="D4" s="32" t="s">
        <v>42</v>
      </c>
      <c r="E4" s="33">
        <f>SUM(F4:I4)</f>
        <v>201460.24254518954</v>
      </c>
      <c r="F4" s="33">
        <v>107691</v>
      </c>
      <c r="G4" s="245">
        <f>MAX(F4*G3/F3,G3*'Details-GLOBAL-202301-202303'!H4/'Details-GLOBAL-202301-202303'!H3)</f>
        <v>93769.24254518954</v>
      </c>
      <c r="H4" s="33">
        <v>0</v>
      </c>
      <c r="I4" s="34"/>
    </row>
    <row r="5" spans="1:9" ht="17.25" customHeight="1" thickBot="1" x14ac:dyDescent="0.3">
      <c r="A5" s="425"/>
      <c r="B5" s="66"/>
      <c r="C5" s="66"/>
      <c r="D5" s="67"/>
      <c r="E5" s="68"/>
      <c r="F5" s="68"/>
      <c r="G5" s="68"/>
      <c r="H5" s="68"/>
      <c r="I5" s="68"/>
    </row>
    <row r="6" spans="1:9" ht="60" customHeight="1" x14ac:dyDescent="0.25">
      <c r="A6" s="425"/>
      <c r="B6" s="60" t="s">
        <v>41</v>
      </c>
      <c r="C6" s="11" t="s">
        <v>33</v>
      </c>
      <c r="D6" s="12" t="s">
        <v>43</v>
      </c>
      <c r="E6" s="13">
        <f>SUM(F6:H6)</f>
        <v>62282</v>
      </c>
      <c r="F6" s="100">
        <v>62282</v>
      </c>
      <c r="G6" s="36" t="s">
        <v>8</v>
      </c>
      <c r="H6" s="99">
        <v>0</v>
      </c>
      <c r="I6" s="15"/>
    </row>
    <row r="7" spans="1:9" ht="45" x14ac:dyDescent="0.25">
      <c r="A7" s="425"/>
      <c r="B7" s="61" t="s">
        <v>50</v>
      </c>
      <c r="C7" s="3"/>
      <c r="D7" s="7" t="s">
        <v>51</v>
      </c>
      <c r="E7" s="8"/>
      <c r="F7" s="9">
        <f>F6/F4</f>
        <v>0.57833987984139812</v>
      </c>
      <c r="G7" s="4"/>
      <c r="H7" s="4"/>
      <c r="I7" s="21"/>
    </row>
    <row r="8" spans="1:9" ht="15.75" thickBot="1" x14ac:dyDescent="0.3">
      <c r="A8" s="425"/>
      <c r="B8" s="62" t="s">
        <v>52</v>
      </c>
      <c r="C8" s="18"/>
      <c r="D8" s="49"/>
      <c r="E8" s="18"/>
      <c r="F8" s="92">
        <f>F6/F3</f>
        <v>8.2796925392102899E-2</v>
      </c>
      <c r="G8" s="18"/>
      <c r="H8" s="18"/>
      <c r="I8" s="19"/>
    </row>
    <row r="9" spans="1:9" ht="14.25" customHeight="1" thickBot="1" x14ac:dyDescent="0.3">
      <c r="A9" s="425"/>
      <c r="B9" s="66"/>
      <c r="C9" s="66"/>
      <c r="D9" s="67"/>
      <c r="E9" s="68"/>
      <c r="F9" s="68"/>
      <c r="G9" s="68"/>
      <c r="H9" s="68"/>
      <c r="I9" s="68"/>
    </row>
    <row r="10" spans="1:9" ht="30" customHeight="1" x14ac:dyDescent="0.25">
      <c r="A10" s="425"/>
      <c r="B10" s="63" t="s">
        <v>44</v>
      </c>
      <c r="C10" s="13"/>
      <c r="D10" s="12" t="s">
        <v>45</v>
      </c>
      <c r="E10" s="13">
        <f>E4</f>
        <v>201460.24254518954</v>
      </c>
      <c r="F10" s="13">
        <f>F4</f>
        <v>107691</v>
      </c>
      <c r="G10" s="13">
        <f>G4</f>
        <v>93769.24254518954</v>
      </c>
      <c r="H10" s="13">
        <f>H4</f>
        <v>0</v>
      </c>
      <c r="I10" s="15">
        <f>I4</f>
        <v>0</v>
      </c>
    </row>
    <row r="11" spans="1:9" ht="15.75" thickBot="1" x14ac:dyDescent="0.3">
      <c r="A11" s="425"/>
      <c r="B11" s="64" t="s">
        <v>49</v>
      </c>
      <c r="C11" s="4"/>
      <c r="D11" s="44"/>
      <c r="E11" s="9">
        <f>E10/E3</f>
        <v>0.15751892167394696</v>
      </c>
      <c r="F11" s="9">
        <f>F10/F3</f>
        <v>0.14316309194311283</v>
      </c>
      <c r="G11" s="9">
        <f t="shared" ref="G11" si="0">G10/G3</f>
        <v>0.17802044402987763</v>
      </c>
      <c r="H11" s="8"/>
      <c r="I11" s="23"/>
    </row>
    <row r="12" spans="1:9" ht="45" x14ac:dyDescent="0.25">
      <c r="A12" s="425"/>
      <c r="B12" s="65" t="s">
        <v>46</v>
      </c>
      <c r="C12" s="3"/>
      <c r="D12" s="44" t="s">
        <v>47</v>
      </c>
      <c r="E12" s="4">
        <f>E10-E6</f>
        <v>139178.24254518954</v>
      </c>
      <c r="F12" s="4">
        <f>F10-F6</f>
        <v>45409</v>
      </c>
      <c r="G12" s="142">
        <f>F12*G10/F10</f>
        <v>39538.750078785706</v>
      </c>
      <c r="H12" s="4">
        <f>H10-H6</f>
        <v>0</v>
      </c>
      <c r="I12" s="21">
        <f>I10-I6</f>
        <v>0</v>
      </c>
    </row>
    <row r="13" spans="1:9" ht="30.75" thickBot="1" x14ac:dyDescent="0.3">
      <c r="A13" s="426"/>
      <c r="B13" s="62" t="s">
        <v>48</v>
      </c>
      <c r="C13" s="16"/>
      <c r="D13" s="46"/>
      <c r="E13" s="16"/>
      <c r="F13" s="17">
        <f>F12/F3</f>
        <v>6.0366166551009938E-2</v>
      </c>
      <c r="G13" s="16"/>
      <c r="H13" s="16"/>
      <c r="I13" s="25"/>
    </row>
    <row r="14" spans="1:9" ht="30.75" customHeight="1" x14ac:dyDescent="0.25">
      <c r="A14" s="85"/>
      <c r="B14" s="427" t="s">
        <v>2183</v>
      </c>
      <c r="C14" s="427"/>
      <c r="D14" s="427"/>
      <c r="E14" s="427"/>
      <c r="F14" s="427"/>
      <c r="G14" s="427"/>
      <c r="H14" s="427"/>
      <c r="I14" s="427"/>
    </row>
    <row r="15" spans="1:9" x14ac:dyDescent="0.25">
      <c r="A15" s="56"/>
      <c r="B15" s="56"/>
      <c r="F15" s="57"/>
    </row>
    <row r="16" spans="1:9" ht="15.75" thickBot="1" x14ac:dyDescent="0.3">
      <c r="A16" s="56"/>
      <c r="B16" s="87" t="s">
        <v>2174</v>
      </c>
      <c r="C16" s="96" t="s">
        <v>2187</v>
      </c>
      <c r="D16" s="88"/>
      <c r="E16" s="87"/>
      <c r="F16" s="89"/>
      <c r="G16" s="87"/>
      <c r="H16" s="87"/>
      <c r="I16" s="87"/>
    </row>
    <row r="17" spans="1:9" ht="15.75" thickBot="1" x14ac:dyDescent="0.3">
      <c r="A17" s="56"/>
      <c r="B17" s="56"/>
      <c r="C17" s="80" t="s">
        <v>23</v>
      </c>
      <c r="D17" s="81" t="s">
        <v>36</v>
      </c>
      <c r="E17" s="82" t="s">
        <v>21</v>
      </c>
      <c r="F17" s="82" t="s">
        <v>13</v>
      </c>
      <c r="G17" s="82" t="s">
        <v>14</v>
      </c>
      <c r="H17" s="82" t="s">
        <v>15</v>
      </c>
      <c r="I17" s="83" t="s">
        <v>29</v>
      </c>
    </row>
    <row r="18" spans="1:9" ht="15.75" thickBot="1" x14ac:dyDescent="0.3">
      <c r="A18" s="428" t="s">
        <v>2137</v>
      </c>
      <c r="B18" s="40" t="s">
        <v>2142</v>
      </c>
      <c r="C18" s="5" t="s">
        <v>24</v>
      </c>
      <c r="D18" s="48"/>
      <c r="E18" s="35">
        <f>SUM(F18:I18)</f>
        <v>224</v>
      </c>
      <c r="F18" s="37">
        <v>100</v>
      </c>
      <c r="G18" s="38">
        <v>124</v>
      </c>
      <c r="H18" s="38">
        <v>0</v>
      </c>
      <c r="I18" s="6">
        <v>0</v>
      </c>
    </row>
    <row r="19" spans="1:9" ht="30.75" thickBot="1" x14ac:dyDescent="0.3">
      <c r="A19" s="429"/>
      <c r="B19" s="30" t="s">
        <v>2143</v>
      </c>
      <c r="C19" s="31" t="s">
        <v>33</v>
      </c>
      <c r="D19" s="32" t="s">
        <v>2144</v>
      </c>
      <c r="E19" s="33">
        <f>SUM(F19:I19)</f>
        <v>20.16</v>
      </c>
      <c r="F19" s="33">
        <v>9</v>
      </c>
      <c r="G19" s="245">
        <f>MAX(F19*G18/F18,G18*'Details-GLOBAL-202301-202303'!H19/'Details-GLOBAL-202301-202303'!H18)</f>
        <v>11.16</v>
      </c>
      <c r="H19" s="33">
        <v>0</v>
      </c>
      <c r="I19" s="34"/>
    </row>
    <row r="20" spans="1:9" ht="15.75" thickBot="1" x14ac:dyDescent="0.3">
      <c r="A20" s="429"/>
      <c r="B20" s="69"/>
      <c r="C20" s="66"/>
      <c r="D20" s="67"/>
      <c r="E20" s="68"/>
      <c r="F20" s="68"/>
      <c r="G20" s="68"/>
      <c r="H20" s="68"/>
      <c r="I20" s="70"/>
    </row>
    <row r="21" spans="1:9" ht="45" x14ac:dyDescent="0.25">
      <c r="A21" s="429"/>
      <c r="B21" s="41" t="s">
        <v>2145</v>
      </c>
      <c r="C21" s="11" t="s">
        <v>33</v>
      </c>
      <c r="D21" s="12" t="s">
        <v>2146</v>
      </c>
      <c r="E21" s="13">
        <f>SUM(F21:H21)</f>
        <v>4</v>
      </c>
      <c r="F21" s="100">
        <v>4</v>
      </c>
      <c r="G21" s="36" t="s">
        <v>8</v>
      </c>
      <c r="H21" s="14">
        <v>0</v>
      </c>
      <c r="I21" s="15"/>
    </row>
    <row r="22" spans="1:9" ht="45" x14ac:dyDescent="0.25">
      <c r="A22" s="429"/>
      <c r="B22" s="42" t="s">
        <v>2141</v>
      </c>
      <c r="C22" s="3"/>
      <c r="D22" s="7" t="s">
        <v>2147</v>
      </c>
      <c r="E22" s="8"/>
      <c r="F22" s="9">
        <f>F21/F19</f>
        <v>0.44444444444444442</v>
      </c>
      <c r="G22" s="4"/>
      <c r="H22" s="4"/>
      <c r="I22" s="21"/>
    </row>
    <row r="23" spans="1:9" ht="15.75" thickBot="1" x14ac:dyDescent="0.3">
      <c r="A23" s="429"/>
      <c r="B23" s="43" t="s">
        <v>52</v>
      </c>
      <c r="C23" s="18"/>
      <c r="D23" s="49"/>
      <c r="E23" s="18"/>
      <c r="F23" s="22">
        <f>F21/F18</f>
        <v>0.04</v>
      </c>
      <c r="G23" s="18"/>
      <c r="H23" s="18"/>
      <c r="I23" s="19"/>
    </row>
    <row r="24" spans="1:9" ht="15.75" thickBot="1" x14ac:dyDescent="0.3">
      <c r="A24" s="429"/>
      <c r="B24" s="69"/>
      <c r="C24" s="66"/>
      <c r="D24" s="67"/>
      <c r="E24" s="68"/>
      <c r="F24" s="68"/>
      <c r="G24" s="68"/>
      <c r="H24" s="68"/>
      <c r="I24" s="70"/>
    </row>
    <row r="25" spans="1:9" ht="30" x14ac:dyDescent="0.25">
      <c r="A25" s="429"/>
      <c r="B25" s="10" t="s">
        <v>44</v>
      </c>
      <c r="C25" s="13"/>
      <c r="D25" s="12" t="s">
        <v>2184</v>
      </c>
      <c r="E25" s="13">
        <f>SUM(F25:I25)</f>
        <v>20.16</v>
      </c>
      <c r="F25" s="13">
        <f>F19</f>
        <v>9</v>
      </c>
      <c r="G25" s="13">
        <f t="shared" ref="G25:I25" si="1">G19</f>
        <v>11.16</v>
      </c>
      <c r="H25" s="13">
        <f t="shared" si="1"/>
        <v>0</v>
      </c>
      <c r="I25" s="13">
        <f t="shared" si="1"/>
        <v>0</v>
      </c>
    </row>
    <row r="26" spans="1:9" ht="15.75" thickBot="1" x14ac:dyDescent="0.3">
      <c r="A26" s="429"/>
      <c r="B26" s="20" t="s">
        <v>49</v>
      </c>
      <c r="C26" s="4"/>
      <c r="D26" s="44"/>
      <c r="E26" s="9">
        <f>E25/E18</f>
        <v>0.09</v>
      </c>
      <c r="F26" s="9">
        <f>F25/F18</f>
        <v>0.09</v>
      </c>
      <c r="G26" s="9">
        <f t="shared" ref="G26" si="2">G25/G18</f>
        <v>0.09</v>
      </c>
      <c r="H26" s="8"/>
      <c r="I26" s="23"/>
    </row>
    <row r="27" spans="1:9" ht="60" x14ac:dyDescent="0.25">
      <c r="A27" s="429"/>
      <c r="B27" s="24" t="s">
        <v>46</v>
      </c>
      <c r="C27" s="3"/>
      <c r="D27" s="12" t="s">
        <v>56</v>
      </c>
      <c r="E27" s="93">
        <f>E25-E21</f>
        <v>16.16</v>
      </c>
      <c r="F27" s="4">
        <f>F25-F21</f>
        <v>5</v>
      </c>
      <c r="G27" s="142">
        <f>F27*G25/F25</f>
        <v>6.1999999999999993</v>
      </c>
      <c r="H27" s="4">
        <f>H25-H21</f>
        <v>0</v>
      </c>
      <c r="I27" s="21">
        <f>I25-I21</f>
        <v>0</v>
      </c>
    </row>
    <row r="28" spans="1:9" ht="30.75" thickBot="1" x14ac:dyDescent="0.3">
      <c r="A28" s="430"/>
      <c r="B28" s="43" t="s">
        <v>48</v>
      </c>
      <c r="C28" s="16"/>
      <c r="D28" s="46"/>
      <c r="E28" s="16"/>
      <c r="F28" s="17">
        <f>F27/F18</f>
        <v>0.05</v>
      </c>
      <c r="G28" s="16"/>
      <c r="H28" s="16"/>
      <c r="I28" s="25"/>
    </row>
    <row r="29" spans="1:9" x14ac:dyDescent="0.25">
      <c r="A29" s="56"/>
      <c r="B29" s="431" t="s">
        <v>2173</v>
      </c>
      <c r="C29" s="431"/>
      <c r="D29" s="431"/>
      <c r="E29" s="431"/>
      <c r="F29" s="431"/>
      <c r="G29" s="431"/>
      <c r="H29" s="431"/>
      <c r="I29" s="431"/>
    </row>
    <row r="30" spans="1:9" x14ac:dyDescent="0.25">
      <c r="A30" s="56"/>
      <c r="B30" s="90"/>
      <c r="C30" s="90"/>
      <c r="D30" s="90"/>
      <c r="E30" s="90"/>
      <c r="F30" s="90"/>
      <c r="G30" s="90"/>
      <c r="H30" s="90"/>
      <c r="I30" s="90"/>
    </row>
    <row r="31" spans="1:9" x14ac:dyDescent="0.25">
      <c r="A31" s="56"/>
      <c r="B31" s="90"/>
      <c r="C31" s="90"/>
      <c r="D31" s="90"/>
      <c r="E31" s="90"/>
      <c r="F31" s="90"/>
      <c r="G31" s="90"/>
      <c r="H31" s="90"/>
      <c r="I31" s="90"/>
    </row>
    <row r="32" spans="1:9" ht="15.75" thickBot="1" x14ac:dyDescent="0.3">
      <c r="A32" s="56"/>
      <c r="B32" s="87" t="s">
        <v>2174</v>
      </c>
      <c r="C32" s="96" t="s">
        <v>2189</v>
      </c>
      <c r="D32" s="88"/>
      <c r="E32" s="87"/>
      <c r="F32" s="89"/>
      <c r="G32" s="87"/>
      <c r="H32" s="87"/>
      <c r="I32" s="87"/>
    </row>
    <row r="33" spans="1:9" ht="15.75" thickBot="1" x14ac:dyDescent="0.3">
      <c r="A33" s="56"/>
      <c r="B33" s="56"/>
      <c r="C33" s="80" t="s">
        <v>23</v>
      </c>
      <c r="D33" s="81" t="s">
        <v>36</v>
      </c>
      <c r="E33" s="82" t="s">
        <v>21</v>
      </c>
      <c r="F33" s="82" t="s">
        <v>13</v>
      </c>
      <c r="G33" s="82" t="s">
        <v>14</v>
      </c>
      <c r="H33" s="82" t="s">
        <v>15</v>
      </c>
      <c r="I33" s="83" t="s">
        <v>29</v>
      </c>
    </row>
    <row r="34" spans="1:9" ht="15.75" thickBot="1" x14ac:dyDescent="0.3">
      <c r="A34" s="438" t="s">
        <v>2138</v>
      </c>
      <c r="B34" s="78" t="s">
        <v>2148</v>
      </c>
      <c r="C34" s="71" t="s">
        <v>24</v>
      </c>
      <c r="D34" s="72"/>
      <c r="E34" s="73">
        <f>SUM(F34:I34)</f>
        <v>4764</v>
      </c>
      <c r="F34" s="74">
        <v>3054</v>
      </c>
      <c r="G34" s="75">
        <v>1710</v>
      </c>
      <c r="H34" s="75"/>
      <c r="I34" s="76"/>
    </row>
    <row r="35" spans="1:9" ht="30.75" customHeight="1" thickBot="1" x14ac:dyDescent="0.3">
      <c r="A35" s="439"/>
      <c r="B35" s="58" t="s">
        <v>2149</v>
      </c>
      <c r="C35" s="5" t="s">
        <v>33</v>
      </c>
      <c r="D35" s="47" t="s">
        <v>2150</v>
      </c>
      <c r="E35" s="77">
        <f>SUM(F35:I35)</f>
        <v>534</v>
      </c>
      <c r="F35" s="77">
        <v>274</v>
      </c>
      <c r="G35" s="246">
        <f>MAX(260,F35*G34/F34,G34*'Details-GLOBAL-202301-202303'!H35/'Details-GLOBAL-202301-202303'!H34)</f>
        <v>260</v>
      </c>
      <c r="H35" s="77"/>
      <c r="I35" s="6"/>
    </row>
    <row r="36" spans="1:9" ht="15.75" thickBot="1" x14ac:dyDescent="0.3">
      <c r="A36" s="439"/>
      <c r="B36" s="66"/>
      <c r="C36" s="66"/>
      <c r="D36" s="67"/>
      <c r="E36" s="68"/>
      <c r="F36" s="68"/>
      <c r="G36" s="68"/>
      <c r="H36" s="68"/>
      <c r="I36" s="70"/>
    </row>
    <row r="37" spans="1:9" ht="45" x14ac:dyDescent="0.25">
      <c r="A37" s="439"/>
      <c r="B37" s="60" t="s">
        <v>2151</v>
      </c>
      <c r="C37" s="11" t="s">
        <v>33</v>
      </c>
      <c r="D37" s="12" t="s">
        <v>2152</v>
      </c>
      <c r="E37" s="13">
        <f>SUM(F37:H37)</f>
        <v>148</v>
      </c>
      <c r="F37" s="100">
        <v>148</v>
      </c>
      <c r="G37" s="36" t="s">
        <v>8</v>
      </c>
      <c r="H37" s="14"/>
      <c r="I37" s="15"/>
    </row>
    <row r="38" spans="1:9" ht="45" x14ac:dyDescent="0.25">
      <c r="A38" s="439"/>
      <c r="B38" s="61" t="s">
        <v>2141</v>
      </c>
      <c r="C38" s="3"/>
      <c r="D38" s="7" t="s">
        <v>2153</v>
      </c>
      <c r="E38" s="8"/>
      <c r="F38" s="9">
        <f t="shared" ref="F38" si="3">F37/F35</f>
        <v>0.54014598540145986</v>
      </c>
      <c r="G38" s="4"/>
      <c r="H38" s="4"/>
      <c r="I38" s="21"/>
    </row>
    <row r="39" spans="1:9" ht="15.75" thickBot="1" x14ac:dyDescent="0.3">
      <c r="A39" s="439"/>
      <c r="B39" s="62" t="s">
        <v>52</v>
      </c>
      <c r="C39" s="18"/>
      <c r="D39" s="49"/>
      <c r="E39" s="18"/>
      <c r="F39" s="92">
        <f>F37/F34</f>
        <v>4.8461034708578911E-2</v>
      </c>
      <c r="G39" s="18"/>
      <c r="H39" s="18"/>
      <c r="I39" s="19"/>
    </row>
    <row r="40" spans="1:9" ht="15.75" thickBot="1" x14ac:dyDescent="0.3">
      <c r="A40" s="439"/>
      <c r="B40" s="66"/>
      <c r="C40" s="66"/>
      <c r="D40" s="67"/>
      <c r="E40" s="68"/>
      <c r="F40" s="68"/>
      <c r="G40" s="68"/>
      <c r="H40" s="68"/>
      <c r="I40" s="70"/>
    </row>
    <row r="41" spans="1:9" ht="75" customHeight="1" x14ac:dyDescent="0.25">
      <c r="A41" s="439"/>
      <c r="B41" s="63" t="s">
        <v>44</v>
      </c>
      <c r="C41" s="13"/>
      <c r="D41" s="12" t="s">
        <v>2185</v>
      </c>
      <c r="E41" s="13">
        <f>SUM(F41:I41)</f>
        <v>534</v>
      </c>
      <c r="F41" s="13">
        <f>F35</f>
        <v>274</v>
      </c>
      <c r="G41" s="13">
        <f t="shared" ref="G41:I41" si="4">G35</f>
        <v>260</v>
      </c>
      <c r="H41" s="13">
        <f t="shared" si="4"/>
        <v>0</v>
      </c>
      <c r="I41" s="13">
        <f t="shared" si="4"/>
        <v>0</v>
      </c>
    </row>
    <row r="42" spans="1:9" ht="15.75" thickBot="1" x14ac:dyDescent="0.3">
      <c r="A42" s="439"/>
      <c r="B42" s="64" t="s">
        <v>49</v>
      </c>
      <c r="C42" s="4"/>
      <c r="D42" s="44"/>
      <c r="E42" s="9">
        <f>E41/E34</f>
        <v>0.11209068010075567</v>
      </c>
      <c r="F42" s="9">
        <f>F41/F34</f>
        <v>8.9718402095612312E-2</v>
      </c>
      <c r="G42" s="9">
        <f>G41/G34</f>
        <v>0.15204678362573099</v>
      </c>
      <c r="H42" s="8"/>
      <c r="I42" s="23"/>
    </row>
    <row r="43" spans="1:9" ht="60" x14ac:dyDescent="0.25">
      <c r="A43" s="439"/>
      <c r="B43" s="65" t="s">
        <v>46</v>
      </c>
      <c r="C43" s="3"/>
      <c r="D43" s="12" t="s">
        <v>57</v>
      </c>
      <c r="E43" s="93">
        <f>E41-E37</f>
        <v>386</v>
      </c>
      <c r="F43" s="4">
        <f>F41-F37</f>
        <v>126</v>
      </c>
      <c r="G43" s="142">
        <f>F43*G41/F41</f>
        <v>119.56204379562044</v>
      </c>
      <c r="H43" s="4">
        <f>H41-H37</f>
        <v>0</v>
      </c>
      <c r="I43" s="21">
        <f>I41-I37</f>
        <v>0</v>
      </c>
    </row>
    <row r="44" spans="1:9" ht="30.75" thickBot="1" x14ac:dyDescent="0.3">
      <c r="A44" s="440"/>
      <c r="B44" s="62" t="s">
        <v>48</v>
      </c>
      <c r="C44" s="16"/>
      <c r="D44" s="46"/>
      <c r="E44" s="16"/>
      <c r="F44" s="22">
        <f>F43/F34</f>
        <v>4.1257367387033402E-2</v>
      </c>
      <c r="G44" s="16"/>
      <c r="H44" s="16"/>
      <c r="I44" s="25"/>
    </row>
    <row r="45" spans="1:9" ht="15" customHeight="1" x14ac:dyDescent="0.25">
      <c r="A45" s="56"/>
      <c r="B45" s="431" t="s">
        <v>2176</v>
      </c>
      <c r="C45" s="431"/>
      <c r="D45" s="431"/>
      <c r="E45" s="431"/>
      <c r="F45" s="431"/>
      <c r="G45" s="431"/>
      <c r="H45" s="431"/>
      <c r="I45" s="431"/>
    </row>
    <row r="46" spans="1:9" ht="55.5" customHeight="1" x14ac:dyDescent="0.25">
      <c r="A46" s="56"/>
      <c r="B46" s="441" t="s">
        <v>2177</v>
      </c>
      <c r="C46" s="441"/>
      <c r="D46" s="441"/>
      <c r="E46" s="441"/>
      <c r="F46" s="441"/>
      <c r="G46" s="441"/>
      <c r="H46" s="441"/>
      <c r="I46" s="441"/>
    </row>
    <row r="47" spans="1:9" x14ac:dyDescent="0.25">
      <c r="A47" s="56"/>
      <c r="B47" s="56"/>
      <c r="F47" s="57"/>
    </row>
    <row r="48" spans="1:9" ht="15.75" thickBot="1" x14ac:dyDescent="0.3">
      <c r="A48" s="56"/>
      <c r="B48" s="87" t="s">
        <v>2174</v>
      </c>
      <c r="C48" s="96" t="s">
        <v>2188</v>
      </c>
      <c r="D48" s="88"/>
      <c r="E48" s="87"/>
      <c r="F48" s="89"/>
      <c r="G48" s="87"/>
      <c r="H48" s="87"/>
      <c r="I48" s="87"/>
    </row>
    <row r="49" spans="1:9" ht="15.75" thickBot="1" x14ac:dyDescent="0.3">
      <c r="A49" s="56"/>
      <c r="B49" s="56"/>
      <c r="C49" s="80" t="s">
        <v>23</v>
      </c>
      <c r="D49" s="81" t="s">
        <v>36</v>
      </c>
      <c r="E49" s="82" t="s">
        <v>21</v>
      </c>
      <c r="F49" s="82" t="s">
        <v>13</v>
      </c>
      <c r="G49" s="82" t="s">
        <v>14</v>
      </c>
      <c r="H49" s="82" t="s">
        <v>15</v>
      </c>
      <c r="I49" s="83" t="s">
        <v>29</v>
      </c>
    </row>
    <row r="50" spans="1:9" ht="15.75" customHeight="1" thickBot="1" x14ac:dyDescent="0.3">
      <c r="A50" s="432" t="s">
        <v>2171</v>
      </c>
      <c r="B50" s="5" t="s">
        <v>2155</v>
      </c>
      <c r="C50" s="5" t="s">
        <v>24</v>
      </c>
      <c r="D50" s="48"/>
      <c r="E50" s="35">
        <f>SUM(F50:I50)</f>
        <v>6884</v>
      </c>
      <c r="F50" s="37">
        <v>5965</v>
      </c>
      <c r="G50" s="38">
        <v>919</v>
      </c>
      <c r="H50" s="38">
        <v>0</v>
      </c>
      <c r="I50" s="6">
        <v>0</v>
      </c>
    </row>
    <row r="51" spans="1:9" ht="30.75" thickBot="1" x14ac:dyDescent="0.3">
      <c r="A51" s="433"/>
      <c r="B51" s="30" t="s">
        <v>2156</v>
      </c>
      <c r="C51" s="31" t="s">
        <v>33</v>
      </c>
      <c r="D51" s="32" t="s">
        <v>2154</v>
      </c>
      <c r="E51" s="33">
        <f>SUM(F51:I51)</f>
        <v>3214.1965768078735</v>
      </c>
      <c r="F51" s="33">
        <v>1490</v>
      </c>
      <c r="G51" s="245">
        <f>MAX(F51*G50/F50,G50*'Details-GLOBAL-202301-202303'!H51/'Details-GLOBAL-202301-202303'!H50)</f>
        <v>1724.1965768078733</v>
      </c>
      <c r="H51" s="33">
        <v>0</v>
      </c>
      <c r="I51" s="34"/>
    </row>
    <row r="52" spans="1:9" ht="15.75" thickBot="1" x14ac:dyDescent="0.3">
      <c r="A52" s="433"/>
      <c r="B52" s="66"/>
      <c r="C52" s="66"/>
      <c r="D52" s="67"/>
      <c r="E52" s="68"/>
      <c r="F52" s="68"/>
      <c r="G52" s="68"/>
      <c r="H52" s="68"/>
      <c r="I52" s="70"/>
    </row>
    <row r="53" spans="1:9" ht="45" x14ac:dyDescent="0.25">
      <c r="A53" s="433"/>
      <c r="B53" s="41" t="s">
        <v>2157</v>
      </c>
      <c r="C53" s="11" t="s">
        <v>33</v>
      </c>
      <c r="D53" s="12" t="s">
        <v>2159</v>
      </c>
      <c r="E53" s="13">
        <f>SUM(F53:H53)</f>
        <v>929</v>
      </c>
      <c r="F53" s="100">
        <v>929</v>
      </c>
      <c r="G53" s="36" t="s">
        <v>8</v>
      </c>
      <c r="H53" s="14">
        <v>0</v>
      </c>
      <c r="I53" s="15"/>
    </row>
    <row r="54" spans="1:9" ht="45" x14ac:dyDescent="0.25">
      <c r="A54" s="433"/>
      <c r="B54" s="42" t="s">
        <v>2158</v>
      </c>
      <c r="C54" s="3"/>
      <c r="D54" s="7" t="s">
        <v>2160</v>
      </c>
      <c r="E54" s="8"/>
      <c r="F54" s="9">
        <f t="shared" ref="F54:H54" si="5">F53/F51</f>
        <v>0.62348993288590604</v>
      </c>
      <c r="G54" s="8"/>
      <c r="H54" s="8" t="e">
        <f t="shared" si="5"/>
        <v>#DIV/0!</v>
      </c>
      <c r="I54" s="21"/>
    </row>
    <row r="55" spans="1:9" ht="15.75" thickBot="1" x14ac:dyDescent="0.3">
      <c r="A55" s="433"/>
      <c r="B55" s="43" t="s">
        <v>52</v>
      </c>
      <c r="C55" s="18"/>
      <c r="D55" s="49"/>
      <c r="E55" s="18"/>
      <c r="F55" s="92">
        <f>F53/F50</f>
        <v>0.15574182732606873</v>
      </c>
      <c r="G55" s="18"/>
      <c r="H55" s="18"/>
      <c r="I55" s="19"/>
    </row>
    <row r="56" spans="1:9" ht="15.75" thickBot="1" x14ac:dyDescent="0.3">
      <c r="A56" s="433"/>
      <c r="B56" s="66"/>
      <c r="C56" s="66"/>
      <c r="D56" s="67"/>
      <c r="E56" s="68"/>
      <c r="F56" s="68"/>
      <c r="G56" s="68"/>
      <c r="H56" s="68"/>
      <c r="I56" s="70"/>
    </row>
    <row r="57" spans="1:9" ht="45" x14ac:dyDescent="0.25">
      <c r="A57" s="433"/>
      <c r="B57" s="10" t="s">
        <v>44</v>
      </c>
      <c r="C57" s="13"/>
      <c r="D57" s="12" t="s">
        <v>2186</v>
      </c>
      <c r="E57" s="13">
        <f>SUM(F57:I57)</f>
        <v>3214.1965768078735</v>
      </c>
      <c r="F57" s="13">
        <f>F51</f>
        <v>1490</v>
      </c>
      <c r="G57" s="13">
        <f t="shared" ref="G57:I57" si="6">G51</f>
        <v>1724.1965768078733</v>
      </c>
      <c r="H57" s="13">
        <f t="shared" si="6"/>
        <v>0</v>
      </c>
      <c r="I57" s="13">
        <f t="shared" si="6"/>
        <v>0</v>
      </c>
    </row>
    <row r="58" spans="1:9" ht="15.75" thickBot="1" x14ac:dyDescent="0.3">
      <c r="A58" s="433"/>
      <c r="B58" s="20" t="s">
        <v>49</v>
      </c>
      <c r="C58" s="4"/>
      <c r="D58" s="44"/>
      <c r="E58" s="9">
        <f>E57/E50</f>
        <v>0.46690827670073698</v>
      </c>
      <c r="F58" s="9">
        <f>F57/F50</f>
        <v>0.24979044425817268</v>
      </c>
      <c r="G58" s="9">
        <f t="shared" ref="G58:H58" si="7">G57/G50</f>
        <v>1.8761660248181429</v>
      </c>
      <c r="H58" s="8" t="e">
        <f t="shared" si="7"/>
        <v>#DIV/0!</v>
      </c>
      <c r="I58" s="8"/>
    </row>
    <row r="59" spans="1:9" ht="60" x14ac:dyDescent="0.25">
      <c r="A59" s="433"/>
      <c r="B59" s="24" t="s">
        <v>46</v>
      </c>
      <c r="C59" s="3"/>
      <c r="D59" s="12" t="s">
        <v>2161</v>
      </c>
      <c r="E59" s="93">
        <f>E57-E53</f>
        <v>2285.1965768078735</v>
      </c>
      <c r="F59" s="4">
        <f>F57-F53</f>
        <v>561</v>
      </c>
      <c r="G59" s="142">
        <f>F59*G57/F57</f>
        <v>649.17736885182342</v>
      </c>
      <c r="H59" s="4">
        <f t="shared" ref="H59:I59" si="8">H57-H53</f>
        <v>0</v>
      </c>
      <c r="I59" s="4">
        <f t="shared" si="8"/>
        <v>0</v>
      </c>
    </row>
    <row r="60" spans="1:9" ht="30.75" thickBot="1" x14ac:dyDescent="0.3">
      <c r="A60" s="434"/>
      <c r="B60" s="43" t="s">
        <v>48</v>
      </c>
      <c r="C60" s="16"/>
      <c r="D60" s="46"/>
      <c r="E60" s="16"/>
      <c r="F60" s="17">
        <f>F59/F50</f>
        <v>9.4048616932103937E-2</v>
      </c>
      <c r="G60" s="16"/>
      <c r="H60" s="16"/>
      <c r="I60" s="25"/>
    </row>
    <row r="61" spans="1:9" x14ac:dyDescent="0.25">
      <c r="A61" s="56"/>
      <c r="B61" s="431" t="s">
        <v>2178</v>
      </c>
      <c r="C61" s="431"/>
      <c r="D61" s="431"/>
      <c r="E61" s="431"/>
      <c r="F61" s="431"/>
      <c r="G61" s="431"/>
      <c r="H61" s="431"/>
      <c r="I61" s="431"/>
    </row>
    <row r="62" spans="1:9" ht="15.75" thickBot="1" x14ac:dyDescent="0.3">
      <c r="A62" s="56"/>
      <c r="B62" s="56"/>
      <c r="F62" s="57"/>
    </row>
    <row r="63" spans="1:9" ht="15.75" thickBot="1" x14ac:dyDescent="0.3">
      <c r="A63" s="56"/>
      <c r="B63" s="56"/>
      <c r="C63" s="80" t="s">
        <v>23</v>
      </c>
      <c r="D63" s="81" t="s">
        <v>36</v>
      </c>
      <c r="E63" s="82" t="s">
        <v>21</v>
      </c>
      <c r="F63" s="82" t="s">
        <v>13</v>
      </c>
      <c r="G63" s="82" t="s">
        <v>14</v>
      </c>
      <c r="H63" s="82" t="s">
        <v>15</v>
      </c>
      <c r="I63" s="83" t="s">
        <v>29</v>
      </c>
    </row>
    <row r="64" spans="1:9" ht="15.75" customHeight="1" thickBot="1" x14ac:dyDescent="0.3">
      <c r="A64" s="432" t="s">
        <v>2139</v>
      </c>
      <c r="B64" s="5" t="s">
        <v>2162</v>
      </c>
      <c r="C64" s="5" t="s">
        <v>24</v>
      </c>
      <c r="D64" s="48"/>
      <c r="E64" s="35">
        <f>SUM(F64:I64)</f>
        <v>1293133</v>
      </c>
      <c r="F64" s="37">
        <f>F3+F18+F34+F50+F80</f>
        <v>763098</v>
      </c>
      <c r="G64" s="37">
        <f t="shared" ref="G64:H65" si="9">G3+G18+G34+G50+G80</f>
        <v>530035</v>
      </c>
      <c r="H64" s="37">
        <f t="shared" si="9"/>
        <v>0</v>
      </c>
      <c r="I64" s="37">
        <f>I3+I18+I34+I50</f>
        <v>0</v>
      </c>
    </row>
    <row r="65" spans="1:9" ht="30.75" thickBot="1" x14ac:dyDescent="0.3">
      <c r="A65" s="433"/>
      <c r="B65" s="30" t="s">
        <v>2163</v>
      </c>
      <c r="C65" s="31" t="s">
        <v>33</v>
      </c>
      <c r="D65" s="32" t="s">
        <v>2164</v>
      </c>
      <c r="E65" s="33">
        <f>SUM(F65:I65)</f>
        <v>205330.07254110998</v>
      </c>
      <c r="F65" s="37">
        <f>F4+F19+F35+F51+F81</f>
        <v>109534</v>
      </c>
      <c r="G65" s="37">
        <f t="shared" si="9"/>
        <v>95796.072541109999</v>
      </c>
      <c r="H65" s="37">
        <f t="shared" si="9"/>
        <v>0</v>
      </c>
      <c r="I65" s="37">
        <f>I4+I19+I35+I51+I81</f>
        <v>0</v>
      </c>
    </row>
    <row r="66" spans="1:9" ht="15.75" thickBot="1" x14ac:dyDescent="0.3">
      <c r="A66" s="433"/>
      <c r="B66" s="66"/>
      <c r="C66" s="66"/>
      <c r="D66" s="67"/>
      <c r="E66" s="68"/>
      <c r="F66" s="68"/>
      <c r="G66" s="68"/>
      <c r="H66" s="68"/>
      <c r="I66" s="70"/>
    </row>
    <row r="67" spans="1:9" ht="45.75" thickBot="1" x14ac:dyDescent="0.3">
      <c r="A67" s="433"/>
      <c r="B67" s="41" t="s">
        <v>2151</v>
      </c>
      <c r="C67" s="11" t="s">
        <v>33</v>
      </c>
      <c r="D67" s="12" t="s">
        <v>2165</v>
      </c>
      <c r="E67" s="13">
        <f>SUM(F67:H67)</f>
        <v>63378</v>
      </c>
      <c r="F67" s="100">
        <f>F6+F21+F37+F53+F83</f>
        <v>63378</v>
      </c>
      <c r="G67" s="36" t="s">
        <v>8</v>
      </c>
      <c r="H67" s="91">
        <f>H6+H21+H37+H53</f>
        <v>0</v>
      </c>
      <c r="I67" s="91">
        <f>I6+I21+I37+I53</f>
        <v>0</v>
      </c>
    </row>
    <row r="68" spans="1:9" ht="45" x14ac:dyDescent="0.25">
      <c r="A68" s="433"/>
      <c r="B68" s="42" t="s">
        <v>2141</v>
      </c>
      <c r="C68" s="3"/>
      <c r="D68" s="7" t="s">
        <v>2166</v>
      </c>
      <c r="E68" s="8"/>
      <c r="F68" s="9">
        <f>F67/F65</f>
        <v>0.57861485931308998</v>
      </c>
      <c r="G68" s="4"/>
      <c r="H68" s="4"/>
      <c r="I68" s="21"/>
    </row>
    <row r="69" spans="1:9" ht="15.75" thickBot="1" x14ac:dyDescent="0.3">
      <c r="A69" s="433"/>
      <c r="B69" s="43" t="s">
        <v>52</v>
      </c>
      <c r="C69" s="18"/>
      <c r="D69" s="49"/>
      <c r="E69" s="18"/>
      <c r="F69" s="92">
        <f>F67/F64</f>
        <v>8.3053552754692062E-2</v>
      </c>
      <c r="G69" s="18"/>
      <c r="H69" s="18"/>
      <c r="I69" s="19"/>
    </row>
    <row r="70" spans="1:9" ht="15.75" thickBot="1" x14ac:dyDescent="0.3">
      <c r="A70" s="433"/>
      <c r="B70" s="66"/>
      <c r="C70" s="66"/>
      <c r="D70" s="67"/>
      <c r="E70" s="68"/>
      <c r="F70" s="68"/>
      <c r="G70" s="68"/>
      <c r="H70" s="68"/>
      <c r="I70" s="70"/>
    </row>
    <row r="71" spans="1:9" ht="45" customHeight="1" x14ac:dyDescent="0.25">
      <c r="A71" s="433"/>
      <c r="B71" s="10" t="s">
        <v>44</v>
      </c>
      <c r="C71" s="13"/>
      <c r="D71" s="12" t="s">
        <v>2167</v>
      </c>
      <c r="E71" s="13">
        <f>SUM(F71:I71)</f>
        <v>205330.07254110998</v>
      </c>
      <c r="F71" s="13">
        <f>F41+F25+F10+F57+F87</f>
        <v>109534</v>
      </c>
      <c r="G71" s="13">
        <f>G41+G25+G10+G57+G87</f>
        <v>95796.072541109999</v>
      </c>
      <c r="H71" s="13">
        <f>H41+H25+H10+H57+H87</f>
        <v>0</v>
      </c>
      <c r="I71" s="13">
        <f>I41+I25+I10+I57+I87</f>
        <v>0</v>
      </c>
    </row>
    <row r="72" spans="1:9" ht="15.75" thickBot="1" x14ac:dyDescent="0.3">
      <c r="A72" s="433"/>
      <c r="B72" s="20" t="s">
        <v>49</v>
      </c>
      <c r="C72" s="4"/>
      <c r="D72" s="44"/>
      <c r="E72" s="9">
        <f>E71/E64</f>
        <v>0.1587849606661573</v>
      </c>
      <c r="F72" s="9">
        <f>F71/F64</f>
        <v>0.14353857564821293</v>
      </c>
      <c r="G72" s="9">
        <f t="shared" ref="G72" si="10">G71/G64</f>
        <v>0.18073537132662937</v>
      </c>
      <c r="H72" s="8"/>
      <c r="I72" s="23"/>
    </row>
    <row r="73" spans="1:9" ht="60" x14ac:dyDescent="0.25">
      <c r="A73" s="433"/>
      <c r="B73" s="24" t="s">
        <v>46</v>
      </c>
      <c r="C73" s="3"/>
      <c r="D73" s="12" t="s">
        <v>2140</v>
      </c>
      <c r="E73" s="4">
        <f>E71-E67</f>
        <v>141952.07254110998</v>
      </c>
      <c r="F73" s="13">
        <f>F43+F27+F12+F59+F89</f>
        <v>46156</v>
      </c>
      <c r="G73" s="142">
        <f>F73*G71/F71</f>
        <v>40367.041504989073</v>
      </c>
      <c r="H73" s="13">
        <f>H43+H27+H12+H59</f>
        <v>0</v>
      </c>
      <c r="I73" s="15">
        <f>I43+I27+I12+I59</f>
        <v>0</v>
      </c>
    </row>
    <row r="74" spans="1:9" ht="30.75" thickBot="1" x14ac:dyDescent="0.3">
      <c r="A74" s="434"/>
      <c r="B74" s="43" t="s">
        <v>48</v>
      </c>
      <c r="C74" s="16"/>
      <c r="D74" s="46"/>
      <c r="E74" s="16"/>
      <c r="F74" s="17">
        <f>F73/F64</f>
        <v>6.0485022893520882E-2</v>
      </c>
      <c r="G74" s="16"/>
      <c r="H74" s="16"/>
      <c r="I74" s="25"/>
    </row>
    <row r="78" spans="1:9" ht="15.75" thickBot="1" x14ac:dyDescent="0.3">
      <c r="A78" s="56"/>
      <c r="B78" s="87" t="s">
        <v>2174</v>
      </c>
      <c r="C78" s="96" t="s">
        <v>2190</v>
      </c>
      <c r="D78" s="88"/>
      <c r="E78" s="87"/>
      <c r="F78" s="89"/>
      <c r="G78" s="87"/>
      <c r="H78" s="87"/>
      <c r="I78" s="87"/>
    </row>
    <row r="79" spans="1:9" ht="15.75" thickBot="1" x14ac:dyDescent="0.3">
      <c r="A79" s="56"/>
      <c r="B79" s="56"/>
      <c r="C79" s="80" t="s">
        <v>23</v>
      </c>
      <c r="D79" s="81" t="s">
        <v>36</v>
      </c>
      <c r="E79" s="82" t="s">
        <v>21</v>
      </c>
      <c r="F79" s="82" t="s">
        <v>13</v>
      </c>
      <c r="G79" s="82" t="s">
        <v>14</v>
      </c>
      <c r="H79" s="82" t="s">
        <v>15</v>
      </c>
      <c r="I79" s="83" t="s">
        <v>29</v>
      </c>
    </row>
    <row r="80" spans="1:9" ht="15.75" thickBot="1" x14ac:dyDescent="0.3">
      <c r="A80" s="432" t="s">
        <v>2191</v>
      </c>
      <c r="B80" s="5" t="s">
        <v>2192</v>
      </c>
      <c r="C80" s="5" t="s">
        <v>24</v>
      </c>
      <c r="D80" s="48"/>
      <c r="E80" s="35">
        <f>SUM(F80:I80)</f>
        <v>2302</v>
      </c>
      <c r="F80" s="37">
        <v>1753</v>
      </c>
      <c r="G80" s="38">
        <v>549</v>
      </c>
      <c r="H80" s="38">
        <v>0</v>
      </c>
      <c r="I80" s="6">
        <v>0</v>
      </c>
    </row>
    <row r="81" spans="1:9" ht="30.75" thickBot="1" x14ac:dyDescent="0.3">
      <c r="A81" s="433"/>
      <c r="B81" s="30" t="s">
        <v>2193</v>
      </c>
      <c r="C81" s="31" t="s">
        <v>33</v>
      </c>
      <c r="D81" s="32" t="s">
        <v>2197</v>
      </c>
      <c r="E81" s="33">
        <f>SUM(F81:I81)</f>
        <v>101.47341911259673</v>
      </c>
      <c r="F81" s="33">
        <v>70</v>
      </c>
      <c r="G81" s="245">
        <f>MAX(F81*G80/F80,G80*'Details-GLOBAL-202301-202303'!H81/'Details-GLOBAL-202301-202303'!H80)</f>
        <v>31.47341911259673</v>
      </c>
      <c r="H81" s="33">
        <v>0</v>
      </c>
      <c r="I81" s="34"/>
    </row>
    <row r="82" spans="1:9" ht="15.75" thickBot="1" x14ac:dyDescent="0.3">
      <c r="A82" s="433"/>
      <c r="B82" s="66"/>
      <c r="C82" s="66"/>
      <c r="D82" s="67"/>
      <c r="E82" s="68"/>
      <c r="F82" s="68"/>
      <c r="G82" s="68"/>
      <c r="H82" s="68"/>
      <c r="I82" s="70"/>
    </row>
    <row r="83" spans="1:9" ht="30" x14ac:dyDescent="0.25">
      <c r="A83" s="433"/>
      <c r="B83" s="41" t="s">
        <v>2194</v>
      </c>
      <c r="C83" s="11" t="s">
        <v>33</v>
      </c>
      <c r="D83" s="12" t="s">
        <v>2198</v>
      </c>
      <c r="E83" s="13">
        <f>SUM(F83:H83)</f>
        <v>15</v>
      </c>
      <c r="F83" s="100">
        <v>15</v>
      </c>
      <c r="G83" s="36" t="s">
        <v>8</v>
      </c>
      <c r="H83" s="14">
        <v>0</v>
      </c>
      <c r="I83" s="15"/>
    </row>
    <row r="84" spans="1:9" ht="45" x14ac:dyDescent="0.25">
      <c r="A84" s="433"/>
      <c r="B84" s="42" t="s">
        <v>2195</v>
      </c>
      <c r="C84" s="3"/>
      <c r="D84" s="7" t="s">
        <v>2199</v>
      </c>
      <c r="E84" s="8"/>
      <c r="F84" s="9">
        <f t="shared" ref="F84" si="11">F83/F81</f>
        <v>0.21428571428571427</v>
      </c>
      <c r="G84" s="8"/>
      <c r="H84" s="8" t="e">
        <f t="shared" ref="H84" si="12">H83/H81</f>
        <v>#DIV/0!</v>
      </c>
      <c r="I84" s="21"/>
    </row>
    <row r="85" spans="1:9" ht="30.75" thickBot="1" x14ac:dyDescent="0.3">
      <c r="A85" s="433"/>
      <c r="B85" s="43" t="s">
        <v>2196</v>
      </c>
      <c r="C85" s="18"/>
      <c r="D85" s="49"/>
      <c r="E85" s="18"/>
      <c r="F85" s="92">
        <f>F83/F80</f>
        <v>8.5567598402738164E-3</v>
      </c>
      <c r="G85" s="18"/>
      <c r="H85" s="18"/>
      <c r="I85" s="19"/>
    </row>
    <row r="86" spans="1:9" ht="15.75" thickBot="1" x14ac:dyDescent="0.3">
      <c r="A86" s="433"/>
      <c r="B86" s="66"/>
      <c r="C86" s="66"/>
      <c r="D86" s="67"/>
      <c r="E86" s="68"/>
      <c r="F86" s="68"/>
      <c r="G86" s="68"/>
      <c r="H86" s="68"/>
      <c r="I86" s="70"/>
    </row>
    <row r="87" spans="1:9" ht="45" x14ac:dyDescent="0.25">
      <c r="A87" s="433"/>
      <c r="B87" s="10" t="s">
        <v>44</v>
      </c>
      <c r="C87" s="13"/>
      <c r="D87" s="12" t="s">
        <v>2200</v>
      </c>
      <c r="E87" s="13">
        <f>SUM(F87:I87)</f>
        <v>101.47341911259673</v>
      </c>
      <c r="F87" s="13">
        <f>F81</f>
        <v>70</v>
      </c>
      <c r="G87" s="13">
        <f t="shared" ref="G87:I87" si="13">G81</f>
        <v>31.47341911259673</v>
      </c>
      <c r="H87" s="13">
        <f t="shared" si="13"/>
        <v>0</v>
      </c>
      <c r="I87" s="13">
        <f t="shared" si="13"/>
        <v>0</v>
      </c>
    </row>
    <row r="88" spans="1:9" ht="15.75" thickBot="1" x14ac:dyDescent="0.3">
      <c r="A88" s="433"/>
      <c r="B88" s="20" t="s">
        <v>49</v>
      </c>
      <c r="C88" s="4"/>
      <c r="D88" s="44"/>
      <c r="E88" s="9">
        <f>E87/E80</f>
        <v>4.408054696463802E-2</v>
      </c>
      <c r="F88" s="9">
        <f>F87/F80</f>
        <v>3.993154592127781E-2</v>
      </c>
      <c r="G88" s="9">
        <f t="shared" ref="G88:H88" si="14">G87/G80</f>
        <v>5.7328632263382022E-2</v>
      </c>
      <c r="H88" s="8" t="e">
        <f t="shared" si="14"/>
        <v>#DIV/0!</v>
      </c>
      <c r="I88" s="8"/>
    </row>
    <row r="89" spans="1:9" ht="60" x14ac:dyDescent="0.25">
      <c r="A89" s="433"/>
      <c r="B89" s="24" t="s">
        <v>46</v>
      </c>
      <c r="C89" s="3"/>
      <c r="D89" s="12" t="s">
        <v>2201</v>
      </c>
      <c r="E89" s="93">
        <f>E87-E83</f>
        <v>86.47341911259673</v>
      </c>
      <c r="F89" s="4">
        <f>F87-F83</f>
        <v>55</v>
      </c>
      <c r="G89" s="142">
        <f>F89*G87/F87</f>
        <v>24.729115017040289</v>
      </c>
      <c r="H89" s="4">
        <f t="shared" ref="H89:I89" si="15">H87-H83</f>
        <v>0</v>
      </c>
      <c r="I89" s="4">
        <f t="shared" si="15"/>
        <v>0</v>
      </c>
    </row>
    <row r="90" spans="1:9" ht="30.75" thickBot="1" x14ac:dyDescent="0.3">
      <c r="A90" s="434"/>
      <c r="B90" s="43" t="s">
        <v>48</v>
      </c>
      <c r="C90" s="16"/>
      <c r="D90" s="46"/>
      <c r="E90" s="16"/>
      <c r="F90" s="17">
        <f>F89/F80</f>
        <v>3.137478608100399E-2</v>
      </c>
      <c r="G90" s="16"/>
      <c r="H90" s="16"/>
      <c r="I90" s="25"/>
    </row>
    <row r="92" spans="1:9" ht="15.75" thickBot="1" x14ac:dyDescent="0.3"/>
    <row r="93" spans="1:9" ht="15.75" thickBot="1" x14ac:dyDescent="0.3">
      <c r="A93" s="435" t="s">
        <v>2224</v>
      </c>
      <c r="B93" t="s">
        <v>16</v>
      </c>
      <c r="C93" s="80" t="s">
        <v>23</v>
      </c>
      <c r="D93" s="81" t="s">
        <v>36</v>
      </c>
      <c r="E93" s="82" t="s">
        <v>21</v>
      </c>
      <c r="F93" s="82" t="s">
        <v>13</v>
      </c>
      <c r="G93" s="82" t="s">
        <v>14</v>
      </c>
      <c r="H93" s="82" t="s">
        <v>15</v>
      </c>
      <c r="I93" s="83" t="s">
        <v>29</v>
      </c>
    </row>
    <row r="94" spans="1:9" ht="39.75" customHeight="1" x14ac:dyDescent="0.25">
      <c r="A94" s="436"/>
      <c r="B94" s="87" t="s">
        <v>2174</v>
      </c>
      <c r="C94" s="409" t="s">
        <v>2248</v>
      </c>
      <c r="D94" s="409"/>
      <c r="E94" s="409"/>
      <c r="F94" s="409"/>
      <c r="G94" s="409"/>
      <c r="H94" s="409"/>
      <c r="I94" s="409"/>
    </row>
    <row r="95" spans="1:9" x14ac:dyDescent="0.25">
      <c r="A95" s="436"/>
      <c r="B95" s="65" t="s">
        <v>2225</v>
      </c>
      <c r="C95" s="3" t="s">
        <v>33</v>
      </c>
      <c r="D95" s="104"/>
      <c r="E95" s="4">
        <v>324783</v>
      </c>
      <c r="F95" s="4"/>
      <c r="G95" s="4"/>
      <c r="H95" s="4"/>
      <c r="I95" s="4"/>
    </row>
    <row r="96" spans="1:9" x14ac:dyDescent="0.25">
      <c r="A96" s="436"/>
      <c r="B96" s="65" t="s">
        <v>2223</v>
      </c>
      <c r="C96" s="3" t="s">
        <v>33</v>
      </c>
      <c r="D96" s="104"/>
      <c r="E96" s="4">
        <f>SUM(F96:I96)</f>
        <v>122209</v>
      </c>
      <c r="F96" s="4">
        <v>65997</v>
      </c>
      <c r="G96" s="4">
        <v>56096</v>
      </c>
      <c r="H96" s="4">
        <v>29</v>
      </c>
      <c r="I96" s="4">
        <v>87</v>
      </c>
    </row>
    <row r="97" spans="1:10" x14ac:dyDescent="0.25">
      <c r="A97" s="436"/>
      <c r="B97" s="65" t="s">
        <v>2226</v>
      </c>
      <c r="C97" s="3"/>
      <c r="D97" s="104"/>
      <c r="E97" s="93">
        <f>E95-E96</f>
        <v>202574</v>
      </c>
      <c r="F97" s="4"/>
      <c r="G97" s="4"/>
      <c r="H97" s="4"/>
      <c r="I97" s="4"/>
    </row>
    <row r="98" spans="1:10" ht="15.75" thickBot="1" x14ac:dyDescent="0.3">
      <c r="A98" s="437"/>
      <c r="B98" s="65" t="s">
        <v>2279</v>
      </c>
      <c r="C98" s="3"/>
      <c r="D98" s="44"/>
      <c r="E98" s="4">
        <f>SUM(F98:I98)</f>
        <v>202583</v>
      </c>
      <c r="F98" s="4">
        <v>100557</v>
      </c>
      <c r="G98" s="4">
        <v>100949</v>
      </c>
      <c r="H98" s="4">
        <v>40</v>
      </c>
      <c r="I98" s="4">
        <v>1037</v>
      </c>
    </row>
    <row r="99" spans="1:10" ht="15.75" thickBot="1" x14ac:dyDescent="0.3"/>
    <row r="100" spans="1:10" x14ac:dyDescent="0.25">
      <c r="C100" s="105" t="s">
        <v>23</v>
      </c>
      <c r="D100" s="106" t="s">
        <v>36</v>
      </c>
      <c r="E100" s="107" t="s">
        <v>21</v>
      </c>
      <c r="F100" s="107" t="s">
        <v>13</v>
      </c>
      <c r="G100" s="107" t="s">
        <v>14</v>
      </c>
      <c r="H100" s="107" t="s">
        <v>15</v>
      </c>
      <c r="I100" s="108" t="s">
        <v>29</v>
      </c>
    </row>
    <row r="101" spans="1:10" x14ac:dyDescent="0.25">
      <c r="B101" s="109" t="s">
        <v>2229</v>
      </c>
      <c r="C101" s="109" t="s">
        <v>2228</v>
      </c>
      <c r="D101" s="110"/>
      <c r="E101" s="109"/>
      <c r="F101" s="109"/>
      <c r="G101" s="109"/>
      <c r="H101" s="109"/>
      <c r="I101" s="109"/>
    </row>
    <row r="102" spans="1:10" x14ac:dyDescent="0.25">
      <c r="B102" s="3" t="s">
        <v>2227</v>
      </c>
      <c r="C102" s="3" t="s">
        <v>33</v>
      </c>
      <c r="D102" s="44"/>
      <c r="E102" s="111">
        <f>SUM(F102:I102)</f>
        <v>738523</v>
      </c>
      <c r="F102" s="4">
        <v>424569</v>
      </c>
      <c r="G102" s="4">
        <v>309817</v>
      </c>
      <c r="H102" s="4">
        <v>100</v>
      </c>
      <c r="I102" s="4">
        <v>4037</v>
      </c>
    </row>
    <row r="103" spans="1:10" x14ac:dyDescent="0.25">
      <c r="B103" s="3"/>
      <c r="C103" s="3"/>
      <c r="D103" s="44"/>
      <c r="E103" s="3"/>
      <c r="F103" s="3"/>
      <c r="G103" s="3"/>
      <c r="H103" s="3"/>
      <c r="I103" s="3"/>
    </row>
    <row r="104" spans="1:10" x14ac:dyDescent="0.25">
      <c r="B104" s="112" t="s">
        <v>2230</v>
      </c>
      <c r="C104" s="84" t="s">
        <v>2232</v>
      </c>
      <c r="D104" s="113"/>
      <c r="E104" s="112"/>
      <c r="F104" s="112"/>
      <c r="G104" s="112"/>
      <c r="H104" s="112"/>
      <c r="I104" s="112"/>
    </row>
    <row r="105" spans="1:10" x14ac:dyDescent="0.25">
      <c r="B105" s="3" t="s">
        <v>2233</v>
      </c>
      <c r="C105" s="249" t="s">
        <v>2366</v>
      </c>
      <c r="D105" s="44" t="s">
        <v>2231</v>
      </c>
      <c r="E105" s="4">
        <f>SUM(F105:H105)</f>
        <v>415130</v>
      </c>
      <c r="F105" s="4">
        <v>261610</v>
      </c>
      <c r="G105" s="4">
        <v>153495</v>
      </c>
      <c r="H105" s="4">
        <v>25</v>
      </c>
      <c r="I105" s="4">
        <v>3031</v>
      </c>
      <c r="J105" s="144">
        <f>E105/E102</f>
        <v>0.56210842451758447</v>
      </c>
    </row>
    <row r="106" spans="1:10" ht="15.75" thickBot="1" x14ac:dyDescent="0.3"/>
    <row r="107" spans="1:10" ht="15.75" thickBot="1" x14ac:dyDescent="0.3">
      <c r="B107" s="112" t="s">
        <v>2234</v>
      </c>
      <c r="C107" s="114" t="s">
        <v>2238</v>
      </c>
      <c r="D107" s="113"/>
      <c r="E107" s="82" t="s">
        <v>21</v>
      </c>
      <c r="F107" s="82" t="s">
        <v>13</v>
      </c>
      <c r="G107" s="82" t="s">
        <v>14</v>
      </c>
      <c r="H107" s="82" t="s">
        <v>15</v>
      </c>
      <c r="I107" s="83" t="s">
        <v>29</v>
      </c>
    </row>
    <row r="108" spans="1:10" x14ac:dyDescent="0.25">
      <c r="B108" s="146" t="s">
        <v>2235</v>
      </c>
      <c r="C108" s="3" t="s">
        <v>33</v>
      </c>
      <c r="D108" s="44"/>
      <c r="E108" s="4">
        <f>SUM(F108:H108)</f>
        <v>127340</v>
      </c>
      <c r="F108" s="4">
        <v>62986</v>
      </c>
      <c r="G108" s="4">
        <v>64326</v>
      </c>
      <c r="H108" s="4">
        <v>28</v>
      </c>
      <c r="I108" s="4"/>
    </row>
    <row r="109" spans="1:10" x14ac:dyDescent="0.25">
      <c r="B109" s="146" t="s">
        <v>2236</v>
      </c>
      <c r="C109" s="3" t="s">
        <v>33</v>
      </c>
      <c r="D109" s="44"/>
      <c r="E109" s="4">
        <f>SUM(F109:H109)</f>
        <v>283733</v>
      </c>
      <c r="F109" s="4">
        <v>167309</v>
      </c>
      <c r="G109" s="4">
        <v>116401</v>
      </c>
      <c r="H109" s="4">
        <v>23</v>
      </c>
      <c r="I109" s="4"/>
    </row>
    <row r="110" spans="1:10" x14ac:dyDescent="0.25">
      <c r="B110" s="146" t="s">
        <v>2237</v>
      </c>
      <c r="C110" s="3" t="s">
        <v>33</v>
      </c>
      <c r="D110" s="44"/>
      <c r="E110" s="4">
        <f>SUM(E108:E109)</f>
        <v>411073</v>
      </c>
      <c r="F110" s="4">
        <f>SUM(F108:F109)</f>
        <v>230295</v>
      </c>
      <c r="G110" s="4">
        <f t="shared" ref="G110:I110" si="16">SUM(G108:G109)</f>
        <v>180727</v>
      </c>
      <c r="H110" s="4">
        <f t="shared" si="16"/>
        <v>51</v>
      </c>
      <c r="I110" s="4">
        <f t="shared" si="16"/>
        <v>0</v>
      </c>
    </row>
    <row r="114" spans="2:9" ht="15.75" thickBot="1" x14ac:dyDescent="0.3"/>
    <row r="115" spans="2:9" ht="15.75" thickBot="1" x14ac:dyDescent="0.3">
      <c r="B115" s="10"/>
      <c r="C115" s="80" t="s">
        <v>23</v>
      </c>
      <c r="D115" s="81" t="s">
        <v>36</v>
      </c>
      <c r="E115" s="82" t="s">
        <v>21</v>
      </c>
      <c r="F115" s="82" t="s">
        <v>2182</v>
      </c>
      <c r="G115" s="82" t="s">
        <v>2181</v>
      </c>
      <c r="H115" s="82" t="s">
        <v>2180</v>
      </c>
      <c r="I115" s="83" t="s">
        <v>2179</v>
      </c>
    </row>
    <row r="116" spans="2:9" x14ac:dyDescent="0.25">
      <c r="B116" s="24" t="s">
        <v>2212</v>
      </c>
      <c r="C116" s="3" t="s">
        <v>31</v>
      </c>
      <c r="D116" s="44"/>
      <c r="E116" s="4">
        <f t="shared" ref="E116:E124" si="17">SUM(F116:I116)</f>
        <v>1227872</v>
      </c>
      <c r="F116" s="4">
        <v>618981</v>
      </c>
      <c r="G116" s="4">
        <v>608891</v>
      </c>
      <c r="H116" s="157" t="s">
        <v>8</v>
      </c>
      <c r="I116" s="26"/>
    </row>
    <row r="117" spans="2:9" x14ac:dyDescent="0.25">
      <c r="B117" s="24" t="s">
        <v>2215</v>
      </c>
      <c r="C117" s="3" t="s">
        <v>31</v>
      </c>
      <c r="D117" s="44"/>
      <c r="E117" s="4">
        <f t="shared" si="17"/>
        <v>450282</v>
      </c>
      <c r="F117" s="4">
        <f>185272+134587</f>
        <v>319859</v>
      </c>
      <c r="G117" s="4">
        <f>107825+22598</f>
        <v>130423</v>
      </c>
      <c r="H117" s="157" t="s">
        <v>8</v>
      </c>
      <c r="I117" s="26"/>
    </row>
    <row r="118" spans="2:9" x14ac:dyDescent="0.25">
      <c r="B118" s="24" t="s">
        <v>2213</v>
      </c>
      <c r="C118" s="3" t="s">
        <v>22</v>
      </c>
      <c r="D118" s="44" t="s">
        <v>2203</v>
      </c>
      <c r="E118" s="4">
        <f>SUM(F118:I118)</f>
        <v>173427</v>
      </c>
      <c r="F118" s="4">
        <f>F119</f>
        <v>124811</v>
      </c>
      <c r="G118" s="4">
        <f>32035+16581</f>
        <v>48616</v>
      </c>
      <c r="H118" s="157" t="s">
        <v>8</v>
      </c>
      <c r="I118" s="95"/>
    </row>
    <row r="119" spans="2:9" x14ac:dyDescent="0.25">
      <c r="B119" s="24" t="s">
        <v>2214</v>
      </c>
      <c r="C119" s="3" t="s">
        <v>22</v>
      </c>
      <c r="D119" s="44" t="s">
        <v>2202</v>
      </c>
      <c r="E119" s="4">
        <f>SUM(F119:I119)</f>
        <v>145000</v>
      </c>
      <c r="F119" s="4">
        <f>96469+28342</f>
        <v>124811</v>
      </c>
      <c r="G119" s="4">
        <f>14284+5905</f>
        <v>20189</v>
      </c>
      <c r="H119" s="157" t="s">
        <v>8</v>
      </c>
      <c r="I119" s="21"/>
    </row>
    <row r="120" spans="2:9" x14ac:dyDescent="0.25">
      <c r="B120" s="24" t="s">
        <v>2280</v>
      </c>
      <c r="C120" s="3"/>
      <c r="D120" s="44"/>
      <c r="E120" s="4">
        <f t="shared" ref="E120:E121" si="18">SUM(F120:I120)</f>
        <v>777589</v>
      </c>
      <c r="F120" s="4">
        <v>299122</v>
      </c>
      <c r="G120" s="4">
        <f>381259+97208</f>
        <v>478467</v>
      </c>
      <c r="H120" s="157" t="s">
        <v>8</v>
      </c>
      <c r="I120" s="21"/>
    </row>
    <row r="121" spans="2:9" x14ac:dyDescent="0.25">
      <c r="B121" s="24" t="s">
        <v>2281</v>
      </c>
      <c r="C121" s="3" t="s">
        <v>22</v>
      </c>
      <c r="D121" s="44"/>
      <c r="E121" s="4">
        <f t="shared" si="18"/>
        <v>279560</v>
      </c>
      <c r="F121" s="4">
        <v>150829</v>
      </c>
      <c r="G121" s="4">
        <f>117467+11264</f>
        <v>128731</v>
      </c>
      <c r="H121" s="157" t="s">
        <v>8</v>
      </c>
      <c r="I121" s="21"/>
    </row>
    <row r="122" spans="2:9" x14ac:dyDescent="0.25">
      <c r="B122" s="24" t="s">
        <v>26</v>
      </c>
      <c r="C122" s="3" t="s">
        <v>55</v>
      </c>
      <c r="D122" s="44" t="s">
        <v>25</v>
      </c>
      <c r="E122" s="4">
        <f>SUM(F122:I122)</f>
        <v>0</v>
      </c>
      <c r="F122" s="4"/>
      <c r="G122" s="4"/>
      <c r="H122" s="4"/>
      <c r="I122" s="26"/>
    </row>
    <row r="123" spans="2:9" ht="30" x14ac:dyDescent="0.25">
      <c r="B123" s="24" t="s">
        <v>27</v>
      </c>
      <c r="C123" s="3" t="s">
        <v>32</v>
      </c>
      <c r="D123" s="44" t="s">
        <v>35</v>
      </c>
      <c r="E123" s="4">
        <f t="shared" si="17"/>
        <v>421576</v>
      </c>
      <c r="F123" s="4">
        <v>272640</v>
      </c>
      <c r="G123" s="4">
        <f>117467+14284+11264+5905+16</f>
        <v>148936</v>
      </c>
      <c r="H123" s="157" t="s">
        <v>8</v>
      </c>
      <c r="I123" s="21"/>
    </row>
    <row r="124" spans="2:9" ht="45" x14ac:dyDescent="0.25">
      <c r="B124" s="24" t="s">
        <v>27</v>
      </c>
      <c r="C124" s="3" t="s">
        <v>28</v>
      </c>
      <c r="D124" s="45" t="s">
        <v>2239</v>
      </c>
      <c r="E124" s="4">
        <f t="shared" si="17"/>
        <v>465223</v>
      </c>
      <c r="F124" s="39">
        <v>316314</v>
      </c>
      <c r="G124" s="4">
        <v>148909</v>
      </c>
      <c r="H124" s="157" t="s">
        <v>8</v>
      </c>
      <c r="I124" s="21"/>
    </row>
    <row r="126" spans="2:9" ht="15.75" thickBot="1" x14ac:dyDescent="0.3">
      <c r="B126" s="79" t="s">
        <v>38</v>
      </c>
      <c r="C126" s="16" t="s">
        <v>33</v>
      </c>
      <c r="D126" s="46" t="s">
        <v>39</v>
      </c>
      <c r="E126" s="18"/>
      <c r="F126" s="18"/>
      <c r="G126" s="18"/>
      <c r="H126" s="18"/>
      <c r="I126" s="19"/>
    </row>
    <row r="127" spans="2:9" ht="15.75" thickBot="1" x14ac:dyDescent="0.3"/>
    <row r="128" spans="2:9" x14ac:dyDescent="0.25">
      <c r="B128" s="122" t="s">
        <v>2263</v>
      </c>
      <c r="C128" s="3"/>
      <c r="D128" s="44"/>
      <c r="E128" s="107" t="s">
        <v>21</v>
      </c>
      <c r="F128" s="107" t="s">
        <v>2182</v>
      </c>
      <c r="G128" s="107" t="s">
        <v>2181</v>
      </c>
      <c r="H128" s="107" t="s">
        <v>2180</v>
      </c>
      <c r="I128" s="108" t="s">
        <v>2179</v>
      </c>
    </row>
    <row r="129" spans="2:9" x14ac:dyDescent="0.25">
      <c r="B129" s="123" t="s">
        <v>2260</v>
      </c>
      <c r="C129" s="3" t="s">
        <v>22</v>
      </c>
      <c r="D129" s="44" t="s">
        <v>2261</v>
      </c>
      <c r="E129" s="4">
        <f>E117</f>
        <v>450282</v>
      </c>
      <c r="F129" s="4">
        <f t="shared" ref="F129:I129" si="19">F117</f>
        <v>319859</v>
      </c>
      <c r="G129" s="4">
        <f t="shared" si="19"/>
        <v>130423</v>
      </c>
      <c r="H129" s="4" t="str">
        <f t="shared" si="19"/>
        <v>N/A</v>
      </c>
      <c r="I129" s="4">
        <f t="shared" si="19"/>
        <v>0</v>
      </c>
    </row>
    <row r="130" spans="2:9" x14ac:dyDescent="0.25">
      <c r="B130" s="123" t="s">
        <v>2262</v>
      </c>
      <c r="C130" s="3" t="s">
        <v>33</v>
      </c>
      <c r="D130" s="44"/>
      <c r="E130" s="4">
        <f>SUM(F130:I130)</f>
        <v>11872</v>
      </c>
      <c r="F130" s="4">
        <f>F18+F34+F50</f>
        <v>9119</v>
      </c>
      <c r="G130" s="4">
        <f t="shared" ref="G130:I130" si="20">G18+G34+G50</f>
        <v>2753</v>
      </c>
      <c r="H130" s="4">
        <f t="shared" si="20"/>
        <v>0</v>
      </c>
      <c r="I130" s="4">
        <f t="shared" si="20"/>
        <v>0</v>
      </c>
    </row>
    <row r="131" spans="2:9" x14ac:dyDescent="0.25">
      <c r="B131" s="124" t="s">
        <v>2267</v>
      </c>
      <c r="C131" s="3" t="s">
        <v>33</v>
      </c>
      <c r="D131" s="44"/>
      <c r="E131" s="4">
        <f>SUM(F131:I131)</f>
        <v>1281261</v>
      </c>
      <c r="F131" s="4">
        <f>F3+F80</f>
        <v>753979</v>
      </c>
      <c r="G131" s="4">
        <f t="shared" ref="G131:I131" si="21">G3+G80</f>
        <v>527282</v>
      </c>
      <c r="H131" s="4">
        <f t="shared" si="21"/>
        <v>0</v>
      </c>
      <c r="I131" s="4">
        <f t="shared" si="21"/>
        <v>0</v>
      </c>
    </row>
    <row r="133" spans="2:9" x14ac:dyDescent="0.25">
      <c r="B133" s="122" t="s">
        <v>2264</v>
      </c>
      <c r="C133" s="3" t="s">
        <v>2261</v>
      </c>
      <c r="D133" s="44"/>
      <c r="E133" s="4">
        <f>IF(SUM(E129:E131)&gt;E116,E116,SUM(E129:E131))</f>
        <v>1227872</v>
      </c>
      <c r="F133" s="4">
        <f t="shared" ref="F133:I133" si="22">IF(SUM(F129:F131)&gt;F116,F116,SUM(F129:F131))</f>
        <v>618981</v>
      </c>
      <c r="G133" s="4">
        <f t="shared" si="22"/>
        <v>608891</v>
      </c>
      <c r="H133" s="4">
        <f t="shared" si="22"/>
        <v>0</v>
      </c>
      <c r="I133" s="4">
        <f t="shared" si="22"/>
        <v>0</v>
      </c>
    </row>
    <row r="134" spans="2:9" ht="15.75" thickBot="1" x14ac:dyDescent="0.3"/>
    <row r="135" spans="2:9" x14ac:dyDescent="0.25">
      <c r="B135" s="122" t="s">
        <v>2265</v>
      </c>
      <c r="D135"/>
      <c r="E135" s="107" t="s">
        <v>21</v>
      </c>
      <c r="F135" s="107" t="s">
        <v>2182</v>
      </c>
      <c r="G135" s="107" t="s">
        <v>2181</v>
      </c>
      <c r="H135" s="107" t="s">
        <v>2180</v>
      </c>
      <c r="I135" s="108" t="s">
        <v>2179</v>
      </c>
    </row>
    <row r="136" spans="2:9" x14ac:dyDescent="0.25">
      <c r="B136" s="124" t="s">
        <v>2282</v>
      </c>
      <c r="C136" s="3" t="s">
        <v>2283</v>
      </c>
      <c r="D136"/>
      <c r="E136" s="4">
        <f>E133-E142</f>
        <v>806296</v>
      </c>
      <c r="F136" s="4">
        <f>F133-F142</f>
        <v>346341</v>
      </c>
      <c r="G136" s="4">
        <f t="shared" ref="G136:I136" si="23">G133-G142</f>
        <v>459955</v>
      </c>
      <c r="H136" s="4" t="e">
        <f t="shared" si="23"/>
        <v>#VALUE!</v>
      </c>
      <c r="I136" s="4">
        <f t="shared" si="23"/>
        <v>0</v>
      </c>
    </row>
    <row r="137" spans="2:9" ht="15.75" thickBot="1" x14ac:dyDescent="0.3">
      <c r="D137"/>
      <c r="E137" s="147"/>
      <c r="F137" s="147"/>
      <c r="G137" s="147"/>
    </row>
    <row r="138" spans="2:9" x14ac:dyDescent="0.25">
      <c r="B138" s="462" t="s">
        <v>2240</v>
      </c>
      <c r="D138"/>
      <c r="E138" s="107" t="s">
        <v>2241</v>
      </c>
      <c r="F138" s="107" t="s">
        <v>2182</v>
      </c>
      <c r="G138" s="107" t="s">
        <v>2181</v>
      </c>
    </row>
    <row r="139" spans="2:9" ht="15.75" thickBot="1" x14ac:dyDescent="0.3">
      <c r="B139" s="463"/>
      <c r="C139" s="249" t="s">
        <v>2365</v>
      </c>
      <c r="D139" s="44"/>
      <c r="E139" s="127">
        <f>SUM(F139:G139)</f>
        <v>320649</v>
      </c>
      <c r="F139" s="4">
        <v>164096</v>
      </c>
      <c r="G139" s="4">
        <v>156553</v>
      </c>
    </row>
    <row r="140" spans="2:9" x14ac:dyDescent="0.25">
      <c r="B140" s="463"/>
      <c r="C140" s="3"/>
      <c r="D140" s="44"/>
      <c r="E140" s="107" t="s">
        <v>21</v>
      </c>
      <c r="F140" s="107" t="s">
        <v>2182</v>
      </c>
      <c r="G140" s="107" t="s">
        <v>2181</v>
      </c>
      <c r="H140" s="107" t="s">
        <v>2180</v>
      </c>
      <c r="I140" s="108" t="s">
        <v>2179</v>
      </c>
    </row>
    <row r="141" spans="2:9" x14ac:dyDescent="0.25">
      <c r="B141" s="463"/>
      <c r="C141" s="3"/>
      <c r="D141" s="44"/>
      <c r="E141" s="127">
        <f>E102</f>
        <v>738523</v>
      </c>
      <c r="F141" s="4">
        <f t="shared" ref="F141:I141" si="24">F102</f>
        <v>424569</v>
      </c>
      <c r="G141" s="4">
        <f t="shared" si="24"/>
        <v>309817</v>
      </c>
      <c r="H141" s="4">
        <f t="shared" si="24"/>
        <v>100</v>
      </c>
      <c r="I141" s="4">
        <f t="shared" si="24"/>
        <v>4037</v>
      </c>
    </row>
    <row r="142" spans="2:9" x14ac:dyDescent="0.25">
      <c r="B142" t="s">
        <v>2250</v>
      </c>
      <c r="C142" s="124" t="s">
        <v>2268</v>
      </c>
      <c r="D142" s="44"/>
      <c r="E142" s="4">
        <f>E123</f>
        <v>421576</v>
      </c>
      <c r="F142" s="4">
        <f t="shared" ref="F142:I142" si="25">F123</f>
        <v>272640</v>
      </c>
      <c r="G142" s="4">
        <f t="shared" si="25"/>
        <v>148936</v>
      </c>
      <c r="H142" s="4" t="str">
        <f t="shared" si="25"/>
        <v>N/A</v>
      </c>
      <c r="I142" s="4">
        <f t="shared" si="25"/>
        <v>0</v>
      </c>
    </row>
    <row r="143" spans="2:9" x14ac:dyDescent="0.25">
      <c r="B143" s="124" t="s">
        <v>2242</v>
      </c>
      <c r="C143" s="3"/>
      <c r="D143" s="44"/>
      <c r="E143" s="129">
        <f>E110</f>
        <v>411073</v>
      </c>
      <c r="F143" s="4">
        <f t="shared" ref="F143:I143" si="26">F110</f>
        <v>230295</v>
      </c>
      <c r="G143" s="4">
        <f t="shared" si="26"/>
        <v>180727</v>
      </c>
      <c r="H143" s="4">
        <f t="shared" si="26"/>
        <v>51</v>
      </c>
      <c r="I143" s="4">
        <f t="shared" si="26"/>
        <v>0</v>
      </c>
    </row>
    <row r="144" spans="2:9" ht="15.75" thickBot="1" x14ac:dyDescent="0.3">
      <c r="E144" s="1"/>
      <c r="F144" s="1"/>
      <c r="G144" s="1"/>
    </row>
    <row r="145" spans="2:12" x14ac:dyDescent="0.25">
      <c r="E145" s="107" t="s">
        <v>21</v>
      </c>
      <c r="F145" s="107" t="s">
        <v>2182</v>
      </c>
      <c r="G145" s="107" t="s">
        <v>2181</v>
      </c>
      <c r="H145" s="107" t="s">
        <v>2180</v>
      </c>
      <c r="I145" s="108" t="s">
        <v>2179</v>
      </c>
    </row>
    <row r="146" spans="2:12" ht="30" x14ac:dyDescent="0.25">
      <c r="B146" s="24" t="s">
        <v>27</v>
      </c>
      <c r="C146" s="124" t="s">
        <v>32</v>
      </c>
      <c r="D146" s="44" t="s">
        <v>35</v>
      </c>
      <c r="E146" s="4">
        <f t="shared" ref="E146" si="27">SUM(F146:I146)</f>
        <v>421576</v>
      </c>
      <c r="F146" s="4">
        <f>F123</f>
        <v>272640</v>
      </c>
      <c r="G146" s="4">
        <f>G123</f>
        <v>148936</v>
      </c>
      <c r="H146" s="4"/>
      <c r="I146" s="21"/>
    </row>
    <row r="147" spans="2:12" x14ac:dyDescent="0.25">
      <c r="B147" s="125" t="s">
        <v>2214</v>
      </c>
      <c r="C147" s="3" t="s">
        <v>22</v>
      </c>
      <c r="D147" s="44" t="s">
        <v>2202</v>
      </c>
      <c r="E147" s="4">
        <f>SUM(F147:I147)</f>
        <v>173427</v>
      </c>
      <c r="F147" s="4">
        <f>F118</f>
        <v>124811</v>
      </c>
      <c r="G147" s="4">
        <f>G118</f>
        <v>48616</v>
      </c>
      <c r="H147" s="4"/>
      <c r="I147" s="21"/>
      <c r="L147" s="1"/>
    </row>
    <row r="148" spans="2:12" ht="15.75" thickBot="1" x14ac:dyDescent="0.3"/>
    <row r="149" spans="2:12" x14ac:dyDescent="0.25">
      <c r="B149" s="413" t="s">
        <v>2242</v>
      </c>
      <c r="C149" s="3"/>
      <c r="D149" s="44"/>
      <c r="E149" s="107" t="s">
        <v>21</v>
      </c>
      <c r="F149" s="107" t="s">
        <v>2182</v>
      </c>
      <c r="G149" s="107" t="s">
        <v>2181</v>
      </c>
      <c r="H149" s="107" t="s">
        <v>2180</v>
      </c>
      <c r="I149" s="108" t="s">
        <v>2179</v>
      </c>
    </row>
    <row r="150" spans="2:12" x14ac:dyDescent="0.25">
      <c r="B150" s="413"/>
      <c r="C150" s="3" t="s">
        <v>2243</v>
      </c>
      <c r="D150" s="44"/>
      <c r="E150" s="115">
        <f>SUM(F150:I150)</f>
        <v>62282</v>
      </c>
      <c r="F150" s="115">
        <f>F6</f>
        <v>62282</v>
      </c>
      <c r="G150" s="3"/>
      <c r="H150" s="3"/>
      <c r="I150" s="3"/>
    </row>
    <row r="151" spans="2:12" x14ac:dyDescent="0.25">
      <c r="B151" s="413"/>
      <c r="C151" s="3" t="s">
        <v>16</v>
      </c>
      <c r="D151" s="44"/>
      <c r="E151" s="115">
        <f t="shared" ref="E151:E155" si="28">SUM(F151:I151)</f>
        <v>122209</v>
      </c>
      <c r="F151" s="4">
        <f>F96</f>
        <v>65997</v>
      </c>
      <c r="G151" s="4">
        <f t="shared" ref="G151:I151" si="29">G96</f>
        <v>56096</v>
      </c>
      <c r="H151" s="4">
        <f t="shared" si="29"/>
        <v>29</v>
      </c>
      <c r="I151" s="4">
        <f t="shared" si="29"/>
        <v>87</v>
      </c>
    </row>
    <row r="152" spans="2:12" x14ac:dyDescent="0.25">
      <c r="B152" s="413"/>
      <c r="C152" s="3" t="s">
        <v>2245</v>
      </c>
      <c r="D152" s="414" t="s">
        <v>2244</v>
      </c>
      <c r="E152" s="115">
        <f t="shared" si="28"/>
        <v>148</v>
      </c>
      <c r="F152" s="115">
        <f>F37</f>
        <v>148</v>
      </c>
      <c r="G152" s="3"/>
      <c r="H152" s="3"/>
      <c r="I152" s="3"/>
    </row>
    <row r="153" spans="2:12" x14ac:dyDescent="0.25">
      <c r="B153" s="413"/>
      <c r="C153" s="3" t="s">
        <v>2246</v>
      </c>
      <c r="D153" s="415"/>
      <c r="E153" s="115">
        <f t="shared" si="28"/>
        <v>4</v>
      </c>
      <c r="F153" s="115">
        <f>F21</f>
        <v>4</v>
      </c>
      <c r="G153" s="3"/>
      <c r="H153" s="3"/>
      <c r="I153" s="3"/>
    </row>
    <row r="154" spans="2:12" x14ac:dyDescent="0.25">
      <c r="B154" s="413"/>
      <c r="C154" s="3" t="s">
        <v>2247</v>
      </c>
      <c r="D154" s="416"/>
      <c r="E154" s="115">
        <f t="shared" si="28"/>
        <v>929</v>
      </c>
      <c r="F154" s="115">
        <f>F53</f>
        <v>929</v>
      </c>
      <c r="G154" s="3"/>
      <c r="H154" s="3"/>
      <c r="I154" s="3"/>
    </row>
    <row r="155" spans="2:12" x14ac:dyDescent="0.25">
      <c r="B155" s="413"/>
      <c r="C155" s="3" t="s">
        <v>2255</v>
      </c>
      <c r="D155" s="44"/>
      <c r="E155" s="115">
        <f t="shared" si="28"/>
        <v>15</v>
      </c>
      <c r="F155" s="115">
        <f>F83</f>
        <v>15</v>
      </c>
      <c r="G155" s="3"/>
      <c r="H155" s="3"/>
      <c r="I155" s="3"/>
    </row>
    <row r="156" spans="2:12" x14ac:dyDescent="0.25">
      <c r="D156" s="120" t="s">
        <v>2269</v>
      </c>
      <c r="E156" s="117">
        <f>SUM(F156:I156)</f>
        <v>185587</v>
      </c>
      <c r="F156" s="117">
        <f>SUM(F150:F155)</f>
        <v>129375</v>
      </c>
      <c r="G156" s="117">
        <f>SUM(G150:G155)</f>
        <v>56096</v>
      </c>
      <c r="H156" s="117">
        <f t="shared" ref="H156:I156" si="30">SUM(H150:H155)</f>
        <v>29</v>
      </c>
      <c r="I156" s="117">
        <f t="shared" si="30"/>
        <v>87</v>
      </c>
    </row>
    <row r="157" spans="2:12" x14ac:dyDescent="0.25">
      <c r="E157" s="116"/>
    </row>
    <row r="158" spans="2:12" x14ac:dyDescent="0.25">
      <c r="D158" s="3" t="s">
        <v>2249</v>
      </c>
      <c r="E158" s="129">
        <f>E110</f>
        <v>411073</v>
      </c>
      <c r="F158" s="4">
        <f t="shared" ref="F158:I158" si="31">F110</f>
        <v>230295</v>
      </c>
      <c r="G158" s="4">
        <f t="shared" si="31"/>
        <v>180727</v>
      </c>
      <c r="H158" s="4">
        <f t="shared" si="31"/>
        <v>51</v>
      </c>
      <c r="I158" s="4">
        <f t="shared" si="31"/>
        <v>0</v>
      </c>
    </row>
    <row r="159" spans="2:12" x14ac:dyDescent="0.25">
      <c r="D159" s="128" t="s">
        <v>2271</v>
      </c>
      <c r="E159" s="121">
        <f>E158-E156</f>
        <v>225486</v>
      </c>
      <c r="F159" s="121">
        <f t="shared" ref="F159:I159" si="32">F158-F156</f>
        <v>100920</v>
      </c>
      <c r="G159" s="121">
        <f t="shared" si="32"/>
        <v>124631</v>
      </c>
      <c r="H159" s="121">
        <f t="shared" si="32"/>
        <v>22</v>
      </c>
      <c r="I159" s="121">
        <f t="shared" si="32"/>
        <v>-87</v>
      </c>
    </row>
    <row r="160" spans="2:12" x14ac:dyDescent="0.25">
      <c r="D160" s="128" t="s">
        <v>2272</v>
      </c>
      <c r="E160" s="130"/>
      <c r="F160" s="130"/>
      <c r="G160" s="130"/>
      <c r="H160" s="130"/>
      <c r="I160" s="130"/>
    </row>
    <row r="161" spans="2:9" x14ac:dyDescent="0.25">
      <c r="D161" s="128" t="s">
        <v>2273</v>
      </c>
      <c r="E161" s="131"/>
      <c r="F161" s="131"/>
      <c r="G161" s="131"/>
      <c r="H161" s="131"/>
      <c r="I161" s="131"/>
    </row>
    <row r="162" spans="2:9" x14ac:dyDescent="0.25">
      <c r="D162" s="119"/>
    </row>
    <row r="163" spans="2:9" x14ac:dyDescent="0.25">
      <c r="B163" s="410" t="s">
        <v>2251</v>
      </c>
      <c r="C163" s="3"/>
      <c r="D163" s="44"/>
      <c r="E163" s="112" t="s">
        <v>21</v>
      </c>
      <c r="F163" s="112" t="s">
        <v>2182</v>
      </c>
      <c r="G163" s="112" t="s">
        <v>2181</v>
      </c>
      <c r="H163" s="112" t="s">
        <v>2180</v>
      </c>
      <c r="I163" s="112" t="s">
        <v>2179</v>
      </c>
    </row>
    <row r="164" spans="2:9" x14ac:dyDescent="0.25">
      <c r="B164" s="411"/>
      <c r="C164" s="3" t="s">
        <v>2243</v>
      </c>
      <c r="D164" s="44"/>
      <c r="E164" s="4">
        <f>SUM(F164:I164)</f>
        <v>84947.750078785699</v>
      </c>
      <c r="F164" s="141">
        <f>F12</f>
        <v>45409</v>
      </c>
      <c r="G164" s="126">
        <f>G12</f>
        <v>39538.750078785706</v>
      </c>
      <c r="H164" s="4"/>
      <c r="I164" s="26"/>
    </row>
    <row r="165" spans="2:9" ht="60" x14ac:dyDescent="0.25">
      <c r="B165" s="411"/>
      <c r="C165" s="3" t="s">
        <v>16</v>
      </c>
      <c r="D165" s="45" t="s">
        <v>2344</v>
      </c>
      <c r="E165" s="4">
        <f>SUM(F165:I165)</f>
        <v>58814</v>
      </c>
      <c r="F165" s="4">
        <f>F186</f>
        <v>58814</v>
      </c>
      <c r="G165" s="4">
        <f t="shared" ref="G165" si="33">G186</f>
        <v>0</v>
      </c>
      <c r="H165" s="4"/>
      <c r="I165" s="4"/>
    </row>
    <row r="166" spans="2:9" x14ac:dyDescent="0.25">
      <c r="B166" s="411"/>
      <c r="C166" s="3" t="s">
        <v>2245</v>
      </c>
      <c r="D166" s="414" t="s">
        <v>2244</v>
      </c>
      <c r="E166" s="4">
        <f t="shared" ref="E166:E169" si="34">SUM(F166:I166)</f>
        <v>245.56204379562044</v>
      </c>
      <c r="F166" s="4">
        <f>F43</f>
        <v>126</v>
      </c>
      <c r="G166" s="126">
        <f>G43</f>
        <v>119.56204379562044</v>
      </c>
      <c r="H166" s="4"/>
      <c r="I166" s="26"/>
    </row>
    <row r="167" spans="2:9" x14ac:dyDescent="0.25">
      <c r="B167" s="411"/>
      <c r="C167" s="3" t="s">
        <v>2246</v>
      </c>
      <c r="D167" s="415"/>
      <c r="E167" s="4">
        <f t="shared" si="34"/>
        <v>11.2</v>
      </c>
      <c r="F167" s="4">
        <f>F27</f>
        <v>5</v>
      </c>
      <c r="G167" s="126">
        <f>G27</f>
        <v>6.1999999999999993</v>
      </c>
      <c r="H167" s="4"/>
      <c r="I167" s="26"/>
    </row>
    <row r="168" spans="2:9" x14ac:dyDescent="0.25">
      <c r="B168" s="411"/>
      <c r="C168" s="3" t="s">
        <v>2247</v>
      </c>
      <c r="D168" s="416"/>
      <c r="E168" s="4">
        <f t="shared" si="34"/>
        <v>1210.1773688518233</v>
      </c>
      <c r="F168" s="4">
        <f>F59</f>
        <v>561</v>
      </c>
      <c r="G168" s="126">
        <f>G59</f>
        <v>649.17736885182342</v>
      </c>
      <c r="H168" s="4"/>
      <c r="I168" s="26"/>
    </row>
    <row r="169" spans="2:9" x14ac:dyDescent="0.25">
      <c r="B169" s="412"/>
      <c r="C169" s="3" t="s">
        <v>2255</v>
      </c>
      <c r="D169" s="44"/>
      <c r="E169" s="4">
        <f t="shared" si="34"/>
        <v>79.729115017040286</v>
      </c>
      <c r="F169" s="4">
        <f>F89</f>
        <v>55</v>
      </c>
      <c r="G169" s="126">
        <f>G89</f>
        <v>24.729115017040289</v>
      </c>
      <c r="H169" s="4"/>
      <c r="I169" s="26"/>
    </row>
    <row r="170" spans="2:9" x14ac:dyDescent="0.25">
      <c r="D170" s="120" t="s">
        <v>2259</v>
      </c>
      <c r="E170" s="117">
        <f>SUM(E164:E169)</f>
        <v>145308.4186064502</v>
      </c>
      <c r="F170" s="117">
        <f>SUM(F164:F169)</f>
        <v>104970</v>
      </c>
      <c r="G170" s="117">
        <f>SUM(G164:G169)</f>
        <v>40338.418606450192</v>
      </c>
      <c r="H170" s="117">
        <f t="shared" ref="H170:I170" si="35">SUM(H164:H169)</f>
        <v>0</v>
      </c>
      <c r="I170" s="117">
        <f t="shared" si="35"/>
        <v>0</v>
      </c>
    </row>
    <row r="172" spans="2:9" x14ac:dyDescent="0.25">
      <c r="D172" s="3" t="s">
        <v>2254</v>
      </c>
      <c r="E172" s="115">
        <f>IF((E146-E158)&gt;0,E146-E158,0)</f>
        <v>10503</v>
      </c>
      <c r="F172" s="115">
        <f t="shared" ref="F172" si="36">IF((F146-F158)&gt;0,F146-F158,0)</f>
        <v>42345</v>
      </c>
      <c r="G172" s="115">
        <f>IF((G146-G158)&gt;0,G146-G158,0)</f>
        <v>0</v>
      </c>
      <c r="H172" s="115">
        <f t="shared" ref="H172:I172" si="37">IF((H146-H158)&gt;0,H146-H158,0)</f>
        <v>0</v>
      </c>
      <c r="I172" s="115">
        <f t="shared" si="37"/>
        <v>0</v>
      </c>
    </row>
    <row r="173" spans="2:9" ht="15.75" thickBot="1" x14ac:dyDescent="0.3">
      <c r="D173" s="132" t="s">
        <v>2271</v>
      </c>
      <c r="E173" s="145">
        <f>IF((E172-E170)&gt;0,(E172-E170),0)</f>
        <v>0</v>
      </c>
      <c r="F173" s="133">
        <f>IF((F172-F170)&gt;0,(F172-F170),0)</f>
        <v>0</v>
      </c>
      <c r="G173" s="133">
        <f>IF((G172-G170)&gt;0,(G172-G170),0)</f>
        <v>0</v>
      </c>
      <c r="H173" s="133">
        <f t="shared" ref="H173:I173" si="38">IF((H172-H170)&gt;0,(H172-H170),0)</f>
        <v>0</v>
      </c>
      <c r="I173" s="133">
        <f t="shared" si="38"/>
        <v>0</v>
      </c>
    </row>
    <row r="174" spans="2:9" x14ac:dyDescent="0.25">
      <c r="C174" s="417" t="s">
        <v>2275</v>
      </c>
      <c r="D174" s="134" t="s">
        <v>2272</v>
      </c>
      <c r="E174" s="135"/>
      <c r="F174" s="135"/>
      <c r="G174" s="135"/>
      <c r="H174" s="135"/>
      <c r="I174" s="136"/>
    </row>
    <row r="175" spans="2:9" ht="15.75" thickBot="1" x14ac:dyDescent="0.3">
      <c r="C175" s="418"/>
      <c r="D175" s="137" t="s">
        <v>2273</v>
      </c>
      <c r="E175" s="138"/>
      <c r="F175" s="138"/>
      <c r="G175" s="138"/>
      <c r="H175" s="138"/>
      <c r="I175" s="139"/>
    </row>
    <row r="176" spans="2:9" ht="15.75" thickBot="1" x14ac:dyDescent="0.3">
      <c r="C176" s="417" t="s">
        <v>2276</v>
      </c>
      <c r="D176" s="134" t="s">
        <v>2277</v>
      </c>
      <c r="E176" s="138"/>
      <c r="F176" s="138"/>
      <c r="G176" s="138"/>
      <c r="H176" s="138"/>
      <c r="I176" s="139"/>
    </row>
    <row r="177" spans="2:9" ht="15.75" thickBot="1" x14ac:dyDescent="0.3">
      <c r="C177" s="418"/>
      <c r="D177" s="137" t="s">
        <v>2273</v>
      </c>
      <c r="E177" s="135"/>
      <c r="F177" s="135"/>
      <c r="G177" s="135"/>
      <c r="H177" s="135"/>
      <c r="I177" s="140"/>
    </row>
    <row r="178" spans="2:9" x14ac:dyDescent="0.25">
      <c r="C178" s="417" t="s">
        <v>2278</v>
      </c>
      <c r="D178" s="134" t="s">
        <v>2274</v>
      </c>
      <c r="E178" s="135"/>
      <c r="F178" s="135"/>
      <c r="G178" s="135"/>
      <c r="H178" s="135"/>
      <c r="I178" s="136"/>
    </row>
    <row r="179" spans="2:9" ht="15.75" thickBot="1" x14ac:dyDescent="0.3">
      <c r="C179" s="418"/>
      <c r="D179" s="137" t="s">
        <v>2273</v>
      </c>
      <c r="E179" s="138"/>
      <c r="F179" s="138"/>
      <c r="G179" s="138"/>
      <c r="H179" s="138"/>
      <c r="I179" s="139"/>
    </row>
    <row r="183" spans="2:9" x14ac:dyDescent="0.25">
      <c r="B183" s="413" t="s">
        <v>16</v>
      </c>
      <c r="C183" s="3" t="s">
        <v>2214</v>
      </c>
      <c r="D183" s="44"/>
      <c r="E183" s="4">
        <f>SUM(F183:I183)</f>
        <v>173427</v>
      </c>
      <c r="F183" s="4">
        <f>F147</f>
        <v>124811</v>
      </c>
      <c r="G183" s="4">
        <f>G147</f>
        <v>48616</v>
      </c>
      <c r="H183" s="3"/>
      <c r="I183" s="3"/>
    </row>
    <row r="184" spans="2:9" x14ac:dyDescent="0.25">
      <c r="B184" s="413"/>
      <c r="C184" s="3" t="s">
        <v>2257</v>
      </c>
      <c r="D184" s="44"/>
      <c r="E184" s="115">
        <f>SUM(F184:I184)</f>
        <v>114613</v>
      </c>
      <c r="F184" s="4">
        <f>IF((F183-F151)&gt;0,F151,F183)</f>
        <v>65997</v>
      </c>
      <c r="G184" s="4">
        <f>IF((G183-G151)&gt;0,G151,G183)</f>
        <v>48616</v>
      </c>
      <c r="H184" s="4">
        <f t="shared" ref="H184:I184" si="39">IF((H183-H151)&gt;0,H151,H183)</f>
        <v>0</v>
      </c>
      <c r="I184" s="4">
        <f t="shared" si="39"/>
        <v>0</v>
      </c>
    </row>
    <row r="185" spans="2:9" ht="60" x14ac:dyDescent="0.25">
      <c r="B185" s="413"/>
      <c r="C185" s="3" t="s">
        <v>2258</v>
      </c>
      <c r="D185" s="45" t="s">
        <v>2344</v>
      </c>
      <c r="E185" s="4">
        <f>E98</f>
        <v>202583</v>
      </c>
      <c r="F185" s="4">
        <f>F98</f>
        <v>100557</v>
      </c>
      <c r="G185" s="4">
        <f>G98</f>
        <v>100949</v>
      </c>
      <c r="H185" s="4">
        <f>H165</f>
        <v>0</v>
      </c>
      <c r="I185" s="3"/>
    </row>
    <row r="186" spans="2:9" x14ac:dyDescent="0.25">
      <c r="B186" s="413"/>
      <c r="C186" s="179" t="s">
        <v>2256</v>
      </c>
      <c r="D186" s="180" t="s">
        <v>2353</v>
      </c>
      <c r="E186" s="118">
        <f>SUM(F186:I186)</f>
        <v>58814</v>
      </c>
      <c r="F186" s="118">
        <f>IF((F183-F184)&gt;0,MIN((F183-F184),F185),0)</f>
        <v>58814</v>
      </c>
      <c r="G186" s="118">
        <f>IF((G183-G184)&gt;0,MIN((G183-G184),G185),0)</f>
        <v>0</v>
      </c>
      <c r="H186" s="118">
        <f t="shared" ref="H186:I186" si="40">MIN((H183-H184),H185)</f>
        <v>0</v>
      </c>
      <c r="I186" s="118">
        <f t="shared" si="40"/>
        <v>0</v>
      </c>
    </row>
    <row r="190" spans="2:9" x14ac:dyDescent="0.25">
      <c r="B190" s="413" t="s">
        <v>2256</v>
      </c>
      <c r="C190" s="3" t="s">
        <v>2253</v>
      </c>
      <c r="D190" s="44"/>
      <c r="E190" s="121">
        <f>SUM(E159+E173)</f>
        <v>225486</v>
      </c>
      <c r="F190" s="121">
        <f t="shared" ref="F190:I190" si="41">SUM(F159+F173)</f>
        <v>100920</v>
      </c>
      <c r="G190" s="121">
        <f t="shared" si="41"/>
        <v>124631</v>
      </c>
      <c r="H190" s="121">
        <f t="shared" si="41"/>
        <v>22</v>
      </c>
      <c r="I190" s="115">
        <f t="shared" si="41"/>
        <v>-87</v>
      </c>
    </row>
    <row r="191" spans="2:9" x14ac:dyDescent="0.25">
      <c r="B191" s="413"/>
      <c r="C191" s="3" t="s">
        <v>16</v>
      </c>
      <c r="D191" s="44"/>
      <c r="E191" s="118">
        <f>E186</f>
        <v>58814</v>
      </c>
      <c r="F191" s="118">
        <f t="shared" ref="F191:I191" si="42">F186</f>
        <v>58814</v>
      </c>
      <c r="G191" s="118">
        <f t="shared" si="42"/>
        <v>0</v>
      </c>
      <c r="H191" s="118">
        <f t="shared" si="42"/>
        <v>0</v>
      </c>
      <c r="I191" s="115">
        <f t="shared" si="42"/>
        <v>0</v>
      </c>
    </row>
    <row r="192" spans="2:9" x14ac:dyDescent="0.25">
      <c r="B192" s="413"/>
      <c r="C192" s="3" t="s">
        <v>2270</v>
      </c>
      <c r="D192" s="44"/>
      <c r="E192" s="115">
        <f>E190-E191</f>
        <v>166672</v>
      </c>
      <c r="F192" s="115">
        <f t="shared" ref="F192:I192" si="43">F190-F191</f>
        <v>42106</v>
      </c>
      <c r="G192" s="115">
        <f t="shared" si="43"/>
        <v>124631</v>
      </c>
      <c r="H192" s="115">
        <f t="shared" si="43"/>
        <v>22</v>
      </c>
      <c r="I192" s="115">
        <f t="shared" si="43"/>
        <v>-87</v>
      </c>
    </row>
    <row r="196" spans="4:7" x14ac:dyDescent="0.25">
      <c r="D196" s="44" t="s">
        <v>2345</v>
      </c>
      <c r="E196" s="4">
        <f>SUM(F196:G196)</f>
        <v>248149</v>
      </c>
      <c r="F196" s="4">
        <f>F146-F147</f>
        <v>147829</v>
      </c>
      <c r="G196" s="4">
        <f>G146-G147</f>
        <v>100320</v>
      </c>
    </row>
  </sheetData>
  <mergeCells count="24">
    <mergeCell ref="A80:A90"/>
    <mergeCell ref="C1:I1"/>
    <mergeCell ref="A3:A13"/>
    <mergeCell ref="B14:I14"/>
    <mergeCell ref="A18:A28"/>
    <mergeCell ref="B29:I29"/>
    <mergeCell ref="A34:A44"/>
    <mergeCell ref="B45:I45"/>
    <mergeCell ref="B46:I46"/>
    <mergeCell ref="A50:A60"/>
    <mergeCell ref="B61:I61"/>
    <mergeCell ref="A64:A74"/>
    <mergeCell ref="A93:A98"/>
    <mergeCell ref="C94:I94"/>
    <mergeCell ref="B149:B155"/>
    <mergeCell ref="D152:D154"/>
    <mergeCell ref="B163:B169"/>
    <mergeCell ref="D166:D168"/>
    <mergeCell ref="B138:B141"/>
    <mergeCell ref="C174:C175"/>
    <mergeCell ref="C176:C177"/>
    <mergeCell ref="C178:C179"/>
    <mergeCell ref="B183:B186"/>
    <mergeCell ref="B190:B192"/>
  </mergeCells>
  <hyperlinks>
    <hyperlink ref="C1" r:id="rId1"/>
    <hyperlink ref="C78" r:id="rId2"/>
    <hyperlink ref="C16" r:id="rId3"/>
    <hyperlink ref="C32" r:id="rId4"/>
    <hyperlink ref="C48" r:id="rId5"/>
    <hyperlink ref="C94" r:id="rId6" display="https://dashboard.applaydu.com/question/2314-applaydu-number-of-organic-users-that-scan-at-least-1-toy?"/>
    <hyperlink ref="C107" r:id="rId7"/>
    <hyperlink ref="D124" r:id="rId8"/>
    <hyperlink ref="D185" r:id="rId9"/>
    <hyperlink ref="D165" r:id="rId10"/>
  </hyperlinks>
  <pageMargins left="0.7" right="0.7" top="0.75" bottom="0.75" header="0.3" footer="0.3"/>
  <pageSetup paperSize="9" orientation="portrait" r:id="rId11"/>
  <legacyDrawing r:id="rId1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6"/>
  <sheetViews>
    <sheetView topLeftCell="A91" zoomScale="92" zoomScaleNormal="90" workbookViewId="0">
      <selection activeCell="D118" sqref="D118"/>
    </sheetView>
  </sheetViews>
  <sheetFormatPr defaultColWidth="8.85546875" defaultRowHeight="15" x14ac:dyDescent="0.25"/>
  <cols>
    <col min="1" max="1" width="4" customWidth="1"/>
    <col min="2" max="2" width="34.140625" bestFit="1" customWidth="1"/>
    <col min="3" max="3" width="26.28515625" customWidth="1"/>
    <col min="4" max="4" width="41.42578125" style="2" customWidth="1"/>
    <col min="5" max="5" width="24" bestFit="1" customWidth="1"/>
    <col min="6" max="7" width="16" customWidth="1"/>
    <col min="8" max="8" width="20.140625" bestFit="1" customWidth="1"/>
    <col min="9" max="9" width="17.42578125" bestFit="1" customWidth="1"/>
    <col min="12" max="12" width="19.42578125" customWidth="1"/>
  </cols>
  <sheetData>
    <row r="1" spans="1:9" ht="15.75" thickBot="1" x14ac:dyDescent="0.3">
      <c r="B1" s="84" t="s">
        <v>2174</v>
      </c>
      <c r="C1" s="422" t="s">
        <v>2175</v>
      </c>
      <c r="D1" s="423"/>
      <c r="E1" s="423"/>
      <c r="F1" s="423"/>
      <c r="G1" s="423"/>
      <c r="H1" s="423"/>
      <c r="I1" s="423"/>
    </row>
    <row r="2" spans="1:9" ht="15.75" thickBot="1" x14ac:dyDescent="0.3">
      <c r="C2" s="80" t="s">
        <v>23</v>
      </c>
      <c r="D2" s="81" t="s">
        <v>36</v>
      </c>
      <c r="E2" s="82" t="s">
        <v>21</v>
      </c>
      <c r="F2" s="82" t="s">
        <v>13</v>
      </c>
      <c r="G2" s="82" t="s">
        <v>14</v>
      </c>
      <c r="H2" s="82" t="s">
        <v>15</v>
      </c>
      <c r="I2" s="83" t="s">
        <v>29</v>
      </c>
    </row>
    <row r="3" spans="1:9" ht="15.75" customHeight="1" thickBot="1" x14ac:dyDescent="0.3">
      <c r="A3" s="424" t="s">
        <v>2136</v>
      </c>
      <c r="B3" s="58" t="s">
        <v>54</v>
      </c>
      <c r="C3" s="5" t="s">
        <v>24</v>
      </c>
      <c r="D3" s="48"/>
      <c r="E3" s="35">
        <f>SUM(F3:I3)</f>
        <v>517498</v>
      </c>
      <c r="F3" s="37">
        <v>252076</v>
      </c>
      <c r="G3" s="38">
        <v>265422</v>
      </c>
      <c r="H3" s="38">
        <v>0</v>
      </c>
      <c r="I3" s="6">
        <v>0</v>
      </c>
    </row>
    <row r="4" spans="1:9" ht="54" customHeight="1" thickBot="1" x14ac:dyDescent="0.3">
      <c r="A4" s="425"/>
      <c r="B4" s="59" t="s">
        <v>40</v>
      </c>
      <c r="C4" s="31" t="s">
        <v>33</v>
      </c>
      <c r="D4" s="32" t="s">
        <v>42</v>
      </c>
      <c r="E4" s="33">
        <f>SUM(F4:I4)</f>
        <v>93469.709151208372</v>
      </c>
      <c r="F4" s="33">
        <v>45514</v>
      </c>
      <c r="G4" s="245">
        <f>MAX(F4*G3/F3,G3*'Details-GLOBAL-202301-202303'!H4/'Details-GLOBAL-202301-202303'!H3)</f>
        <v>47923.709151208364</v>
      </c>
      <c r="H4" s="33">
        <v>32</v>
      </c>
      <c r="I4" s="34"/>
    </row>
    <row r="5" spans="1:9" ht="17.25" customHeight="1" thickBot="1" x14ac:dyDescent="0.3">
      <c r="A5" s="425"/>
      <c r="B5" s="66"/>
      <c r="C5" s="66"/>
      <c r="D5" s="67"/>
      <c r="E5" s="68"/>
      <c r="F5" s="68"/>
      <c r="G5" s="68"/>
      <c r="H5" s="68"/>
      <c r="I5" s="68"/>
    </row>
    <row r="6" spans="1:9" ht="60" customHeight="1" x14ac:dyDescent="0.25">
      <c r="A6" s="425"/>
      <c r="B6" s="60" t="s">
        <v>41</v>
      </c>
      <c r="C6" s="11" t="s">
        <v>33</v>
      </c>
      <c r="D6" s="12" t="s">
        <v>43</v>
      </c>
      <c r="E6" s="13">
        <f>SUM(F6:H6)</f>
        <v>24107</v>
      </c>
      <c r="F6" s="100">
        <v>24093</v>
      </c>
      <c r="G6" s="36" t="s">
        <v>8</v>
      </c>
      <c r="H6" s="99">
        <v>14</v>
      </c>
      <c r="I6" s="15"/>
    </row>
    <row r="7" spans="1:9" ht="45" x14ac:dyDescent="0.25">
      <c r="A7" s="425"/>
      <c r="B7" s="61" t="s">
        <v>50</v>
      </c>
      <c r="C7" s="3"/>
      <c r="D7" s="7" t="s">
        <v>51</v>
      </c>
      <c r="E7" s="8"/>
      <c r="F7" s="9">
        <f>F6/F4</f>
        <v>0.52935360548402688</v>
      </c>
      <c r="G7" s="4"/>
      <c r="H7" s="4"/>
      <c r="I7" s="21"/>
    </row>
    <row r="8" spans="1:9" ht="15.75" thickBot="1" x14ac:dyDescent="0.3">
      <c r="A8" s="425"/>
      <c r="B8" s="62" t="s">
        <v>52</v>
      </c>
      <c r="C8" s="18"/>
      <c r="D8" s="49"/>
      <c r="E8" s="18"/>
      <c r="F8" s="92">
        <f>F6/F3</f>
        <v>9.5578317650232475E-2</v>
      </c>
      <c r="G8" s="18"/>
      <c r="H8" s="18"/>
      <c r="I8" s="19"/>
    </row>
    <row r="9" spans="1:9" ht="14.25" customHeight="1" thickBot="1" x14ac:dyDescent="0.3">
      <c r="A9" s="425"/>
      <c r="B9" s="66"/>
      <c r="C9" s="66"/>
      <c r="D9" s="67"/>
      <c r="E9" s="68"/>
      <c r="F9" s="68"/>
      <c r="G9" s="68"/>
      <c r="H9" s="68"/>
      <c r="I9" s="68"/>
    </row>
    <row r="10" spans="1:9" ht="30" customHeight="1" x14ac:dyDescent="0.25">
      <c r="A10" s="425"/>
      <c r="B10" s="63" t="s">
        <v>44</v>
      </c>
      <c r="C10" s="13"/>
      <c r="D10" s="12" t="s">
        <v>45</v>
      </c>
      <c r="E10" s="13">
        <f>E4</f>
        <v>93469.709151208372</v>
      </c>
      <c r="F10" s="13">
        <f>F4</f>
        <v>45514</v>
      </c>
      <c r="G10" s="13">
        <f>G4</f>
        <v>47923.709151208364</v>
      </c>
      <c r="H10" s="13">
        <f>H4</f>
        <v>32</v>
      </c>
      <c r="I10" s="15">
        <f>I4</f>
        <v>0</v>
      </c>
    </row>
    <row r="11" spans="1:9" ht="15.75" thickBot="1" x14ac:dyDescent="0.3">
      <c r="A11" s="425"/>
      <c r="B11" s="64" t="s">
        <v>49</v>
      </c>
      <c r="C11" s="4"/>
      <c r="D11" s="44"/>
      <c r="E11" s="9">
        <f>E10/E3</f>
        <v>0.18061849350375919</v>
      </c>
      <c r="F11" s="9">
        <f>F10/F3</f>
        <v>0.18055665751598723</v>
      </c>
      <c r="G11" s="9">
        <f t="shared" ref="G11" si="0">G10/G3</f>
        <v>0.18055665751598723</v>
      </c>
      <c r="H11" s="8"/>
      <c r="I11" s="23"/>
    </row>
    <row r="12" spans="1:9" ht="45" x14ac:dyDescent="0.25">
      <c r="A12" s="425"/>
      <c r="B12" s="65" t="s">
        <v>46</v>
      </c>
      <c r="C12" s="3"/>
      <c r="D12" s="44" t="s">
        <v>47</v>
      </c>
      <c r="E12" s="4">
        <f>E10-E6</f>
        <v>69362.709151208372</v>
      </c>
      <c r="F12" s="4">
        <f>F10-F6</f>
        <v>21421</v>
      </c>
      <c r="G12" s="142">
        <f>F12*G10/F10</f>
        <v>22555.120923848364</v>
      </c>
      <c r="H12" s="4">
        <f>H10-H6</f>
        <v>18</v>
      </c>
      <c r="I12" s="21">
        <f>I10-I6</f>
        <v>0</v>
      </c>
    </row>
    <row r="13" spans="1:9" ht="15.75" thickBot="1" x14ac:dyDescent="0.3">
      <c r="A13" s="426"/>
      <c r="B13" s="62" t="s">
        <v>48</v>
      </c>
      <c r="C13" s="16"/>
      <c r="D13" s="46"/>
      <c r="E13" s="16"/>
      <c r="F13" s="17">
        <f>F12/F3</f>
        <v>8.4978339865754773E-2</v>
      </c>
      <c r="G13" s="16"/>
      <c r="H13" s="16"/>
      <c r="I13" s="25"/>
    </row>
    <row r="14" spans="1:9" ht="30.75" customHeight="1" x14ac:dyDescent="0.25">
      <c r="A14" s="85"/>
      <c r="B14" s="427" t="s">
        <v>2183</v>
      </c>
      <c r="C14" s="427"/>
      <c r="D14" s="427"/>
      <c r="E14" s="427"/>
      <c r="F14" s="427"/>
      <c r="G14" s="427"/>
      <c r="H14" s="427"/>
      <c r="I14" s="427"/>
    </row>
    <row r="15" spans="1:9" x14ac:dyDescent="0.25">
      <c r="A15" s="56"/>
      <c r="B15" s="56"/>
      <c r="F15" s="57"/>
    </row>
    <row r="16" spans="1:9" ht="15.75" thickBot="1" x14ac:dyDescent="0.3">
      <c r="A16" s="56"/>
      <c r="B16" s="87" t="s">
        <v>2174</v>
      </c>
      <c r="C16" s="96" t="s">
        <v>2187</v>
      </c>
      <c r="D16" s="88"/>
      <c r="E16" s="87"/>
      <c r="F16" s="89"/>
      <c r="G16" s="87"/>
      <c r="H16" s="87"/>
      <c r="I16" s="87"/>
    </row>
    <row r="17" spans="1:9" ht="15.75" thickBot="1" x14ac:dyDescent="0.3">
      <c r="A17" s="56"/>
      <c r="B17" s="56"/>
      <c r="C17" s="80" t="s">
        <v>23</v>
      </c>
      <c r="D17" s="81" t="s">
        <v>36</v>
      </c>
      <c r="E17" s="82" t="s">
        <v>21</v>
      </c>
      <c r="F17" s="82" t="s">
        <v>13</v>
      </c>
      <c r="G17" s="82" t="s">
        <v>14</v>
      </c>
      <c r="H17" s="82" t="s">
        <v>15</v>
      </c>
      <c r="I17" s="83" t="s">
        <v>29</v>
      </c>
    </row>
    <row r="18" spans="1:9" ht="15.75" thickBot="1" x14ac:dyDescent="0.3">
      <c r="A18" s="428" t="s">
        <v>2137</v>
      </c>
      <c r="B18" s="40" t="s">
        <v>2142</v>
      </c>
      <c r="C18" s="5" t="s">
        <v>24</v>
      </c>
      <c r="D18" s="48"/>
      <c r="E18" s="35">
        <f>SUM(F18:I18)</f>
        <v>9278</v>
      </c>
      <c r="F18" s="37">
        <v>5261</v>
      </c>
      <c r="G18" s="38">
        <v>4017</v>
      </c>
      <c r="H18" s="38">
        <v>0</v>
      </c>
      <c r="I18" s="6">
        <v>0</v>
      </c>
    </row>
    <row r="19" spans="1:9" ht="30.75" thickBot="1" x14ac:dyDescent="0.3">
      <c r="A19" s="429"/>
      <c r="B19" s="30" t="s">
        <v>2143</v>
      </c>
      <c r="C19" s="31" t="s">
        <v>33</v>
      </c>
      <c r="D19" s="32" t="s">
        <v>2144</v>
      </c>
      <c r="E19" s="33">
        <f>SUM(F19:I19)</f>
        <v>1262.6968256985365</v>
      </c>
      <c r="F19" s="33">
        <v>716</v>
      </c>
      <c r="G19" s="245">
        <f>MAX(F19*G18/F18,G18*'Details-GLOBAL-202301-202303'!H19/'Details-GLOBAL-202301-202303'!H18)</f>
        <v>546.69682569853637</v>
      </c>
      <c r="H19" s="33">
        <v>0</v>
      </c>
      <c r="I19" s="34"/>
    </row>
    <row r="20" spans="1:9" ht="15.75" thickBot="1" x14ac:dyDescent="0.3">
      <c r="A20" s="429"/>
      <c r="B20" s="69"/>
      <c r="C20" s="66"/>
      <c r="D20" s="67"/>
      <c r="E20" s="68"/>
      <c r="F20" s="68"/>
      <c r="G20" s="68"/>
      <c r="H20" s="68"/>
      <c r="I20" s="70"/>
    </row>
    <row r="21" spans="1:9" ht="45" x14ac:dyDescent="0.25">
      <c r="A21" s="429"/>
      <c r="B21" s="41" t="s">
        <v>2145</v>
      </c>
      <c r="C21" s="11" t="s">
        <v>33</v>
      </c>
      <c r="D21" s="12" t="s">
        <v>2146</v>
      </c>
      <c r="E21" s="13">
        <f>SUM(F21:H21)</f>
        <v>396</v>
      </c>
      <c r="F21" s="100">
        <v>396</v>
      </c>
      <c r="G21" s="36" t="s">
        <v>8</v>
      </c>
      <c r="H21" s="14">
        <v>0</v>
      </c>
      <c r="I21" s="15"/>
    </row>
    <row r="22" spans="1:9" ht="45" x14ac:dyDescent="0.25">
      <c r="A22" s="429"/>
      <c r="B22" s="42" t="s">
        <v>2141</v>
      </c>
      <c r="C22" s="3"/>
      <c r="D22" s="7" t="s">
        <v>2147</v>
      </c>
      <c r="E22" s="8"/>
      <c r="F22" s="9">
        <f>F21/F19</f>
        <v>0.55307262569832405</v>
      </c>
      <c r="G22" s="4"/>
      <c r="H22" s="4"/>
      <c r="I22" s="21"/>
    </row>
    <row r="23" spans="1:9" ht="15.75" thickBot="1" x14ac:dyDescent="0.3">
      <c r="A23" s="429"/>
      <c r="B23" s="43" t="s">
        <v>52</v>
      </c>
      <c r="C23" s="18"/>
      <c r="D23" s="49"/>
      <c r="E23" s="18"/>
      <c r="F23" s="22">
        <f>F21/F18</f>
        <v>7.527086105303174E-2</v>
      </c>
      <c r="G23" s="18"/>
      <c r="H23" s="18"/>
      <c r="I23" s="19"/>
    </row>
    <row r="24" spans="1:9" ht="15.75" thickBot="1" x14ac:dyDescent="0.3">
      <c r="A24" s="429"/>
      <c r="B24" s="69"/>
      <c r="C24" s="66"/>
      <c r="D24" s="67"/>
      <c r="E24" s="68"/>
      <c r="F24" s="68"/>
      <c r="G24" s="68"/>
      <c r="H24" s="68"/>
      <c r="I24" s="70"/>
    </row>
    <row r="25" spans="1:9" ht="30" x14ac:dyDescent="0.25">
      <c r="A25" s="429"/>
      <c r="B25" s="10" t="s">
        <v>44</v>
      </c>
      <c r="C25" s="13"/>
      <c r="D25" s="12" t="s">
        <v>2184</v>
      </c>
      <c r="E25" s="13">
        <f>SUM(F25:I25)</f>
        <v>1262.6968256985365</v>
      </c>
      <c r="F25" s="13">
        <f>F19</f>
        <v>716</v>
      </c>
      <c r="G25" s="13">
        <f t="shared" ref="G25:I25" si="1">G19</f>
        <v>546.69682569853637</v>
      </c>
      <c r="H25" s="13">
        <f t="shared" si="1"/>
        <v>0</v>
      </c>
      <c r="I25" s="13">
        <f t="shared" si="1"/>
        <v>0</v>
      </c>
    </row>
    <row r="26" spans="1:9" ht="15.75" thickBot="1" x14ac:dyDescent="0.3">
      <c r="A26" s="429"/>
      <c r="B26" s="20" t="s">
        <v>49</v>
      </c>
      <c r="C26" s="4"/>
      <c r="D26" s="44"/>
      <c r="E26" s="9">
        <f>E25/E18</f>
        <v>0.13609579927770388</v>
      </c>
      <c r="F26" s="9">
        <f>F25/F18</f>
        <v>0.13609579927770385</v>
      </c>
      <c r="G26" s="9">
        <f t="shared" ref="G26" si="2">G25/G18</f>
        <v>0.13609579927770385</v>
      </c>
      <c r="H26" s="8"/>
      <c r="I26" s="23"/>
    </row>
    <row r="27" spans="1:9" ht="60" x14ac:dyDescent="0.25">
      <c r="A27" s="429"/>
      <c r="B27" s="24" t="s">
        <v>46</v>
      </c>
      <c r="C27" s="3"/>
      <c r="D27" s="12" t="s">
        <v>56</v>
      </c>
      <c r="E27" s="93">
        <f>E25-E21</f>
        <v>866.69682569853649</v>
      </c>
      <c r="F27" s="4">
        <f>F25-F21</f>
        <v>320</v>
      </c>
      <c r="G27" s="142">
        <f>F27*G25/F25</f>
        <v>244.33377684850788</v>
      </c>
      <c r="H27" s="4">
        <f>H25-H21</f>
        <v>0</v>
      </c>
      <c r="I27" s="21">
        <f>I25-I21</f>
        <v>0</v>
      </c>
    </row>
    <row r="28" spans="1:9" ht="15.75" thickBot="1" x14ac:dyDescent="0.3">
      <c r="A28" s="430"/>
      <c r="B28" s="43" t="s">
        <v>48</v>
      </c>
      <c r="C28" s="16"/>
      <c r="D28" s="46"/>
      <c r="E28" s="16"/>
      <c r="F28" s="17">
        <f>F27/F18</f>
        <v>6.0824938224672116E-2</v>
      </c>
      <c r="G28" s="16"/>
      <c r="H28" s="16"/>
      <c r="I28" s="25"/>
    </row>
    <row r="29" spans="1:9" x14ac:dyDescent="0.25">
      <c r="A29" s="56"/>
      <c r="B29" s="431" t="s">
        <v>2173</v>
      </c>
      <c r="C29" s="431"/>
      <c r="D29" s="431"/>
      <c r="E29" s="431"/>
      <c r="F29" s="431"/>
      <c r="G29" s="431"/>
      <c r="H29" s="431"/>
      <c r="I29" s="431"/>
    </row>
    <row r="30" spans="1:9" x14ac:dyDescent="0.25">
      <c r="A30" s="56"/>
      <c r="B30" s="90"/>
      <c r="C30" s="90"/>
      <c r="D30" s="90"/>
      <c r="E30" s="90"/>
      <c r="F30" s="90"/>
      <c r="G30" s="90"/>
      <c r="H30" s="90"/>
      <c r="I30" s="90"/>
    </row>
    <row r="31" spans="1:9" x14ac:dyDescent="0.25">
      <c r="A31" s="56"/>
      <c r="B31" s="90"/>
      <c r="C31" s="90"/>
      <c r="D31" s="90"/>
      <c r="E31" s="90"/>
      <c r="F31" s="90"/>
      <c r="G31" s="90"/>
      <c r="H31" s="90"/>
      <c r="I31" s="90"/>
    </row>
    <row r="32" spans="1:9" ht="15.75" thickBot="1" x14ac:dyDescent="0.3">
      <c r="A32" s="56"/>
      <c r="B32" s="87" t="s">
        <v>2174</v>
      </c>
      <c r="C32" s="96" t="s">
        <v>2189</v>
      </c>
      <c r="D32" s="88"/>
      <c r="E32" s="87"/>
      <c r="F32" s="89"/>
      <c r="G32" s="87"/>
      <c r="H32" s="87"/>
      <c r="I32" s="87"/>
    </row>
    <row r="33" spans="1:9" ht="15.75" thickBot="1" x14ac:dyDescent="0.3">
      <c r="A33" s="56"/>
      <c r="B33" s="56"/>
      <c r="C33" s="80" t="s">
        <v>23</v>
      </c>
      <c r="D33" s="81" t="s">
        <v>36</v>
      </c>
      <c r="E33" s="82" t="s">
        <v>21</v>
      </c>
      <c r="F33" s="82" t="s">
        <v>13</v>
      </c>
      <c r="G33" s="82" t="s">
        <v>14</v>
      </c>
      <c r="H33" s="82" t="s">
        <v>15</v>
      </c>
      <c r="I33" s="83" t="s">
        <v>29</v>
      </c>
    </row>
    <row r="34" spans="1:9" ht="15.75" thickBot="1" x14ac:dyDescent="0.3">
      <c r="A34" s="438" t="s">
        <v>2138</v>
      </c>
      <c r="B34" s="78" t="s">
        <v>2148</v>
      </c>
      <c r="C34" s="71" t="s">
        <v>24</v>
      </c>
      <c r="D34" s="72"/>
      <c r="E34" s="73">
        <f>SUM(F34:I34)</f>
        <v>862</v>
      </c>
      <c r="F34" s="74">
        <v>661</v>
      </c>
      <c r="G34" s="75">
        <v>201</v>
      </c>
      <c r="H34" s="75"/>
      <c r="I34" s="76"/>
    </row>
    <row r="35" spans="1:9" ht="30.75" customHeight="1" thickBot="1" x14ac:dyDescent="0.3">
      <c r="A35" s="439"/>
      <c r="B35" s="58" t="s">
        <v>2149</v>
      </c>
      <c r="C35" s="5" t="s">
        <v>33</v>
      </c>
      <c r="D35" s="47" t="s">
        <v>2150</v>
      </c>
      <c r="E35" s="77">
        <f>SUM(F35:I35)</f>
        <v>25</v>
      </c>
      <c r="F35" s="77">
        <v>13</v>
      </c>
      <c r="G35" s="246">
        <f>MAX(12,F35*G34/F34,G34*'Details-GLOBAL-202301-202303'!H35/'Details-GLOBAL-202301-202303'!H34)</f>
        <v>12</v>
      </c>
      <c r="H35" s="77">
        <v>0</v>
      </c>
      <c r="I35" s="6"/>
    </row>
    <row r="36" spans="1:9" ht="15.75" thickBot="1" x14ac:dyDescent="0.3">
      <c r="A36" s="439"/>
      <c r="B36" s="66"/>
      <c r="C36" s="66"/>
      <c r="D36" s="67"/>
      <c r="E36" s="68"/>
      <c r="F36" s="68"/>
      <c r="G36" s="68"/>
      <c r="H36" s="68"/>
      <c r="I36" s="70"/>
    </row>
    <row r="37" spans="1:9" ht="45" x14ac:dyDescent="0.25">
      <c r="A37" s="439"/>
      <c r="B37" s="60" t="s">
        <v>2151</v>
      </c>
      <c r="C37" s="11" t="s">
        <v>33</v>
      </c>
      <c r="D37" s="12" t="s">
        <v>2152</v>
      </c>
      <c r="E37" s="13">
        <f>SUM(F37:H37)</f>
        <v>3</v>
      </c>
      <c r="F37" s="100">
        <v>3</v>
      </c>
      <c r="G37" s="36" t="s">
        <v>8</v>
      </c>
      <c r="H37" s="14">
        <v>0</v>
      </c>
      <c r="I37" s="15"/>
    </row>
    <row r="38" spans="1:9" ht="45" x14ac:dyDescent="0.25">
      <c r="A38" s="439"/>
      <c r="B38" s="61" t="s">
        <v>2141</v>
      </c>
      <c r="C38" s="3"/>
      <c r="D38" s="7" t="s">
        <v>2153</v>
      </c>
      <c r="E38" s="8"/>
      <c r="F38" s="9">
        <f t="shared" ref="F38" si="3">F37/F35</f>
        <v>0.23076923076923078</v>
      </c>
      <c r="G38" s="4"/>
      <c r="H38" s="4"/>
      <c r="I38" s="21"/>
    </row>
    <row r="39" spans="1:9" ht="15.75" thickBot="1" x14ac:dyDescent="0.3">
      <c r="A39" s="439"/>
      <c r="B39" s="62" t="s">
        <v>52</v>
      </c>
      <c r="C39" s="18"/>
      <c r="D39" s="49"/>
      <c r="E39" s="18"/>
      <c r="F39" s="92">
        <f>F37/F34</f>
        <v>4.5385779122541605E-3</v>
      </c>
      <c r="G39" s="18"/>
      <c r="H39" s="18"/>
      <c r="I39" s="19"/>
    </row>
    <row r="40" spans="1:9" ht="15.75" thickBot="1" x14ac:dyDescent="0.3">
      <c r="A40" s="439"/>
      <c r="B40" s="66"/>
      <c r="C40" s="66"/>
      <c r="D40" s="67"/>
      <c r="E40" s="68"/>
      <c r="F40" s="68"/>
      <c r="G40" s="68"/>
      <c r="H40" s="68"/>
      <c r="I40" s="70"/>
    </row>
    <row r="41" spans="1:9" ht="75" customHeight="1" x14ac:dyDescent="0.25">
      <c r="A41" s="439"/>
      <c r="B41" s="63" t="s">
        <v>44</v>
      </c>
      <c r="C41" s="13"/>
      <c r="D41" s="12" t="s">
        <v>2185</v>
      </c>
      <c r="E41" s="13">
        <f>SUM(F41:I41)</f>
        <v>25</v>
      </c>
      <c r="F41" s="13">
        <f>F35</f>
        <v>13</v>
      </c>
      <c r="G41" s="13">
        <f t="shared" ref="G41:I41" si="4">G35</f>
        <v>12</v>
      </c>
      <c r="H41" s="13">
        <f t="shared" si="4"/>
        <v>0</v>
      </c>
      <c r="I41" s="13">
        <f t="shared" si="4"/>
        <v>0</v>
      </c>
    </row>
    <row r="42" spans="1:9" ht="15.75" thickBot="1" x14ac:dyDescent="0.3">
      <c r="A42" s="439"/>
      <c r="B42" s="64" t="s">
        <v>49</v>
      </c>
      <c r="C42" s="4"/>
      <c r="D42" s="44"/>
      <c r="E42" s="9">
        <f>E41/E34</f>
        <v>2.9002320185614848E-2</v>
      </c>
      <c r="F42" s="9">
        <f>F41/F34</f>
        <v>1.9667170953101363E-2</v>
      </c>
      <c r="G42" s="9">
        <f>G41/G34</f>
        <v>5.9701492537313432E-2</v>
      </c>
      <c r="H42" s="8"/>
      <c r="I42" s="23"/>
    </row>
    <row r="43" spans="1:9" ht="60" x14ac:dyDescent="0.25">
      <c r="A43" s="439"/>
      <c r="B43" s="65" t="s">
        <v>46</v>
      </c>
      <c r="C43" s="3"/>
      <c r="D43" s="12" t="s">
        <v>57</v>
      </c>
      <c r="E43" s="93">
        <f>E41-E37</f>
        <v>22</v>
      </c>
      <c r="F43" s="4">
        <f>F41-F37</f>
        <v>10</v>
      </c>
      <c r="G43" s="142">
        <f>F43*G41/F41</f>
        <v>9.2307692307692299</v>
      </c>
      <c r="H43" s="4">
        <f>H41-H37</f>
        <v>0</v>
      </c>
      <c r="I43" s="21">
        <f>I41-I37</f>
        <v>0</v>
      </c>
    </row>
    <row r="44" spans="1:9" ht="15.75" thickBot="1" x14ac:dyDescent="0.3">
      <c r="A44" s="440"/>
      <c r="B44" s="62" t="s">
        <v>48</v>
      </c>
      <c r="C44" s="16"/>
      <c r="D44" s="46"/>
      <c r="E44" s="16"/>
      <c r="F44" s="22">
        <f>F43/F34</f>
        <v>1.5128593040847202E-2</v>
      </c>
      <c r="G44" s="16"/>
      <c r="H44" s="16"/>
      <c r="I44" s="25"/>
    </row>
    <row r="45" spans="1:9" ht="15" customHeight="1" x14ac:dyDescent="0.25">
      <c r="A45" s="56"/>
      <c r="B45" s="431" t="s">
        <v>2176</v>
      </c>
      <c r="C45" s="431"/>
      <c r="D45" s="431"/>
      <c r="E45" s="431"/>
      <c r="F45" s="431"/>
      <c r="G45" s="431"/>
      <c r="H45" s="431"/>
      <c r="I45" s="431"/>
    </row>
    <row r="46" spans="1:9" ht="55.5" customHeight="1" x14ac:dyDescent="0.25">
      <c r="A46" s="56"/>
      <c r="B46" s="441" t="s">
        <v>2177</v>
      </c>
      <c r="C46" s="441"/>
      <c r="D46" s="441"/>
      <c r="E46" s="441"/>
      <c r="F46" s="441"/>
      <c r="G46" s="441"/>
      <c r="H46" s="441"/>
      <c r="I46" s="441"/>
    </row>
    <row r="47" spans="1:9" x14ac:dyDescent="0.25">
      <c r="A47" s="56"/>
      <c r="B47" s="56"/>
      <c r="F47" s="57"/>
    </row>
    <row r="48" spans="1:9" ht="15.75" thickBot="1" x14ac:dyDescent="0.3">
      <c r="A48" s="56"/>
      <c r="B48" s="87" t="s">
        <v>2174</v>
      </c>
      <c r="C48" s="96" t="s">
        <v>2188</v>
      </c>
      <c r="D48" s="88"/>
      <c r="E48" s="87"/>
      <c r="F48" s="89"/>
      <c r="G48" s="87"/>
      <c r="H48" s="87"/>
      <c r="I48" s="87"/>
    </row>
    <row r="49" spans="1:9" ht="15.75" thickBot="1" x14ac:dyDescent="0.3">
      <c r="A49" s="56"/>
      <c r="B49" s="56"/>
      <c r="C49" s="80" t="s">
        <v>23</v>
      </c>
      <c r="D49" s="81" t="s">
        <v>36</v>
      </c>
      <c r="E49" s="82" t="s">
        <v>21</v>
      </c>
      <c r="F49" s="82" t="s">
        <v>13</v>
      </c>
      <c r="G49" s="82" t="s">
        <v>14</v>
      </c>
      <c r="H49" s="82" t="s">
        <v>15</v>
      </c>
      <c r="I49" s="83" t="s">
        <v>29</v>
      </c>
    </row>
    <row r="50" spans="1:9" ht="15.75" customHeight="1" thickBot="1" x14ac:dyDescent="0.3">
      <c r="A50" s="432" t="s">
        <v>2171</v>
      </c>
      <c r="B50" s="5" t="s">
        <v>2155</v>
      </c>
      <c r="C50" s="5" t="s">
        <v>24</v>
      </c>
      <c r="D50" s="48"/>
      <c r="E50" s="35">
        <f>SUM(F50:I50)</f>
        <v>5128</v>
      </c>
      <c r="F50" s="37">
        <v>3994</v>
      </c>
      <c r="G50" s="38">
        <v>1134</v>
      </c>
      <c r="H50" s="38">
        <v>0</v>
      </c>
      <c r="I50" s="6">
        <v>0</v>
      </c>
    </row>
    <row r="51" spans="1:9" ht="30.75" thickBot="1" x14ac:dyDescent="0.3">
      <c r="A51" s="433"/>
      <c r="B51" s="30" t="s">
        <v>2156</v>
      </c>
      <c r="C51" s="31" t="s">
        <v>33</v>
      </c>
      <c r="D51" s="32" t="s">
        <v>2154</v>
      </c>
      <c r="E51" s="33">
        <f>SUM(F51:I51)</f>
        <v>4198.5722721437742</v>
      </c>
      <c r="F51" s="33">
        <v>2071</v>
      </c>
      <c r="G51" s="245">
        <f>MAX(F51*G50/F50,G50*'Details-GLOBAL-202301-202303'!H51/'Details-GLOBAL-202301-202303'!H50)</f>
        <v>2127.5722721437742</v>
      </c>
      <c r="H51" s="33">
        <v>0</v>
      </c>
      <c r="I51" s="34"/>
    </row>
    <row r="52" spans="1:9" ht="15.75" thickBot="1" x14ac:dyDescent="0.3">
      <c r="A52" s="433"/>
      <c r="B52" s="66"/>
      <c r="C52" s="66"/>
      <c r="D52" s="67"/>
      <c r="E52" s="68"/>
      <c r="F52" s="68"/>
      <c r="G52" s="68"/>
      <c r="H52" s="68"/>
      <c r="I52" s="70"/>
    </row>
    <row r="53" spans="1:9" ht="45" x14ac:dyDescent="0.25">
      <c r="A53" s="433"/>
      <c r="B53" s="41" t="s">
        <v>2157</v>
      </c>
      <c r="C53" s="11" t="s">
        <v>33</v>
      </c>
      <c r="D53" s="12" t="s">
        <v>2159</v>
      </c>
      <c r="E53" s="13">
        <f>SUM(F53:H53)</f>
        <v>1151</v>
      </c>
      <c r="F53" s="100">
        <v>1151</v>
      </c>
      <c r="G53" s="36" t="s">
        <v>8</v>
      </c>
      <c r="H53" s="14">
        <v>0</v>
      </c>
      <c r="I53" s="15"/>
    </row>
    <row r="54" spans="1:9" ht="45" x14ac:dyDescent="0.25">
      <c r="A54" s="433"/>
      <c r="B54" s="42" t="s">
        <v>2158</v>
      </c>
      <c r="C54" s="3"/>
      <c r="D54" s="7" t="s">
        <v>2160</v>
      </c>
      <c r="E54" s="8"/>
      <c r="F54" s="9">
        <f t="shared" ref="F54:H54" si="5">F53/F51</f>
        <v>0.55577015934331242</v>
      </c>
      <c r="G54" s="8"/>
      <c r="H54" s="8" t="e">
        <f t="shared" si="5"/>
        <v>#DIV/0!</v>
      </c>
      <c r="I54" s="21"/>
    </row>
    <row r="55" spans="1:9" ht="15.75" thickBot="1" x14ac:dyDescent="0.3">
      <c r="A55" s="433"/>
      <c r="B55" s="43" t="s">
        <v>52</v>
      </c>
      <c r="C55" s="18"/>
      <c r="D55" s="49"/>
      <c r="E55" s="18"/>
      <c r="F55" s="92">
        <f>F53/F50</f>
        <v>0.28818227341011515</v>
      </c>
      <c r="G55" s="18"/>
      <c r="H55" s="18"/>
      <c r="I55" s="19"/>
    </row>
    <row r="56" spans="1:9" ht="15.75" thickBot="1" x14ac:dyDescent="0.3">
      <c r="A56" s="433"/>
      <c r="B56" s="66"/>
      <c r="C56" s="66"/>
      <c r="D56" s="67"/>
      <c r="E56" s="68"/>
      <c r="F56" s="68"/>
      <c r="G56" s="68"/>
      <c r="H56" s="68"/>
      <c r="I56" s="70"/>
    </row>
    <row r="57" spans="1:9" ht="45" x14ac:dyDescent="0.25">
      <c r="A57" s="433"/>
      <c r="B57" s="10" t="s">
        <v>44</v>
      </c>
      <c r="C57" s="13"/>
      <c r="D57" s="12" t="s">
        <v>2186</v>
      </c>
      <c r="E57" s="13">
        <f>SUM(F57:I57)</f>
        <v>4198.5722721437742</v>
      </c>
      <c r="F57" s="13">
        <f>F51</f>
        <v>2071</v>
      </c>
      <c r="G57" s="13">
        <f t="shared" ref="G57:I57" si="6">G51</f>
        <v>2127.5722721437742</v>
      </c>
      <c r="H57" s="13">
        <f t="shared" si="6"/>
        <v>0</v>
      </c>
      <c r="I57" s="13">
        <f t="shared" si="6"/>
        <v>0</v>
      </c>
    </row>
    <row r="58" spans="1:9" ht="15.75" thickBot="1" x14ac:dyDescent="0.3">
      <c r="A58" s="433"/>
      <c r="B58" s="20" t="s">
        <v>49</v>
      </c>
      <c r="C58" s="4"/>
      <c r="D58" s="44"/>
      <c r="E58" s="9">
        <f>E57/E50</f>
        <v>0.81875434324176566</v>
      </c>
      <c r="F58" s="9">
        <f>F57/F50</f>
        <v>0.51852779168753127</v>
      </c>
      <c r="G58" s="9">
        <f t="shared" ref="G58:H58" si="7">G57/G50</f>
        <v>1.8761660248181431</v>
      </c>
      <c r="H58" s="8" t="e">
        <f t="shared" si="7"/>
        <v>#DIV/0!</v>
      </c>
      <c r="I58" s="8"/>
    </row>
    <row r="59" spans="1:9" ht="60" x14ac:dyDescent="0.25">
      <c r="A59" s="433"/>
      <c r="B59" s="24" t="s">
        <v>46</v>
      </c>
      <c r="C59" s="3"/>
      <c r="D59" s="12" t="s">
        <v>2161</v>
      </c>
      <c r="E59" s="93">
        <f>E57-E53</f>
        <v>3047.5722721437742</v>
      </c>
      <c r="F59" s="4">
        <f>F57-F53</f>
        <v>920</v>
      </c>
      <c r="G59" s="142">
        <f>F59*G57/F57</f>
        <v>945.13109144001555</v>
      </c>
      <c r="H59" s="4">
        <f t="shared" ref="H59:I59" si="8">H57-H53</f>
        <v>0</v>
      </c>
      <c r="I59" s="4">
        <f t="shared" si="8"/>
        <v>0</v>
      </c>
    </row>
    <row r="60" spans="1:9" ht="15.75" thickBot="1" x14ac:dyDescent="0.3">
      <c r="A60" s="434"/>
      <c r="B60" s="43" t="s">
        <v>48</v>
      </c>
      <c r="C60" s="16"/>
      <c r="D60" s="46"/>
      <c r="E60" s="16"/>
      <c r="F60" s="17">
        <f>F59/F50</f>
        <v>0.23034551827741612</v>
      </c>
      <c r="G60" s="16"/>
      <c r="H60" s="16"/>
      <c r="I60" s="25"/>
    </row>
    <row r="61" spans="1:9" x14ac:dyDescent="0.25">
      <c r="A61" s="56"/>
      <c r="B61" s="431" t="s">
        <v>2178</v>
      </c>
      <c r="C61" s="431"/>
      <c r="D61" s="431"/>
      <c r="E61" s="431"/>
      <c r="F61" s="431"/>
      <c r="G61" s="431"/>
      <c r="H61" s="431"/>
      <c r="I61" s="431"/>
    </row>
    <row r="62" spans="1:9" ht="15.75" thickBot="1" x14ac:dyDescent="0.3">
      <c r="A62" s="56"/>
      <c r="B62" s="56"/>
      <c r="F62" s="57"/>
    </row>
    <row r="63" spans="1:9" ht="15.75" thickBot="1" x14ac:dyDescent="0.3">
      <c r="A63" s="56"/>
      <c r="B63" s="56"/>
      <c r="C63" s="80" t="s">
        <v>23</v>
      </c>
      <c r="D63" s="81" t="s">
        <v>36</v>
      </c>
      <c r="E63" s="82" t="s">
        <v>21</v>
      </c>
      <c r="F63" s="82" t="s">
        <v>13</v>
      </c>
      <c r="G63" s="82" t="s">
        <v>14</v>
      </c>
      <c r="H63" s="82" t="s">
        <v>15</v>
      </c>
      <c r="I63" s="83" t="s">
        <v>29</v>
      </c>
    </row>
    <row r="64" spans="1:9" ht="15.75" customHeight="1" thickBot="1" x14ac:dyDescent="0.3">
      <c r="A64" s="432" t="s">
        <v>2139</v>
      </c>
      <c r="B64" s="5" t="s">
        <v>2162</v>
      </c>
      <c r="C64" s="5" t="s">
        <v>24</v>
      </c>
      <c r="D64" s="48"/>
      <c r="E64" s="35">
        <f>SUM(F64:I64)</f>
        <v>533457</v>
      </c>
      <c r="F64" s="37">
        <f>F3+F18+F34+F50+F80</f>
        <v>262380</v>
      </c>
      <c r="G64" s="37">
        <f t="shared" ref="G64:H65" si="9">G3+G18+G34+G50+G80</f>
        <v>271077</v>
      </c>
      <c r="H64" s="37">
        <f t="shared" si="9"/>
        <v>0</v>
      </c>
      <c r="I64" s="37">
        <f>I3+I18+I34+I50</f>
        <v>0</v>
      </c>
    </row>
    <row r="65" spans="1:9" ht="30.75" thickBot="1" x14ac:dyDescent="0.3">
      <c r="A65" s="433"/>
      <c r="B65" s="30" t="s">
        <v>2163</v>
      </c>
      <c r="C65" s="31" t="s">
        <v>33</v>
      </c>
      <c r="D65" s="32" t="s">
        <v>2164</v>
      </c>
      <c r="E65" s="33">
        <f>SUM(F65:I65)</f>
        <v>99000.501444926966</v>
      </c>
      <c r="F65" s="37">
        <f>F4+F19+F35+F51+F81</f>
        <v>48339</v>
      </c>
      <c r="G65" s="37">
        <f t="shared" si="9"/>
        <v>50629.501444926966</v>
      </c>
      <c r="H65" s="37">
        <f t="shared" si="9"/>
        <v>32</v>
      </c>
      <c r="I65" s="37">
        <f>I4+I19+I35+I51+I81</f>
        <v>0</v>
      </c>
    </row>
    <row r="66" spans="1:9" ht="15.75" thickBot="1" x14ac:dyDescent="0.3">
      <c r="A66" s="433"/>
      <c r="B66" s="66"/>
      <c r="C66" s="66"/>
      <c r="D66" s="67"/>
      <c r="E66" s="68"/>
      <c r="F66" s="68"/>
      <c r="G66" s="68"/>
      <c r="H66" s="68"/>
      <c r="I66" s="70"/>
    </row>
    <row r="67" spans="1:9" ht="45.75" thickBot="1" x14ac:dyDescent="0.3">
      <c r="A67" s="433"/>
      <c r="B67" s="41" t="s">
        <v>2151</v>
      </c>
      <c r="C67" s="11" t="s">
        <v>33</v>
      </c>
      <c r="D67" s="12" t="s">
        <v>2165</v>
      </c>
      <c r="E67" s="13">
        <f>SUM(F67:H67)</f>
        <v>25670</v>
      </c>
      <c r="F67" s="100">
        <f>F6+F21+F37+F53+F83</f>
        <v>25656</v>
      </c>
      <c r="G67" s="36" t="s">
        <v>8</v>
      </c>
      <c r="H67" s="91">
        <f>H6+H21+H37+H53</f>
        <v>14</v>
      </c>
      <c r="I67" s="91">
        <f>I6+I21+I37+I53</f>
        <v>0</v>
      </c>
    </row>
    <row r="68" spans="1:9" ht="45" x14ac:dyDescent="0.25">
      <c r="A68" s="433"/>
      <c r="B68" s="42" t="s">
        <v>2141</v>
      </c>
      <c r="C68" s="3"/>
      <c r="D68" s="7" t="s">
        <v>2166</v>
      </c>
      <c r="E68" s="8"/>
      <c r="F68" s="9">
        <f>F67/F65</f>
        <v>0.53075156705765536</v>
      </c>
      <c r="G68" s="4"/>
      <c r="H68" s="4"/>
      <c r="I68" s="21"/>
    </row>
    <row r="69" spans="1:9" ht="15.75" thickBot="1" x14ac:dyDescent="0.3">
      <c r="A69" s="433"/>
      <c r="B69" s="43" t="s">
        <v>52</v>
      </c>
      <c r="C69" s="18"/>
      <c r="D69" s="49"/>
      <c r="E69" s="18"/>
      <c r="F69" s="92">
        <f>F67/F64</f>
        <v>9.7781843128287221E-2</v>
      </c>
      <c r="G69" s="18"/>
      <c r="H69" s="18"/>
      <c r="I69" s="19"/>
    </row>
    <row r="70" spans="1:9" ht="15.75" thickBot="1" x14ac:dyDescent="0.3">
      <c r="A70" s="433"/>
      <c r="B70" s="66"/>
      <c r="C70" s="66"/>
      <c r="D70" s="67"/>
      <c r="E70" s="68"/>
      <c r="F70" s="68"/>
      <c r="G70" s="68"/>
      <c r="H70" s="68"/>
      <c r="I70" s="70"/>
    </row>
    <row r="71" spans="1:9" ht="45" customHeight="1" x14ac:dyDescent="0.25">
      <c r="A71" s="433"/>
      <c r="B71" s="10" t="s">
        <v>44</v>
      </c>
      <c r="C71" s="13"/>
      <c r="D71" s="12" t="s">
        <v>2167</v>
      </c>
      <c r="E71" s="13">
        <f>SUM(F71:I71)</f>
        <v>99000.501444926966</v>
      </c>
      <c r="F71" s="13">
        <f>F41+F25+F10+F57+F87</f>
        <v>48339</v>
      </c>
      <c r="G71" s="13">
        <f>G41+G25+G10+G57+G87</f>
        <v>50629.501444926966</v>
      </c>
      <c r="H71" s="13">
        <f>H41+H25+H10+H57+H87</f>
        <v>32</v>
      </c>
      <c r="I71" s="13">
        <f>I41+I25+I10+I57+I87</f>
        <v>0</v>
      </c>
    </row>
    <row r="72" spans="1:9" ht="15.75" thickBot="1" x14ac:dyDescent="0.3">
      <c r="A72" s="433"/>
      <c r="B72" s="20" t="s">
        <v>49</v>
      </c>
      <c r="C72" s="4"/>
      <c r="D72" s="44"/>
      <c r="E72" s="9">
        <f>E71/E64</f>
        <v>0.18558290817240558</v>
      </c>
      <c r="F72" s="9">
        <f>F71/F64</f>
        <v>0.18423279213354676</v>
      </c>
      <c r="G72" s="9">
        <f t="shared" ref="G72" si="10">G71/G64</f>
        <v>0.18677166061645573</v>
      </c>
      <c r="H72" s="8"/>
      <c r="I72" s="23"/>
    </row>
    <row r="73" spans="1:9" ht="60" x14ac:dyDescent="0.25">
      <c r="A73" s="433"/>
      <c r="B73" s="24" t="s">
        <v>46</v>
      </c>
      <c r="C73" s="3"/>
      <c r="D73" s="12" t="s">
        <v>2140</v>
      </c>
      <c r="E73" s="4">
        <f>E71-E67</f>
        <v>73330.501444926966</v>
      </c>
      <c r="F73" s="13">
        <f>F43+F27+F12+F59+F89</f>
        <v>22683</v>
      </c>
      <c r="G73" s="142">
        <f>F73*G71/F71</f>
        <v>23757.814213684152</v>
      </c>
      <c r="H73" s="13">
        <f>H43+H27+H12+H59</f>
        <v>18</v>
      </c>
      <c r="I73" s="15">
        <f>I43+I27+I12+I59</f>
        <v>0</v>
      </c>
    </row>
    <row r="74" spans="1:9" ht="15.75" thickBot="1" x14ac:dyDescent="0.3">
      <c r="A74" s="434"/>
      <c r="B74" s="43" t="s">
        <v>48</v>
      </c>
      <c r="C74" s="16"/>
      <c r="D74" s="46"/>
      <c r="E74" s="16"/>
      <c r="F74" s="17">
        <f>F73/F64</f>
        <v>8.6450949005259542E-2</v>
      </c>
      <c r="G74" s="16"/>
      <c r="H74" s="16"/>
      <c r="I74" s="25"/>
    </row>
    <row r="78" spans="1:9" ht="15.75" thickBot="1" x14ac:dyDescent="0.3">
      <c r="A78" s="56"/>
      <c r="B78" s="87" t="s">
        <v>2174</v>
      </c>
      <c r="C78" s="96" t="s">
        <v>2190</v>
      </c>
      <c r="D78" s="88"/>
      <c r="E78" s="87"/>
      <c r="F78" s="89"/>
      <c r="G78" s="87"/>
      <c r="H78" s="87"/>
      <c r="I78" s="87"/>
    </row>
    <row r="79" spans="1:9" ht="15.75" thickBot="1" x14ac:dyDescent="0.3">
      <c r="A79" s="56"/>
      <c r="B79" s="56"/>
      <c r="C79" s="80" t="s">
        <v>23</v>
      </c>
      <c r="D79" s="81" t="s">
        <v>36</v>
      </c>
      <c r="E79" s="82" t="s">
        <v>21</v>
      </c>
      <c r="F79" s="82" t="s">
        <v>13</v>
      </c>
      <c r="G79" s="82" t="s">
        <v>14</v>
      </c>
      <c r="H79" s="82" t="s">
        <v>15</v>
      </c>
      <c r="I79" s="83" t="s">
        <v>29</v>
      </c>
    </row>
    <row r="80" spans="1:9" ht="15.75" thickBot="1" x14ac:dyDescent="0.3">
      <c r="A80" s="432" t="s">
        <v>2191</v>
      </c>
      <c r="B80" s="5" t="s">
        <v>2192</v>
      </c>
      <c r="C80" s="5" t="s">
        <v>24</v>
      </c>
      <c r="D80" s="48"/>
      <c r="E80" s="35">
        <f>SUM(F80:I80)</f>
        <v>691</v>
      </c>
      <c r="F80" s="37">
        <v>388</v>
      </c>
      <c r="G80" s="38">
        <v>303</v>
      </c>
      <c r="H80" s="38">
        <v>0</v>
      </c>
      <c r="I80" s="6">
        <v>0</v>
      </c>
    </row>
    <row r="81" spans="1:9" ht="30.75" thickBot="1" x14ac:dyDescent="0.3">
      <c r="A81" s="433"/>
      <c r="B81" s="30" t="s">
        <v>2193</v>
      </c>
      <c r="C81" s="31" t="s">
        <v>33</v>
      </c>
      <c r="D81" s="32" t="s">
        <v>2197</v>
      </c>
      <c r="E81" s="33">
        <f>SUM(F81:I81)</f>
        <v>44.523195876288661</v>
      </c>
      <c r="F81" s="33">
        <v>25</v>
      </c>
      <c r="G81" s="245">
        <f>MAX(F81*G80/F80,G80*'Details-GLOBAL-202301-202303'!H81/'Details-GLOBAL-202301-202303'!H80)</f>
        <v>19.523195876288661</v>
      </c>
      <c r="H81" s="33">
        <v>0</v>
      </c>
      <c r="I81" s="34"/>
    </row>
    <row r="82" spans="1:9" ht="15.75" thickBot="1" x14ac:dyDescent="0.3">
      <c r="A82" s="433"/>
      <c r="B82" s="66"/>
      <c r="C82" s="66"/>
      <c r="D82" s="67"/>
      <c r="E82" s="68"/>
      <c r="F82" s="68"/>
      <c r="G82" s="68"/>
      <c r="H82" s="68"/>
      <c r="I82" s="70"/>
    </row>
    <row r="83" spans="1:9" ht="30" x14ac:dyDescent="0.25">
      <c r="A83" s="433"/>
      <c r="B83" s="41" t="s">
        <v>2194</v>
      </c>
      <c r="C83" s="11" t="s">
        <v>33</v>
      </c>
      <c r="D83" s="12" t="s">
        <v>2198</v>
      </c>
      <c r="E83" s="13">
        <f>SUM(F83:H83)</f>
        <v>13</v>
      </c>
      <c r="F83" s="100">
        <v>13</v>
      </c>
      <c r="G83" s="36" t="s">
        <v>8</v>
      </c>
      <c r="H83" s="14">
        <v>0</v>
      </c>
      <c r="I83" s="15"/>
    </row>
    <row r="84" spans="1:9" ht="45" x14ac:dyDescent="0.25">
      <c r="A84" s="433"/>
      <c r="B84" s="42" t="s">
        <v>2195</v>
      </c>
      <c r="C84" s="3"/>
      <c r="D84" s="7" t="s">
        <v>2199</v>
      </c>
      <c r="E84" s="8"/>
      <c r="F84" s="9">
        <f t="shared" ref="F84" si="11">F83/F81</f>
        <v>0.52</v>
      </c>
      <c r="G84" s="8"/>
      <c r="H84" s="8" t="e">
        <f t="shared" ref="H84" si="12">H83/H81</f>
        <v>#DIV/0!</v>
      </c>
      <c r="I84" s="21"/>
    </row>
    <row r="85" spans="1:9" ht="15.75" thickBot="1" x14ac:dyDescent="0.3">
      <c r="A85" s="433"/>
      <c r="B85" s="43" t="s">
        <v>2196</v>
      </c>
      <c r="C85" s="18"/>
      <c r="D85" s="49"/>
      <c r="E85" s="18"/>
      <c r="F85" s="92">
        <f>F83/F80</f>
        <v>3.3505154639175257E-2</v>
      </c>
      <c r="G85" s="18"/>
      <c r="H85" s="18"/>
      <c r="I85" s="19"/>
    </row>
    <row r="86" spans="1:9" ht="15.75" thickBot="1" x14ac:dyDescent="0.3">
      <c r="A86" s="433"/>
      <c r="B86" s="66"/>
      <c r="C86" s="66"/>
      <c r="D86" s="67"/>
      <c r="E86" s="68"/>
      <c r="F86" s="68"/>
      <c r="G86" s="68"/>
      <c r="H86" s="68"/>
      <c r="I86" s="70"/>
    </row>
    <row r="87" spans="1:9" ht="45" x14ac:dyDescent="0.25">
      <c r="A87" s="433"/>
      <c r="B87" s="10" t="s">
        <v>44</v>
      </c>
      <c r="C87" s="13"/>
      <c r="D87" s="12" t="s">
        <v>2200</v>
      </c>
      <c r="E87" s="13">
        <f>SUM(F87:I87)</f>
        <v>44.523195876288661</v>
      </c>
      <c r="F87" s="13">
        <f>F81</f>
        <v>25</v>
      </c>
      <c r="G87" s="13">
        <f t="shared" ref="G87:I87" si="13">G81</f>
        <v>19.523195876288661</v>
      </c>
      <c r="H87" s="13">
        <f t="shared" si="13"/>
        <v>0</v>
      </c>
      <c r="I87" s="13">
        <f t="shared" si="13"/>
        <v>0</v>
      </c>
    </row>
    <row r="88" spans="1:9" ht="15.75" thickBot="1" x14ac:dyDescent="0.3">
      <c r="A88" s="433"/>
      <c r="B88" s="20" t="s">
        <v>49</v>
      </c>
      <c r="C88" s="4"/>
      <c r="D88" s="44"/>
      <c r="E88" s="9">
        <f>E87/E80</f>
        <v>6.4432989690721656E-2</v>
      </c>
      <c r="F88" s="9">
        <f>F87/F80</f>
        <v>6.4432989690721643E-2</v>
      </c>
      <c r="G88" s="9">
        <f t="shared" ref="G88:H88" si="14">G87/G80</f>
        <v>6.4432989690721656E-2</v>
      </c>
      <c r="H88" s="8" t="e">
        <f t="shared" si="14"/>
        <v>#DIV/0!</v>
      </c>
      <c r="I88" s="8"/>
    </row>
    <row r="89" spans="1:9" ht="60" x14ac:dyDescent="0.25">
      <c r="A89" s="433"/>
      <c r="B89" s="24" t="s">
        <v>46</v>
      </c>
      <c r="C89" s="3"/>
      <c r="D89" s="12" t="s">
        <v>2201</v>
      </c>
      <c r="E89" s="93">
        <f>E87-E83</f>
        <v>31.523195876288661</v>
      </c>
      <c r="F89" s="4">
        <f>F87-F83</f>
        <v>12</v>
      </c>
      <c r="G89" s="142">
        <f>F89*G87/F87</f>
        <v>9.3711340206185572</v>
      </c>
      <c r="H89" s="4">
        <f t="shared" ref="H89:I89" si="15">H87-H83</f>
        <v>0</v>
      </c>
      <c r="I89" s="4">
        <f t="shared" si="15"/>
        <v>0</v>
      </c>
    </row>
    <row r="90" spans="1:9" ht="15.75" thickBot="1" x14ac:dyDescent="0.3">
      <c r="A90" s="434"/>
      <c r="B90" s="43" t="s">
        <v>48</v>
      </c>
      <c r="C90" s="16"/>
      <c r="D90" s="46"/>
      <c r="E90" s="16"/>
      <c r="F90" s="17">
        <f>F89/F80</f>
        <v>3.0927835051546393E-2</v>
      </c>
      <c r="G90" s="16"/>
      <c r="H90" s="16"/>
      <c r="I90" s="25"/>
    </row>
    <row r="92" spans="1:9" ht="15.75" thickBot="1" x14ac:dyDescent="0.3"/>
    <row r="93" spans="1:9" ht="15.75" thickBot="1" x14ac:dyDescent="0.3">
      <c r="A93" s="435" t="s">
        <v>2224</v>
      </c>
      <c r="B93" t="s">
        <v>16</v>
      </c>
      <c r="C93" s="80" t="s">
        <v>23</v>
      </c>
      <c r="D93" s="81" t="s">
        <v>36</v>
      </c>
      <c r="E93" s="82" t="s">
        <v>21</v>
      </c>
      <c r="F93" s="82" t="s">
        <v>13</v>
      </c>
      <c r="G93" s="82" t="s">
        <v>14</v>
      </c>
      <c r="H93" s="82" t="s">
        <v>15</v>
      </c>
      <c r="I93" s="83" t="s">
        <v>29</v>
      </c>
    </row>
    <row r="94" spans="1:9" ht="39.75" customHeight="1" x14ac:dyDescent="0.25">
      <c r="A94" s="436"/>
      <c r="B94" s="87" t="s">
        <v>2174</v>
      </c>
      <c r="C94" s="409" t="s">
        <v>2248</v>
      </c>
      <c r="D94" s="409"/>
      <c r="E94" s="409"/>
      <c r="F94" s="409"/>
      <c r="G94" s="409"/>
      <c r="H94" s="409"/>
      <c r="I94" s="409"/>
    </row>
    <row r="95" spans="1:9" x14ac:dyDescent="0.25">
      <c r="A95" s="436"/>
      <c r="B95" s="65" t="s">
        <v>2225</v>
      </c>
      <c r="C95" s="3" t="s">
        <v>33</v>
      </c>
      <c r="D95" s="104"/>
      <c r="E95" s="4">
        <v>142436</v>
      </c>
      <c r="F95" s="4"/>
      <c r="G95" s="4"/>
      <c r="H95" s="4"/>
      <c r="I95" s="4"/>
    </row>
    <row r="96" spans="1:9" x14ac:dyDescent="0.25">
      <c r="A96" s="436"/>
      <c r="B96" s="65" t="s">
        <v>2223</v>
      </c>
      <c r="C96" s="3" t="s">
        <v>33</v>
      </c>
      <c r="D96" s="104"/>
      <c r="E96" s="4">
        <f>SUM(F96:I96)</f>
        <v>47293</v>
      </c>
      <c r="F96" s="4">
        <v>24671</v>
      </c>
      <c r="G96" s="4">
        <v>22533</v>
      </c>
      <c r="H96" s="4">
        <v>6</v>
      </c>
      <c r="I96" s="4">
        <v>83</v>
      </c>
    </row>
    <row r="97" spans="1:10" x14ac:dyDescent="0.25">
      <c r="A97" s="436"/>
      <c r="B97" s="65" t="s">
        <v>2226</v>
      </c>
      <c r="C97" s="3"/>
      <c r="D97" s="104"/>
      <c r="E97" s="93">
        <f>E95-E96</f>
        <v>95143</v>
      </c>
      <c r="F97" s="4"/>
      <c r="G97" s="4"/>
      <c r="H97" s="4"/>
      <c r="I97" s="4"/>
    </row>
    <row r="98" spans="1:10" ht="15.75" thickBot="1" x14ac:dyDescent="0.3">
      <c r="A98" s="437"/>
      <c r="B98" s="65" t="s">
        <v>2279</v>
      </c>
      <c r="C98" s="3"/>
      <c r="D98" s="44"/>
      <c r="E98" s="4">
        <f>SUM(F98:I98)</f>
        <v>95311</v>
      </c>
      <c r="F98" s="4">
        <v>42004</v>
      </c>
      <c r="G98" s="4">
        <v>52268</v>
      </c>
      <c r="H98" s="4">
        <v>1039</v>
      </c>
      <c r="I98" s="4"/>
    </row>
    <row r="99" spans="1:10" ht="15.75" thickBot="1" x14ac:dyDescent="0.3"/>
    <row r="100" spans="1:10" x14ac:dyDescent="0.25">
      <c r="C100" s="105" t="s">
        <v>23</v>
      </c>
      <c r="D100" s="106" t="s">
        <v>36</v>
      </c>
      <c r="E100" s="107" t="s">
        <v>21</v>
      </c>
      <c r="F100" s="107" t="s">
        <v>13</v>
      </c>
      <c r="G100" s="107" t="s">
        <v>14</v>
      </c>
      <c r="H100" s="107" t="s">
        <v>15</v>
      </c>
      <c r="I100" s="108" t="s">
        <v>29</v>
      </c>
    </row>
    <row r="101" spans="1:10" x14ac:dyDescent="0.25">
      <c r="B101" s="109" t="s">
        <v>2229</v>
      </c>
      <c r="C101" s="109" t="s">
        <v>2228</v>
      </c>
      <c r="D101" s="110"/>
      <c r="E101" s="109"/>
      <c r="F101" s="109"/>
      <c r="G101" s="109"/>
      <c r="H101" s="109"/>
      <c r="I101" s="109"/>
    </row>
    <row r="102" spans="1:10" x14ac:dyDescent="0.25">
      <c r="B102" s="3" t="s">
        <v>2227</v>
      </c>
      <c r="C102" s="3" t="s">
        <v>33</v>
      </c>
      <c r="D102" s="44"/>
      <c r="E102" s="111">
        <f>SUM(F102:I102)</f>
        <v>287571</v>
      </c>
      <c r="F102" s="4">
        <v>147499</v>
      </c>
      <c r="G102" s="4">
        <v>136472</v>
      </c>
      <c r="H102" s="4">
        <v>32</v>
      </c>
      <c r="I102" s="4">
        <v>3568</v>
      </c>
    </row>
    <row r="103" spans="1:10" x14ac:dyDescent="0.25">
      <c r="B103" s="3"/>
      <c r="C103" s="3"/>
      <c r="D103" s="44"/>
      <c r="E103" s="3"/>
      <c r="F103" s="3"/>
      <c r="G103" s="3"/>
      <c r="H103" s="3"/>
      <c r="I103" s="3"/>
    </row>
    <row r="104" spans="1:10" x14ac:dyDescent="0.25">
      <c r="B104" s="112" t="s">
        <v>2230</v>
      </c>
      <c r="C104" s="84" t="s">
        <v>2232</v>
      </c>
      <c r="D104" s="113"/>
      <c r="E104" s="112"/>
      <c r="F104" s="112"/>
      <c r="G104" s="112"/>
      <c r="H104" s="112"/>
      <c r="I104" s="112"/>
    </row>
    <row r="105" spans="1:10" x14ac:dyDescent="0.25">
      <c r="B105" s="3" t="s">
        <v>2233</v>
      </c>
      <c r="C105" s="249" t="s">
        <v>2366</v>
      </c>
      <c r="D105" s="44" t="s">
        <v>2231</v>
      </c>
      <c r="E105" s="4">
        <f>SUM(F105:H105)</f>
        <v>143828</v>
      </c>
      <c r="F105" s="4">
        <v>81747</v>
      </c>
      <c r="G105" s="4">
        <v>62072</v>
      </c>
      <c r="H105" s="4">
        <v>9</v>
      </c>
      <c r="I105" s="4">
        <v>2462</v>
      </c>
      <c r="J105" s="144">
        <f>E105/E102</f>
        <v>0.50014778958935358</v>
      </c>
    </row>
    <row r="106" spans="1:10" ht="15.75" thickBot="1" x14ac:dyDescent="0.3"/>
    <row r="107" spans="1:10" ht="15.75" thickBot="1" x14ac:dyDescent="0.3">
      <c r="B107" s="112" t="s">
        <v>2234</v>
      </c>
      <c r="C107" s="114" t="s">
        <v>2238</v>
      </c>
      <c r="D107" s="113"/>
      <c r="E107" s="82" t="s">
        <v>21</v>
      </c>
      <c r="F107" s="82" t="s">
        <v>13</v>
      </c>
      <c r="G107" s="82" t="s">
        <v>14</v>
      </c>
      <c r="H107" s="82" t="s">
        <v>15</v>
      </c>
      <c r="I107" s="83" t="s">
        <v>29</v>
      </c>
    </row>
    <row r="108" spans="1:10" x14ac:dyDescent="0.25">
      <c r="B108" s="146" t="s">
        <v>2235</v>
      </c>
      <c r="C108" s="3" t="s">
        <v>33</v>
      </c>
      <c r="D108" s="44"/>
      <c r="E108" s="4">
        <f>SUM(F108:H108)</f>
        <v>47990</v>
      </c>
      <c r="F108" s="4">
        <v>23624</v>
      </c>
      <c r="G108" s="4">
        <v>24289</v>
      </c>
      <c r="H108" s="4">
        <v>77</v>
      </c>
      <c r="I108" s="4"/>
    </row>
    <row r="109" spans="1:10" x14ac:dyDescent="0.25">
      <c r="B109" s="146" t="s">
        <v>2236</v>
      </c>
      <c r="C109" s="3" t="s">
        <v>33</v>
      </c>
      <c r="D109" s="44"/>
      <c r="E109" s="4">
        <f>SUM(F109:H109)</f>
        <v>94751</v>
      </c>
      <c r="F109" s="4">
        <v>49085</v>
      </c>
      <c r="G109" s="4">
        <v>45449</v>
      </c>
      <c r="H109" s="4">
        <v>217</v>
      </c>
      <c r="I109" s="4"/>
    </row>
    <row r="110" spans="1:10" x14ac:dyDescent="0.25">
      <c r="B110" s="146" t="s">
        <v>2237</v>
      </c>
      <c r="C110" s="3" t="s">
        <v>33</v>
      </c>
      <c r="D110" s="44"/>
      <c r="E110" s="4">
        <f>SUM(E108:E109)</f>
        <v>142741</v>
      </c>
      <c r="F110" s="4">
        <f>SUM(F108:F109)</f>
        <v>72709</v>
      </c>
      <c r="G110" s="4">
        <f t="shared" ref="G110:I110" si="16">SUM(G108:G109)</f>
        <v>69738</v>
      </c>
      <c r="H110" s="4">
        <f t="shared" si="16"/>
        <v>294</v>
      </c>
      <c r="I110" s="4">
        <f t="shared" si="16"/>
        <v>0</v>
      </c>
    </row>
    <row r="114" spans="2:9" ht="15.75" thickBot="1" x14ac:dyDescent="0.3"/>
    <row r="115" spans="2:9" ht="15.75" thickBot="1" x14ac:dyDescent="0.3">
      <c r="B115" s="10"/>
      <c r="C115" s="80" t="s">
        <v>23</v>
      </c>
      <c r="D115" s="81" t="s">
        <v>36</v>
      </c>
      <c r="E115" s="82" t="s">
        <v>21</v>
      </c>
      <c r="F115" s="82" t="s">
        <v>2182</v>
      </c>
      <c r="G115" s="82" t="s">
        <v>2181</v>
      </c>
      <c r="H115" s="82" t="s">
        <v>2180</v>
      </c>
      <c r="I115" s="83" t="s">
        <v>2179</v>
      </c>
    </row>
    <row r="116" spans="2:9" x14ac:dyDescent="0.25">
      <c r="B116" s="24" t="s">
        <v>2212</v>
      </c>
      <c r="C116" s="3" t="s">
        <v>31</v>
      </c>
      <c r="D116" s="44"/>
      <c r="E116" s="4">
        <f t="shared" ref="E116:E124" si="17">SUM(F116:I116)</f>
        <v>418466</v>
      </c>
      <c r="F116" s="4">
        <v>176089</v>
      </c>
      <c r="G116" s="4">
        <v>242377</v>
      </c>
      <c r="H116" s="157" t="s">
        <v>8</v>
      </c>
      <c r="I116" s="26"/>
    </row>
    <row r="117" spans="2:9" x14ac:dyDescent="0.25">
      <c r="B117" s="24" t="s">
        <v>2215</v>
      </c>
      <c r="C117" s="3" t="s">
        <v>31</v>
      </c>
      <c r="D117" s="44"/>
      <c r="E117" s="4">
        <f t="shared" si="17"/>
        <v>93888</v>
      </c>
      <c r="F117" s="4">
        <f>30285+16942</f>
        <v>47227</v>
      </c>
      <c r="G117" s="4">
        <f>38841+7820</f>
        <v>46661</v>
      </c>
      <c r="H117" s="157" t="s">
        <v>8</v>
      </c>
      <c r="I117" s="26"/>
    </row>
    <row r="118" spans="2:9" x14ac:dyDescent="0.25">
      <c r="B118" s="24" t="s">
        <v>2213</v>
      </c>
      <c r="C118" s="3" t="s">
        <v>22</v>
      </c>
      <c r="D118" s="44" t="s">
        <v>2203</v>
      </c>
      <c r="E118" s="4">
        <f>SUM(F118:I118)</f>
        <v>34327</v>
      </c>
      <c r="F118" s="4">
        <f>F119</f>
        <v>19773</v>
      </c>
      <c r="G118" s="4">
        <f>8658+5896</f>
        <v>14554</v>
      </c>
      <c r="H118" s="157" t="s">
        <v>8</v>
      </c>
      <c r="I118" s="95"/>
    </row>
    <row r="119" spans="2:9" x14ac:dyDescent="0.25">
      <c r="B119" s="24" t="s">
        <v>2214</v>
      </c>
      <c r="C119" s="3" t="s">
        <v>22</v>
      </c>
      <c r="D119" s="44" t="s">
        <v>2202</v>
      </c>
      <c r="E119" s="4">
        <f>SUM(F119:I119)</f>
        <v>27768</v>
      </c>
      <c r="F119" s="4">
        <f>17407+2366</f>
        <v>19773</v>
      </c>
      <c r="G119" s="4">
        <f>4825+3170</f>
        <v>7995</v>
      </c>
      <c r="H119" s="157" t="s">
        <v>8</v>
      </c>
      <c r="I119" s="21"/>
    </row>
    <row r="120" spans="2:9" x14ac:dyDescent="0.25">
      <c r="B120" s="24" t="s">
        <v>2280</v>
      </c>
      <c r="C120" s="3"/>
      <c r="D120" s="44"/>
      <c r="E120" s="4">
        <f t="shared" ref="E120:E121" si="18">SUM(F120:I120)</f>
        <v>324564</v>
      </c>
      <c r="F120" s="4">
        <f>128862</f>
        <v>128862</v>
      </c>
      <c r="G120" s="4">
        <f>163352+32350</f>
        <v>195702</v>
      </c>
      <c r="H120" s="157" t="s">
        <v>8</v>
      </c>
      <c r="I120" s="21"/>
    </row>
    <row r="121" spans="2:9" x14ac:dyDescent="0.25">
      <c r="B121" s="24" t="s">
        <v>2281</v>
      </c>
      <c r="C121" s="3" t="s">
        <v>22</v>
      </c>
      <c r="D121" s="44"/>
      <c r="E121" s="4">
        <f t="shared" si="18"/>
        <v>103662</v>
      </c>
      <c r="F121" s="4">
        <v>56031</v>
      </c>
      <c r="G121" s="4">
        <f>42696+4935</f>
        <v>47631</v>
      </c>
      <c r="H121" s="157" t="s">
        <v>8</v>
      </c>
      <c r="I121" s="21"/>
    </row>
    <row r="122" spans="2:9" x14ac:dyDescent="0.25">
      <c r="B122" s="24" t="s">
        <v>26</v>
      </c>
      <c r="C122" s="3" t="s">
        <v>55</v>
      </c>
      <c r="D122" s="44" t="s">
        <v>25</v>
      </c>
      <c r="E122" s="4">
        <f>SUM(F122:I122)</f>
        <v>0</v>
      </c>
      <c r="F122" s="4"/>
      <c r="G122" s="4"/>
      <c r="H122" s="4"/>
      <c r="I122" s="26"/>
    </row>
    <row r="123" spans="2:9" ht="30" x14ac:dyDescent="0.25">
      <c r="B123" s="24" t="s">
        <v>27</v>
      </c>
      <c r="C123" s="3" t="s">
        <v>32</v>
      </c>
      <c r="D123" s="44" t="s">
        <v>35</v>
      </c>
      <c r="E123" s="4">
        <f t="shared" si="17"/>
        <v>132442</v>
      </c>
      <c r="F123" s="4">
        <v>75804</v>
      </c>
      <c r="G123" s="4">
        <f>42696+4935+4825+3170+1000+12</f>
        <v>56638</v>
      </c>
      <c r="H123" s="157" t="s">
        <v>8</v>
      </c>
      <c r="I123" s="21"/>
    </row>
    <row r="124" spans="2:9" ht="45" x14ac:dyDescent="0.25">
      <c r="B124" s="24" t="s">
        <v>27</v>
      </c>
      <c r="C124" s="3" t="s">
        <v>28</v>
      </c>
      <c r="D124" s="45" t="s">
        <v>2239</v>
      </c>
      <c r="E124" s="4">
        <f t="shared" si="17"/>
        <v>148946</v>
      </c>
      <c r="F124" s="39">
        <v>92325</v>
      </c>
      <c r="G124" s="4">
        <v>56621</v>
      </c>
      <c r="H124" s="157" t="s">
        <v>8</v>
      </c>
      <c r="I124" s="21"/>
    </row>
    <row r="126" spans="2:9" ht="15.75" thickBot="1" x14ac:dyDescent="0.3">
      <c r="B126" s="79" t="s">
        <v>38</v>
      </c>
      <c r="C126" s="16" t="s">
        <v>33</v>
      </c>
      <c r="D126" s="46" t="s">
        <v>39</v>
      </c>
      <c r="E126" s="18"/>
      <c r="F126" s="18"/>
      <c r="G126" s="18"/>
      <c r="H126" s="18"/>
      <c r="I126" s="19"/>
    </row>
    <row r="127" spans="2:9" ht="15.75" thickBot="1" x14ac:dyDescent="0.3"/>
    <row r="128" spans="2:9" x14ac:dyDescent="0.25">
      <c r="B128" s="122" t="s">
        <v>2263</v>
      </c>
      <c r="C128" s="3"/>
      <c r="D128" s="44"/>
      <c r="E128" s="107" t="s">
        <v>21</v>
      </c>
      <c r="F128" s="107" t="s">
        <v>2182</v>
      </c>
      <c r="G128" s="107" t="s">
        <v>2181</v>
      </c>
      <c r="H128" s="107" t="s">
        <v>2180</v>
      </c>
      <c r="I128" s="108" t="s">
        <v>2179</v>
      </c>
    </row>
    <row r="129" spans="2:9" x14ac:dyDescent="0.25">
      <c r="B129" s="123" t="s">
        <v>2260</v>
      </c>
      <c r="C129" s="3" t="s">
        <v>22</v>
      </c>
      <c r="D129" s="44" t="s">
        <v>2261</v>
      </c>
      <c r="E129" s="4">
        <f>E117</f>
        <v>93888</v>
      </c>
      <c r="F129" s="4">
        <f t="shared" ref="F129:I129" si="19">F117</f>
        <v>47227</v>
      </c>
      <c r="G129" s="4">
        <f t="shared" si="19"/>
        <v>46661</v>
      </c>
      <c r="H129" s="4" t="str">
        <f t="shared" si="19"/>
        <v>N/A</v>
      </c>
      <c r="I129" s="4">
        <f t="shared" si="19"/>
        <v>0</v>
      </c>
    </row>
    <row r="130" spans="2:9" x14ac:dyDescent="0.25">
      <c r="B130" s="123" t="s">
        <v>2262</v>
      </c>
      <c r="C130" s="3" t="s">
        <v>33</v>
      </c>
      <c r="D130" s="44"/>
      <c r="E130" s="4">
        <f>SUM(F130:I130)</f>
        <v>15268</v>
      </c>
      <c r="F130" s="4">
        <f>F18+F34+F50</f>
        <v>9916</v>
      </c>
      <c r="G130" s="4">
        <f t="shared" ref="G130:I130" si="20">G18+G34+G50</f>
        <v>5352</v>
      </c>
      <c r="H130" s="4">
        <f t="shared" si="20"/>
        <v>0</v>
      </c>
      <c r="I130" s="4">
        <f t="shared" si="20"/>
        <v>0</v>
      </c>
    </row>
    <row r="131" spans="2:9" x14ac:dyDescent="0.25">
      <c r="B131" s="124" t="s">
        <v>2267</v>
      </c>
      <c r="C131" s="3" t="s">
        <v>33</v>
      </c>
      <c r="D131" s="44"/>
      <c r="E131" s="4">
        <f>SUM(F131:I131)</f>
        <v>518189</v>
      </c>
      <c r="F131" s="4">
        <f>F3+F80</f>
        <v>252464</v>
      </c>
      <c r="G131" s="4">
        <f t="shared" ref="G131:I131" si="21">G3+G80</f>
        <v>265725</v>
      </c>
      <c r="H131" s="4">
        <f t="shared" si="21"/>
        <v>0</v>
      </c>
      <c r="I131" s="4">
        <f t="shared" si="21"/>
        <v>0</v>
      </c>
    </row>
    <row r="133" spans="2:9" x14ac:dyDescent="0.25">
      <c r="B133" s="122" t="s">
        <v>2264</v>
      </c>
      <c r="C133" s="3" t="s">
        <v>2261</v>
      </c>
      <c r="D133" s="44"/>
      <c r="E133" s="4">
        <f>IF(SUM(E129:E131)&gt;E116,E116,SUM(E129:E131))</f>
        <v>418466</v>
      </c>
      <c r="F133" s="4">
        <f t="shared" ref="F133:I133" si="22">IF(SUM(F129:F131)&gt;F116,F116,SUM(F129:F131))</f>
        <v>176089</v>
      </c>
      <c r="G133" s="4">
        <f t="shared" si="22"/>
        <v>242377</v>
      </c>
      <c r="H133" s="4">
        <f t="shared" si="22"/>
        <v>0</v>
      </c>
      <c r="I133" s="4">
        <f t="shared" si="22"/>
        <v>0</v>
      </c>
    </row>
    <row r="134" spans="2:9" ht="15.75" thickBot="1" x14ac:dyDescent="0.3"/>
    <row r="135" spans="2:9" x14ac:dyDescent="0.25">
      <c r="B135" s="122" t="s">
        <v>2265</v>
      </c>
      <c r="D135"/>
      <c r="E135" s="107" t="s">
        <v>21</v>
      </c>
      <c r="F135" s="107" t="s">
        <v>2182</v>
      </c>
      <c r="G135" s="107" t="s">
        <v>2181</v>
      </c>
      <c r="H135" s="107" t="s">
        <v>2180</v>
      </c>
      <c r="I135" s="108" t="s">
        <v>2179</v>
      </c>
    </row>
    <row r="136" spans="2:9" x14ac:dyDescent="0.25">
      <c r="B136" s="124" t="s">
        <v>2282</v>
      </c>
      <c r="C136" s="3" t="s">
        <v>2283</v>
      </c>
      <c r="D136"/>
      <c r="E136" s="4">
        <f>E133-E142</f>
        <v>286024</v>
      </c>
      <c r="F136" s="4">
        <f>F133-F142</f>
        <v>100285</v>
      </c>
      <c r="G136" s="4">
        <f t="shared" ref="G136:I136" si="23">G133-G142</f>
        <v>185739</v>
      </c>
      <c r="H136" s="4" t="e">
        <f t="shared" si="23"/>
        <v>#VALUE!</v>
      </c>
      <c r="I136" s="4">
        <f t="shared" si="23"/>
        <v>0</v>
      </c>
    </row>
    <row r="137" spans="2:9" ht="15.75" thickBot="1" x14ac:dyDescent="0.3">
      <c r="D137"/>
      <c r="E137" s="147"/>
      <c r="F137" s="147"/>
      <c r="G137" s="147"/>
    </row>
    <row r="138" spans="2:9" x14ac:dyDescent="0.25">
      <c r="B138" s="462" t="s">
        <v>2240</v>
      </c>
      <c r="D138"/>
      <c r="E138" s="107" t="s">
        <v>2241</v>
      </c>
      <c r="F138" s="107" t="s">
        <v>2182</v>
      </c>
      <c r="G138" s="107" t="s">
        <v>2181</v>
      </c>
    </row>
    <row r="139" spans="2:9" ht="15.75" thickBot="1" x14ac:dyDescent="0.3">
      <c r="B139" s="463"/>
      <c r="C139" s="249" t="s">
        <v>2365</v>
      </c>
      <c r="D139" s="44"/>
      <c r="E139" s="127">
        <f>SUM(F139:G139)</f>
        <v>140690</v>
      </c>
      <c r="F139" s="4">
        <v>66038</v>
      </c>
      <c r="G139" s="4">
        <v>74652</v>
      </c>
    </row>
    <row r="140" spans="2:9" x14ac:dyDescent="0.25">
      <c r="B140" s="463"/>
      <c r="C140" s="3"/>
      <c r="D140" s="44"/>
      <c r="E140" s="107" t="s">
        <v>21</v>
      </c>
      <c r="F140" s="107" t="s">
        <v>2182</v>
      </c>
      <c r="G140" s="107" t="s">
        <v>2181</v>
      </c>
      <c r="H140" s="107" t="s">
        <v>2180</v>
      </c>
      <c r="I140" s="108" t="s">
        <v>2179</v>
      </c>
    </row>
    <row r="141" spans="2:9" x14ac:dyDescent="0.25">
      <c r="B141" s="463"/>
      <c r="C141" s="3"/>
      <c r="D141" s="44"/>
      <c r="E141" s="127">
        <f>E102</f>
        <v>287571</v>
      </c>
      <c r="F141" s="4">
        <f t="shared" ref="F141:I141" si="24">F102</f>
        <v>147499</v>
      </c>
      <c r="G141" s="4">
        <f t="shared" si="24"/>
        <v>136472</v>
      </c>
      <c r="H141" s="4">
        <f t="shared" si="24"/>
        <v>32</v>
      </c>
      <c r="I141" s="4">
        <f t="shared" si="24"/>
        <v>3568</v>
      </c>
    </row>
    <row r="142" spans="2:9" x14ac:dyDescent="0.25">
      <c r="B142" t="s">
        <v>2250</v>
      </c>
      <c r="C142" s="124" t="s">
        <v>2268</v>
      </c>
      <c r="D142" s="44"/>
      <c r="E142" s="4">
        <f>E123</f>
        <v>132442</v>
      </c>
      <c r="F142" s="4">
        <f t="shared" ref="F142:I142" si="25">F123</f>
        <v>75804</v>
      </c>
      <c r="G142" s="4">
        <f t="shared" si="25"/>
        <v>56638</v>
      </c>
      <c r="H142" s="4" t="str">
        <f t="shared" si="25"/>
        <v>N/A</v>
      </c>
      <c r="I142" s="4">
        <f t="shared" si="25"/>
        <v>0</v>
      </c>
    </row>
    <row r="143" spans="2:9" x14ac:dyDescent="0.25">
      <c r="B143" s="124" t="s">
        <v>2242</v>
      </c>
      <c r="C143" s="3"/>
      <c r="D143" s="44"/>
      <c r="E143" s="129">
        <f>E110</f>
        <v>142741</v>
      </c>
      <c r="F143" s="4">
        <f t="shared" ref="F143:I143" si="26">F110</f>
        <v>72709</v>
      </c>
      <c r="G143" s="4">
        <f t="shared" si="26"/>
        <v>69738</v>
      </c>
      <c r="H143" s="4">
        <f t="shared" si="26"/>
        <v>294</v>
      </c>
      <c r="I143" s="4">
        <f t="shared" si="26"/>
        <v>0</v>
      </c>
    </row>
    <row r="144" spans="2:9" ht="15.75" thickBot="1" x14ac:dyDescent="0.3">
      <c r="E144" s="1"/>
      <c r="F144" s="1"/>
      <c r="G144" s="1"/>
    </row>
    <row r="145" spans="2:12" x14ac:dyDescent="0.25">
      <c r="E145" s="107" t="s">
        <v>21</v>
      </c>
      <c r="F145" s="107" t="s">
        <v>2182</v>
      </c>
      <c r="G145" s="107" t="s">
        <v>2181</v>
      </c>
      <c r="H145" s="107" t="s">
        <v>2180</v>
      </c>
      <c r="I145" s="108" t="s">
        <v>2179</v>
      </c>
    </row>
    <row r="146" spans="2:12" ht="30" x14ac:dyDescent="0.25">
      <c r="B146" s="24" t="s">
        <v>27</v>
      </c>
      <c r="C146" s="124" t="s">
        <v>32</v>
      </c>
      <c r="D146" s="44" t="s">
        <v>35</v>
      </c>
      <c r="E146" s="4">
        <f t="shared" ref="E146" si="27">SUM(F146:I146)</f>
        <v>132442</v>
      </c>
      <c r="F146" s="4">
        <f>F123</f>
        <v>75804</v>
      </c>
      <c r="G146" s="4">
        <f>G123</f>
        <v>56638</v>
      </c>
      <c r="H146" s="4"/>
      <c r="I146" s="21"/>
    </row>
    <row r="147" spans="2:12" x14ac:dyDescent="0.25">
      <c r="B147" s="125" t="s">
        <v>2214</v>
      </c>
      <c r="C147" s="3" t="s">
        <v>22</v>
      </c>
      <c r="D147" s="44" t="s">
        <v>2202</v>
      </c>
      <c r="E147" s="4">
        <f>SUM(F147:I147)</f>
        <v>34327</v>
      </c>
      <c r="F147" s="4">
        <f>F118</f>
        <v>19773</v>
      </c>
      <c r="G147" s="4">
        <f>G118</f>
        <v>14554</v>
      </c>
      <c r="H147" s="4"/>
      <c r="I147" s="21"/>
      <c r="L147" s="1"/>
    </row>
    <row r="148" spans="2:12" ht="15.75" thickBot="1" x14ac:dyDescent="0.3"/>
    <row r="149" spans="2:12" x14ac:dyDescent="0.25">
      <c r="B149" s="413" t="s">
        <v>2242</v>
      </c>
      <c r="C149" s="3"/>
      <c r="D149" s="44"/>
      <c r="E149" s="107" t="s">
        <v>21</v>
      </c>
      <c r="F149" s="107" t="s">
        <v>2182</v>
      </c>
      <c r="G149" s="107" t="s">
        <v>2181</v>
      </c>
      <c r="H149" s="107" t="s">
        <v>2180</v>
      </c>
      <c r="I149" s="108" t="s">
        <v>2179</v>
      </c>
    </row>
    <row r="150" spans="2:12" x14ac:dyDescent="0.25">
      <c r="B150" s="413"/>
      <c r="C150" s="3" t="s">
        <v>2243</v>
      </c>
      <c r="D150" s="44"/>
      <c r="E150" s="115">
        <f>SUM(F150:I150)</f>
        <v>24093</v>
      </c>
      <c r="F150" s="115">
        <f>F6</f>
        <v>24093</v>
      </c>
      <c r="G150" s="3"/>
      <c r="H150" s="3"/>
      <c r="I150" s="3"/>
    </row>
    <row r="151" spans="2:12" x14ac:dyDescent="0.25">
      <c r="B151" s="413"/>
      <c r="C151" s="3" t="s">
        <v>16</v>
      </c>
      <c r="D151" s="44"/>
      <c r="E151" s="115">
        <f t="shared" ref="E151:E155" si="28">SUM(F151:I151)</f>
        <v>47293</v>
      </c>
      <c r="F151" s="4">
        <f>F96</f>
        <v>24671</v>
      </c>
      <c r="G151" s="4">
        <f t="shared" ref="G151:I151" si="29">G96</f>
        <v>22533</v>
      </c>
      <c r="H151" s="4">
        <f t="shared" si="29"/>
        <v>6</v>
      </c>
      <c r="I151" s="4">
        <f t="shared" si="29"/>
        <v>83</v>
      </c>
    </row>
    <row r="152" spans="2:12" x14ac:dyDescent="0.25">
      <c r="B152" s="413"/>
      <c r="C152" s="3" t="s">
        <v>2245</v>
      </c>
      <c r="D152" s="414" t="s">
        <v>2244</v>
      </c>
      <c r="E152" s="115">
        <f t="shared" si="28"/>
        <v>3</v>
      </c>
      <c r="F152" s="115">
        <f>F37</f>
        <v>3</v>
      </c>
      <c r="G152" s="3"/>
      <c r="H152" s="3"/>
      <c r="I152" s="3"/>
    </row>
    <row r="153" spans="2:12" x14ac:dyDescent="0.25">
      <c r="B153" s="413"/>
      <c r="C153" s="3" t="s">
        <v>2246</v>
      </c>
      <c r="D153" s="415"/>
      <c r="E153" s="115">
        <f t="shared" si="28"/>
        <v>396</v>
      </c>
      <c r="F153" s="115">
        <f>F21</f>
        <v>396</v>
      </c>
      <c r="G153" s="3"/>
      <c r="H153" s="3"/>
      <c r="I153" s="3"/>
    </row>
    <row r="154" spans="2:12" x14ac:dyDescent="0.25">
      <c r="B154" s="413"/>
      <c r="C154" s="3" t="s">
        <v>2247</v>
      </c>
      <c r="D154" s="416"/>
      <c r="E154" s="115">
        <f t="shared" si="28"/>
        <v>1151</v>
      </c>
      <c r="F154" s="115">
        <f>F53</f>
        <v>1151</v>
      </c>
      <c r="G154" s="3"/>
      <c r="H154" s="3"/>
      <c r="I154" s="3"/>
    </row>
    <row r="155" spans="2:12" x14ac:dyDescent="0.25">
      <c r="B155" s="413"/>
      <c r="C155" s="3" t="s">
        <v>2255</v>
      </c>
      <c r="D155" s="44"/>
      <c r="E155" s="115">
        <f t="shared" si="28"/>
        <v>13</v>
      </c>
      <c r="F155" s="115">
        <f>F83</f>
        <v>13</v>
      </c>
      <c r="G155" s="3"/>
      <c r="H155" s="3"/>
      <c r="I155" s="3"/>
    </row>
    <row r="156" spans="2:12" x14ac:dyDescent="0.25">
      <c r="D156" s="120" t="s">
        <v>2269</v>
      </c>
      <c r="E156" s="117">
        <f>SUM(F156:I156)</f>
        <v>72949</v>
      </c>
      <c r="F156" s="117">
        <f>SUM(F150:F155)</f>
        <v>50327</v>
      </c>
      <c r="G156" s="117">
        <f>SUM(G150:G155)</f>
        <v>22533</v>
      </c>
      <c r="H156" s="117">
        <f t="shared" ref="H156:I156" si="30">SUM(H150:H155)</f>
        <v>6</v>
      </c>
      <c r="I156" s="117">
        <f t="shared" si="30"/>
        <v>83</v>
      </c>
    </row>
    <row r="157" spans="2:12" x14ac:dyDescent="0.25">
      <c r="E157" s="116"/>
    </row>
    <row r="158" spans="2:12" x14ac:dyDescent="0.25">
      <c r="D158" s="3" t="s">
        <v>2249</v>
      </c>
      <c r="E158" s="129">
        <f>E110</f>
        <v>142741</v>
      </c>
      <c r="F158" s="4">
        <f t="shared" ref="F158:I158" si="31">F110</f>
        <v>72709</v>
      </c>
      <c r="G158" s="4">
        <f t="shared" si="31"/>
        <v>69738</v>
      </c>
      <c r="H158" s="4">
        <f t="shared" si="31"/>
        <v>294</v>
      </c>
      <c r="I158" s="4">
        <f t="shared" si="31"/>
        <v>0</v>
      </c>
    </row>
    <row r="159" spans="2:12" x14ac:dyDescent="0.25">
      <c r="D159" s="128" t="s">
        <v>2271</v>
      </c>
      <c r="E159" s="121">
        <f>E158-E156</f>
        <v>69792</v>
      </c>
      <c r="F159" s="121">
        <f t="shared" ref="F159:I159" si="32">F158-F156</f>
        <v>22382</v>
      </c>
      <c r="G159" s="121">
        <f t="shared" si="32"/>
        <v>47205</v>
      </c>
      <c r="H159" s="121">
        <f t="shared" si="32"/>
        <v>288</v>
      </c>
      <c r="I159" s="121">
        <f t="shared" si="32"/>
        <v>-83</v>
      </c>
    </row>
    <row r="160" spans="2:12" x14ac:dyDescent="0.25">
      <c r="D160" s="128" t="s">
        <v>2272</v>
      </c>
      <c r="E160" s="130"/>
      <c r="F160" s="130"/>
      <c r="G160" s="130"/>
      <c r="H160" s="130"/>
      <c r="I160" s="130"/>
    </row>
    <row r="161" spans="2:9" x14ac:dyDescent="0.25">
      <c r="D161" s="128" t="s">
        <v>2273</v>
      </c>
      <c r="E161" s="131"/>
      <c r="F161" s="131"/>
      <c r="G161" s="131"/>
      <c r="H161" s="131"/>
      <c r="I161" s="131"/>
    </row>
    <row r="162" spans="2:9" x14ac:dyDescent="0.25">
      <c r="D162" s="119"/>
    </row>
    <row r="163" spans="2:9" x14ac:dyDescent="0.25">
      <c r="B163" s="410" t="s">
        <v>2251</v>
      </c>
      <c r="C163" s="3"/>
      <c r="D163" s="44"/>
      <c r="E163" s="112" t="s">
        <v>21</v>
      </c>
      <c r="F163" s="112" t="s">
        <v>2182</v>
      </c>
      <c r="G163" s="112" t="s">
        <v>2181</v>
      </c>
      <c r="H163" s="112" t="s">
        <v>2180</v>
      </c>
      <c r="I163" s="112" t="s">
        <v>2179</v>
      </c>
    </row>
    <row r="164" spans="2:9" x14ac:dyDescent="0.25">
      <c r="B164" s="411"/>
      <c r="C164" s="3" t="s">
        <v>2243</v>
      </c>
      <c r="D164" s="44"/>
      <c r="E164" s="4">
        <f>SUM(F164:I164)</f>
        <v>43976.120923848364</v>
      </c>
      <c r="F164" s="141">
        <f>F12</f>
        <v>21421</v>
      </c>
      <c r="G164" s="126">
        <f>G12</f>
        <v>22555.120923848364</v>
      </c>
      <c r="H164" s="4"/>
      <c r="I164" s="26"/>
    </row>
    <row r="165" spans="2:9" ht="60" x14ac:dyDescent="0.25">
      <c r="B165" s="411"/>
      <c r="C165" s="3" t="s">
        <v>16</v>
      </c>
      <c r="D165" s="45" t="s">
        <v>2344</v>
      </c>
      <c r="E165" s="4">
        <f>SUM(F165:I165)</f>
        <v>0</v>
      </c>
      <c r="F165" s="4">
        <f>F186</f>
        <v>0</v>
      </c>
      <c r="G165" s="4">
        <f t="shared" ref="G165" si="33">G186</f>
        <v>0</v>
      </c>
      <c r="H165" s="4"/>
      <c r="I165" s="4"/>
    </row>
    <row r="166" spans="2:9" x14ac:dyDescent="0.25">
      <c r="B166" s="411"/>
      <c r="C166" s="3" t="s">
        <v>2245</v>
      </c>
      <c r="D166" s="414" t="s">
        <v>2244</v>
      </c>
      <c r="E166" s="4">
        <f t="shared" ref="E166:E169" si="34">SUM(F166:I166)</f>
        <v>19.23076923076923</v>
      </c>
      <c r="F166" s="4">
        <f>F43</f>
        <v>10</v>
      </c>
      <c r="G166" s="126">
        <f>G43</f>
        <v>9.2307692307692299</v>
      </c>
      <c r="H166" s="4"/>
      <c r="I166" s="26"/>
    </row>
    <row r="167" spans="2:9" x14ac:dyDescent="0.25">
      <c r="B167" s="411"/>
      <c r="C167" s="3" t="s">
        <v>2246</v>
      </c>
      <c r="D167" s="415"/>
      <c r="E167" s="4">
        <f t="shared" si="34"/>
        <v>564.33377684850791</v>
      </c>
      <c r="F167" s="4">
        <f>F27</f>
        <v>320</v>
      </c>
      <c r="G167" s="126">
        <f>G27</f>
        <v>244.33377684850788</v>
      </c>
      <c r="H167" s="4"/>
      <c r="I167" s="26"/>
    </row>
    <row r="168" spans="2:9" x14ac:dyDescent="0.25">
      <c r="B168" s="411"/>
      <c r="C168" s="3" t="s">
        <v>2247</v>
      </c>
      <c r="D168" s="416"/>
      <c r="E168" s="4">
        <f t="shared" si="34"/>
        <v>1865.1310914400156</v>
      </c>
      <c r="F168" s="4">
        <f>F59</f>
        <v>920</v>
      </c>
      <c r="G168" s="126">
        <f>G59</f>
        <v>945.13109144001555</v>
      </c>
      <c r="H168" s="4"/>
      <c r="I168" s="26"/>
    </row>
    <row r="169" spans="2:9" x14ac:dyDescent="0.25">
      <c r="B169" s="412"/>
      <c r="C169" s="3" t="s">
        <v>2255</v>
      </c>
      <c r="D169" s="44"/>
      <c r="E169" s="4">
        <f t="shared" si="34"/>
        <v>21.371134020618555</v>
      </c>
      <c r="F169" s="4">
        <f>F89</f>
        <v>12</v>
      </c>
      <c r="G169" s="126">
        <f>G89</f>
        <v>9.3711340206185572</v>
      </c>
      <c r="H169" s="4"/>
      <c r="I169" s="26"/>
    </row>
    <row r="170" spans="2:9" x14ac:dyDescent="0.25">
      <c r="D170" s="120" t="s">
        <v>2259</v>
      </c>
      <c r="E170" s="117">
        <f>SUM(E164:E169)</f>
        <v>46446.187695388275</v>
      </c>
      <c r="F170" s="117">
        <f>SUM(F164:F169)</f>
        <v>22683</v>
      </c>
      <c r="G170" s="117">
        <f>SUM(G164:G169)</f>
        <v>23763.187695388275</v>
      </c>
      <c r="H170" s="117">
        <f t="shared" ref="H170:I170" si="35">SUM(H164:H169)</f>
        <v>0</v>
      </c>
      <c r="I170" s="117">
        <f t="shared" si="35"/>
        <v>0</v>
      </c>
    </row>
    <row r="172" spans="2:9" x14ac:dyDescent="0.25">
      <c r="D172" s="3" t="s">
        <v>2254</v>
      </c>
      <c r="E172" s="115">
        <f>IF((E146-E158)&gt;0,E146-E158,0)</f>
        <v>0</v>
      </c>
      <c r="F172" s="115">
        <f t="shared" ref="F172" si="36">IF((F146-F158)&gt;0,F146-F158,0)</f>
        <v>3095</v>
      </c>
      <c r="G172" s="115">
        <f>IF((G146-G158)&gt;0,G146-G158,0)</f>
        <v>0</v>
      </c>
      <c r="H172" s="115">
        <f t="shared" ref="H172:I172" si="37">IF((H146-H158)&gt;0,H146-H158,0)</f>
        <v>0</v>
      </c>
      <c r="I172" s="115">
        <f t="shared" si="37"/>
        <v>0</v>
      </c>
    </row>
    <row r="173" spans="2:9" ht="15.75" thickBot="1" x14ac:dyDescent="0.3">
      <c r="D173" s="132" t="s">
        <v>2271</v>
      </c>
      <c r="E173" s="145">
        <f>IF((E172-E170)&gt;0,(E172-E170),0)</f>
        <v>0</v>
      </c>
      <c r="F173" s="133">
        <f>IF((F172-F170)&gt;0,(F172-F170),0)</f>
        <v>0</v>
      </c>
      <c r="G173" s="133">
        <f>IF((G172-G170)&gt;0,(G172-G170),0)</f>
        <v>0</v>
      </c>
      <c r="H173" s="133">
        <f t="shared" ref="H173:I173" si="38">IF((H172-H170)&gt;0,(H172-H170),0)</f>
        <v>0</v>
      </c>
      <c r="I173" s="133">
        <f t="shared" si="38"/>
        <v>0</v>
      </c>
    </row>
    <row r="174" spans="2:9" x14ac:dyDescent="0.25">
      <c r="C174" s="417" t="s">
        <v>2275</v>
      </c>
      <c r="D174" s="134" t="s">
        <v>2272</v>
      </c>
      <c r="E174" s="135"/>
      <c r="F174" s="135"/>
      <c r="G174" s="135"/>
      <c r="H174" s="135"/>
      <c r="I174" s="136"/>
    </row>
    <row r="175" spans="2:9" ht="15.75" thickBot="1" x14ac:dyDescent="0.3">
      <c r="C175" s="418"/>
      <c r="D175" s="137" t="s">
        <v>2273</v>
      </c>
      <c r="E175" s="138"/>
      <c r="F175" s="138"/>
      <c r="G175" s="138"/>
      <c r="H175" s="138"/>
      <c r="I175" s="139"/>
    </row>
    <row r="176" spans="2:9" ht="15.75" thickBot="1" x14ac:dyDescent="0.3">
      <c r="C176" s="417" t="s">
        <v>2276</v>
      </c>
      <c r="D176" s="134" t="s">
        <v>2277</v>
      </c>
      <c r="E176" s="138"/>
      <c r="F176" s="138"/>
      <c r="G176" s="138"/>
      <c r="H176" s="138"/>
      <c r="I176" s="139"/>
    </row>
    <row r="177" spans="2:9" ht="15.75" thickBot="1" x14ac:dyDescent="0.3">
      <c r="C177" s="418"/>
      <c r="D177" s="137" t="s">
        <v>2273</v>
      </c>
      <c r="E177" s="135"/>
      <c r="F177" s="135"/>
      <c r="G177" s="135"/>
      <c r="H177" s="135"/>
      <c r="I177" s="140"/>
    </row>
    <row r="178" spans="2:9" x14ac:dyDescent="0.25">
      <c r="C178" s="417" t="s">
        <v>2278</v>
      </c>
      <c r="D178" s="134" t="s">
        <v>2274</v>
      </c>
      <c r="E178" s="135"/>
      <c r="F178" s="135"/>
      <c r="G178" s="135"/>
      <c r="H178" s="135"/>
      <c r="I178" s="136"/>
    </row>
    <row r="179" spans="2:9" ht="15.75" thickBot="1" x14ac:dyDescent="0.3">
      <c r="C179" s="418"/>
      <c r="D179" s="137" t="s">
        <v>2273</v>
      </c>
      <c r="E179" s="138"/>
      <c r="F179" s="138"/>
      <c r="G179" s="138"/>
      <c r="H179" s="138"/>
      <c r="I179" s="139"/>
    </row>
    <row r="183" spans="2:9" x14ac:dyDescent="0.25">
      <c r="B183" s="413" t="s">
        <v>16</v>
      </c>
      <c r="C183" s="3" t="s">
        <v>2214</v>
      </c>
      <c r="D183" s="44"/>
      <c r="E183" s="4">
        <f>SUM(F183:I183)</f>
        <v>34327</v>
      </c>
      <c r="F183" s="4">
        <f>F147</f>
        <v>19773</v>
      </c>
      <c r="G183" s="4">
        <f>G147</f>
        <v>14554</v>
      </c>
      <c r="H183" s="3"/>
      <c r="I183" s="3"/>
    </row>
    <row r="184" spans="2:9" x14ac:dyDescent="0.25">
      <c r="B184" s="413"/>
      <c r="C184" s="3" t="s">
        <v>2257</v>
      </c>
      <c r="D184" s="44"/>
      <c r="E184" s="115">
        <f>SUM(F184:I184)</f>
        <v>34327</v>
      </c>
      <c r="F184" s="4">
        <f>IF((F183-F151)&gt;0,F151,F183)</f>
        <v>19773</v>
      </c>
      <c r="G184" s="4">
        <f>IF((G183-G151)&gt;0,G151,G183)</f>
        <v>14554</v>
      </c>
      <c r="H184" s="4">
        <f t="shared" ref="H184:I184" si="39">IF((H183-H151)&gt;0,H151,H183)</f>
        <v>0</v>
      </c>
      <c r="I184" s="4">
        <f t="shared" si="39"/>
        <v>0</v>
      </c>
    </row>
    <row r="185" spans="2:9" ht="60" x14ac:dyDescent="0.25">
      <c r="B185" s="413"/>
      <c r="C185" s="3" t="s">
        <v>2258</v>
      </c>
      <c r="D185" s="45" t="s">
        <v>2344</v>
      </c>
      <c r="E185" s="4">
        <f>E98</f>
        <v>95311</v>
      </c>
      <c r="F185" s="4">
        <f>F98</f>
        <v>42004</v>
      </c>
      <c r="G185" s="4">
        <f>G98</f>
        <v>52268</v>
      </c>
      <c r="H185" s="4">
        <f>H165</f>
        <v>0</v>
      </c>
      <c r="I185" s="3"/>
    </row>
    <row r="186" spans="2:9" x14ac:dyDescent="0.25">
      <c r="B186" s="413"/>
      <c r="C186" s="179" t="s">
        <v>2256</v>
      </c>
      <c r="D186" s="180" t="s">
        <v>2353</v>
      </c>
      <c r="E186" s="118">
        <f>SUM(F186:I186)</f>
        <v>0</v>
      </c>
      <c r="F186" s="118">
        <f>IF((F183-F184)&gt;0,MIN((F183-F184),F185),0)</f>
        <v>0</v>
      </c>
      <c r="G186" s="118">
        <f>IF((G183-G184)&gt;0,MIN((G183-G184),G185),0)</f>
        <v>0</v>
      </c>
      <c r="H186" s="118">
        <f t="shared" ref="H186:I186" si="40">MIN((H183-H184),H185)</f>
        <v>0</v>
      </c>
      <c r="I186" s="118">
        <f t="shared" si="40"/>
        <v>0</v>
      </c>
    </row>
    <row r="190" spans="2:9" x14ac:dyDescent="0.25">
      <c r="B190" s="413" t="s">
        <v>2256</v>
      </c>
      <c r="C190" s="3" t="s">
        <v>2253</v>
      </c>
      <c r="D190" s="44"/>
      <c r="E190" s="121">
        <f>SUM(E159+E173)</f>
        <v>69792</v>
      </c>
      <c r="F190" s="121">
        <f t="shared" ref="F190:I190" si="41">SUM(F159+F173)</f>
        <v>22382</v>
      </c>
      <c r="G190" s="121">
        <f t="shared" si="41"/>
        <v>47205</v>
      </c>
      <c r="H190" s="121">
        <f t="shared" si="41"/>
        <v>288</v>
      </c>
      <c r="I190" s="115">
        <f t="shared" si="41"/>
        <v>-83</v>
      </c>
    </row>
    <row r="191" spans="2:9" x14ac:dyDescent="0.25">
      <c r="B191" s="413"/>
      <c r="C191" s="3" t="s">
        <v>16</v>
      </c>
      <c r="D191" s="44"/>
      <c r="E191" s="118">
        <f>E186</f>
        <v>0</v>
      </c>
      <c r="F191" s="118">
        <f t="shared" ref="F191:I191" si="42">F186</f>
        <v>0</v>
      </c>
      <c r="G191" s="118">
        <f t="shared" si="42"/>
        <v>0</v>
      </c>
      <c r="H191" s="118">
        <f t="shared" si="42"/>
        <v>0</v>
      </c>
      <c r="I191" s="115">
        <f t="shared" si="42"/>
        <v>0</v>
      </c>
    </row>
    <row r="192" spans="2:9" x14ac:dyDescent="0.25">
      <c r="B192" s="413"/>
      <c r="C192" s="3" t="s">
        <v>2270</v>
      </c>
      <c r="D192" s="44"/>
      <c r="E192" s="115">
        <f>E190-E191</f>
        <v>69792</v>
      </c>
      <c r="F192" s="115">
        <f t="shared" ref="F192:I192" si="43">F190-F191</f>
        <v>22382</v>
      </c>
      <c r="G192" s="115">
        <f t="shared" si="43"/>
        <v>47205</v>
      </c>
      <c r="H192" s="115">
        <f t="shared" si="43"/>
        <v>288</v>
      </c>
      <c r="I192" s="115">
        <f t="shared" si="43"/>
        <v>-83</v>
      </c>
    </row>
    <row r="196" spans="4:7" x14ac:dyDescent="0.25">
      <c r="D196" s="44" t="s">
        <v>2345</v>
      </c>
      <c r="E196" s="4">
        <f>SUM(F196:G196)</f>
        <v>98115</v>
      </c>
      <c r="F196" s="4">
        <f>F146-F147</f>
        <v>56031</v>
      </c>
      <c r="G196" s="4">
        <f>G146-G147</f>
        <v>42084</v>
      </c>
    </row>
  </sheetData>
  <mergeCells count="24">
    <mergeCell ref="A80:A90"/>
    <mergeCell ref="C1:I1"/>
    <mergeCell ref="A3:A13"/>
    <mergeCell ref="B14:I14"/>
    <mergeCell ref="A18:A28"/>
    <mergeCell ref="B29:I29"/>
    <mergeCell ref="A34:A44"/>
    <mergeCell ref="B45:I45"/>
    <mergeCell ref="B46:I46"/>
    <mergeCell ref="A50:A60"/>
    <mergeCell ref="B61:I61"/>
    <mergeCell ref="A64:A74"/>
    <mergeCell ref="A93:A98"/>
    <mergeCell ref="C94:I94"/>
    <mergeCell ref="B149:B155"/>
    <mergeCell ref="D152:D154"/>
    <mergeCell ref="B163:B169"/>
    <mergeCell ref="D166:D168"/>
    <mergeCell ref="B138:B141"/>
    <mergeCell ref="C174:C175"/>
    <mergeCell ref="C176:C177"/>
    <mergeCell ref="C178:C179"/>
    <mergeCell ref="B183:B186"/>
    <mergeCell ref="B190:B192"/>
  </mergeCells>
  <hyperlinks>
    <hyperlink ref="C1" r:id="rId1"/>
    <hyperlink ref="C78" r:id="rId2"/>
    <hyperlink ref="C16" r:id="rId3"/>
    <hyperlink ref="C32" r:id="rId4"/>
    <hyperlink ref="C48" r:id="rId5"/>
    <hyperlink ref="C94" r:id="rId6" display="https://dashboard.applaydu.com/question/2314-applaydu-number-of-organic-users-that-scan-at-least-1-toy?"/>
    <hyperlink ref="C107" r:id="rId7"/>
    <hyperlink ref="D124" r:id="rId8"/>
    <hyperlink ref="D185" r:id="rId9"/>
    <hyperlink ref="D165" r:id="rId10"/>
  </hyperlinks>
  <pageMargins left="0.7" right="0.7" top="0.75" bottom="0.75" header="0.3" footer="0.3"/>
  <pageSetup paperSize="9" orientation="portrait" r:id="rId11"/>
  <legacyDrawing r:id="rId1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39"/>
  <sheetViews>
    <sheetView workbookViewId="0">
      <selection activeCell="C11" sqref="C11"/>
    </sheetView>
  </sheetViews>
  <sheetFormatPr defaultColWidth="8.85546875" defaultRowHeight="15" x14ac:dyDescent="0.25"/>
  <cols>
    <col min="1" max="1" width="33.42578125" style="52" customWidth="1"/>
    <col min="2" max="2" width="37" style="50" customWidth="1"/>
    <col min="3" max="3" width="38.42578125" style="50" bestFit="1" customWidth="1"/>
    <col min="4" max="4" width="47.42578125" style="50" customWidth="1"/>
  </cols>
  <sheetData>
    <row r="1" spans="1:4" ht="16.5" thickTop="1" thickBot="1" x14ac:dyDescent="0.3">
      <c r="A1" s="51" t="s">
        <v>162</v>
      </c>
      <c r="B1" s="53" t="s">
        <v>161</v>
      </c>
      <c r="C1" s="53" t="s">
        <v>299</v>
      </c>
      <c r="D1" s="53" t="s">
        <v>2168</v>
      </c>
    </row>
    <row r="2" spans="1:4" ht="15.75" thickTop="1" x14ac:dyDescent="0.25">
      <c r="A2" s="52" t="s">
        <v>160</v>
      </c>
      <c r="B2" s="50" t="s">
        <v>163</v>
      </c>
      <c r="C2" s="50" t="s">
        <v>300</v>
      </c>
      <c r="D2" s="50" t="s">
        <v>2169</v>
      </c>
    </row>
    <row r="3" spans="1:4" x14ac:dyDescent="0.25">
      <c r="A3" s="52" t="s">
        <v>58</v>
      </c>
      <c r="B3" s="50" t="s">
        <v>164</v>
      </c>
      <c r="C3" s="50" t="s">
        <v>301</v>
      </c>
      <c r="D3" s="50" t="s">
        <v>2170</v>
      </c>
    </row>
    <row r="4" spans="1:4" x14ac:dyDescent="0.25">
      <c r="A4" s="52" t="s">
        <v>59</v>
      </c>
      <c r="B4" s="50" t="s">
        <v>165</v>
      </c>
      <c r="C4" s="50" t="s">
        <v>302</v>
      </c>
    </row>
    <row r="5" spans="1:4" x14ac:dyDescent="0.25">
      <c r="A5" s="52" t="s">
        <v>60</v>
      </c>
      <c r="B5" s="50" t="s">
        <v>166</v>
      </c>
      <c r="C5" s="50" t="s">
        <v>303</v>
      </c>
    </row>
    <row r="6" spans="1:4" x14ac:dyDescent="0.25">
      <c r="A6" s="52" t="s">
        <v>61</v>
      </c>
      <c r="B6" s="50" t="s">
        <v>167</v>
      </c>
      <c r="C6" s="50" t="s">
        <v>304</v>
      </c>
    </row>
    <row r="7" spans="1:4" x14ac:dyDescent="0.25">
      <c r="A7" s="52" t="s">
        <v>62</v>
      </c>
      <c r="B7" s="50" t="s">
        <v>168</v>
      </c>
      <c r="C7" s="50" t="s">
        <v>305</v>
      </c>
    </row>
    <row r="8" spans="1:4" x14ac:dyDescent="0.25">
      <c r="A8" s="52" t="s">
        <v>63</v>
      </c>
      <c r="B8" s="50" t="s">
        <v>169</v>
      </c>
      <c r="C8" s="50" t="s">
        <v>306</v>
      </c>
    </row>
    <row r="9" spans="1:4" x14ac:dyDescent="0.25">
      <c r="A9" s="52" t="s">
        <v>64</v>
      </c>
      <c r="B9" s="50" t="s">
        <v>170</v>
      </c>
      <c r="C9" s="50" t="s">
        <v>307</v>
      </c>
    </row>
    <row r="10" spans="1:4" x14ac:dyDescent="0.25">
      <c r="A10" s="52" t="s">
        <v>65</v>
      </c>
      <c r="B10" s="50" t="s">
        <v>171</v>
      </c>
      <c r="C10" s="50" t="s">
        <v>308</v>
      </c>
    </row>
    <row r="11" spans="1:4" x14ac:dyDescent="0.25">
      <c r="A11" s="52" t="s">
        <v>66</v>
      </c>
      <c r="B11" s="50" t="s">
        <v>172</v>
      </c>
      <c r="C11" s="50" t="s">
        <v>309</v>
      </c>
    </row>
    <row r="12" spans="1:4" x14ac:dyDescent="0.25">
      <c r="A12" s="52" t="s">
        <v>67</v>
      </c>
      <c r="B12" s="50" t="s">
        <v>173</v>
      </c>
      <c r="C12" s="50" t="s">
        <v>310</v>
      </c>
    </row>
    <row r="13" spans="1:4" x14ac:dyDescent="0.25">
      <c r="A13" s="52" t="s">
        <v>68</v>
      </c>
      <c r="B13" s="50" t="s">
        <v>174</v>
      </c>
      <c r="C13" s="50" t="s">
        <v>311</v>
      </c>
    </row>
    <row r="14" spans="1:4" x14ac:dyDescent="0.25">
      <c r="A14" s="52" t="s">
        <v>69</v>
      </c>
      <c r="B14" s="50" t="s">
        <v>175</v>
      </c>
      <c r="C14" s="50" t="s">
        <v>312</v>
      </c>
    </row>
    <row r="15" spans="1:4" x14ac:dyDescent="0.25">
      <c r="A15" s="52" t="s">
        <v>70</v>
      </c>
      <c r="B15" s="50" t="s">
        <v>176</v>
      </c>
      <c r="C15" s="50" t="s">
        <v>313</v>
      </c>
    </row>
    <row r="16" spans="1:4" x14ac:dyDescent="0.25">
      <c r="A16" s="52" t="s">
        <v>71</v>
      </c>
      <c r="B16" s="50" t="s">
        <v>177</v>
      </c>
      <c r="C16" s="50" t="s">
        <v>314</v>
      </c>
    </row>
    <row r="17" spans="1:3" x14ac:dyDescent="0.25">
      <c r="A17" s="52" t="s">
        <v>72</v>
      </c>
      <c r="B17" s="50" t="s">
        <v>178</v>
      </c>
      <c r="C17" s="50" t="s">
        <v>315</v>
      </c>
    </row>
    <row r="18" spans="1:3" x14ac:dyDescent="0.25">
      <c r="A18" s="52" t="s">
        <v>73</v>
      </c>
      <c r="B18" s="50" t="s">
        <v>179</v>
      </c>
      <c r="C18" s="50" t="s">
        <v>316</v>
      </c>
    </row>
    <row r="19" spans="1:3" x14ac:dyDescent="0.25">
      <c r="A19" s="52" t="s">
        <v>74</v>
      </c>
      <c r="B19" s="50" t="s">
        <v>180</v>
      </c>
      <c r="C19" s="50" t="s">
        <v>317</v>
      </c>
    </row>
    <row r="20" spans="1:3" x14ac:dyDescent="0.25">
      <c r="A20" s="52" t="s">
        <v>75</v>
      </c>
      <c r="B20" s="50" t="s">
        <v>181</v>
      </c>
      <c r="C20" s="50" t="s">
        <v>318</v>
      </c>
    </row>
    <row r="21" spans="1:3" x14ac:dyDescent="0.25">
      <c r="A21" s="52" t="s">
        <v>76</v>
      </c>
      <c r="B21" s="50" t="s">
        <v>182</v>
      </c>
      <c r="C21" s="50" t="s">
        <v>319</v>
      </c>
    </row>
    <row r="22" spans="1:3" x14ac:dyDescent="0.25">
      <c r="A22" s="52" t="s">
        <v>77</v>
      </c>
      <c r="B22" s="50" t="s">
        <v>183</v>
      </c>
      <c r="C22" s="50" t="s">
        <v>320</v>
      </c>
    </row>
    <row r="23" spans="1:3" x14ac:dyDescent="0.25">
      <c r="A23" s="52" t="s">
        <v>78</v>
      </c>
      <c r="B23" s="50" t="s">
        <v>184</v>
      </c>
      <c r="C23" s="50" t="s">
        <v>321</v>
      </c>
    </row>
    <row r="24" spans="1:3" x14ac:dyDescent="0.25">
      <c r="A24" s="52" t="s">
        <v>79</v>
      </c>
      <c r="B24" s="50" t="s">
        <v>185</v>
      </c>
      <c r="C24" s="50" t="s">
        <v>322</v>
      </c>
    </row>
    <row r="25" spans="1:3" x14ac:dyDescent="0.25">
      <c r="A25" s="52" t="s">
        <v>80</v>
      </c>
      <c r="B25" s="50" t="s">
        <v>186</v>
      </c>
      <c r="C25" s="50" t="s">
        <v>323</v>
      </c>
    </row>
    <row r="26" spans="1:3" x14ac:dyDescent="0.25">
      <c r="A26" s="52" t="s">
        <v>81</v>
      </c>
      <c r="B26" s="50" t="s">
        <v>187</v>
      </c>
      <c r="C26" s="50" t="s">
        <v>324</v>
      </c>
    </row>
    <row r="27" spans="1:3" x14ac:dyDescent="0.25">
      <c r="A27" s="52" t="s">
        <v>82</v>
      </c>
      <c r="B27" s="50" t="s">
        <v>188</v>
      </c>
      <c r="C27" s="50" t="s">
        <v>325</v>
      </c>
    </row>
    <row r="28" spans="1:3" x14ac:dyDescent="0.25">
      <c r="A28" s="52" t="s">
        <v>83</v>
      </c>
      <c r="B28" s="50" t="s">
        <v>189</v>
      </c>
      <c r="C28" s="50" t="s">
        <v>326</v>
      </c>
    </row>
    <row r="29" spans="1:3" x14ac:dyDescent="0.25">
      <c r="A29" s="52" t="s">
        <v>84</v>
      </c>
      <c r="B29" s="50" t="s">
        <v>190</v>
      </c>
      <c r="C29" s="50" t="s">
        <v>327</v>
      </c>
    </row>
    <row r="30" spans="1:3" x14ac:dyDescent="0.25">
      <c r="A30" s="52" t="s">
        <v>85</v>
      </c>
      <c r="B30" s="50" t="s">
        <v>191</v>
      </c>
      <c r="C30" s="50" t="s">
        <v>328</v>
      </c>
    </row>
    <row r="31" spans="1:3" x14ac:dyDescent="0.25">
      <c r="A31" s="52" t="s">
        <v>86</v>
      </c>
      <c r="B31" s="50" t="s">
        <v>192</v>
      </c>
      <c r="C31" s="50" t="s">
        <v>329</v>
      </c>
    </row>
    <row r="32" spans="1:3" x14ac:dyDescent="0.25">
      <c r="A32" s="52" t="s">
        <v>87</v>
      </c>
      <c r="B32" s="50" t="s">
        <v>193</v>
      </c>
      <c r="C32" s="50" t="s">
        <v>330</v>
      </c>
    </row>
    <row r="33" spans="1:3" x14ac:dyDescent="0.25">
      <c r="A33" s="52" t="s">
        <v>88</v>
      </c>
      <c r="B33" s="50" t="s">
        <v>194</v>
      </c>
      <c r="C33" s="50" t="s">
        <v>331</v>
      </c>
    </row>
    <row r="34" spans="1:3" x14ac:dyDescent="0.25">
      <c r="A34" s="52" t="s">
        <v>89</v>
      </c>
      <c r="B34" s="50" t="s">
        <v>195</v>
      </c>
      <c r="C34" s="50" t="s">
        <v>332</v>
      </c>
    </row>
    <row r="35" spans="1:3" x14ac:dyDescent="0.25">
      <c r="A35" s="52" t="s">
        <v>90</v>
      </c>
      <c r="B35" s="50" t="s">
        <v>196</v>
      </c>
      <c r="C35" s="50" t="s">
        <v>333</v>
      </c>
    </row>
    <row r="36" spans="1:3" x14ac:dyDescent="0.25">
      <c r="A36" s="52" t="s">
        <v>91</v>
      </c>
      <c r="B36" s="50" t="s">
        <v>197</v>
      </c>
      <c r="C36" s="50" t="s">
        <v>334</v>
      </c>
    </row>
    <row r="37" spans="1:3" x14ac:dyDescent="0.25">
      <c r="A37" s="52" t="s">
        <v>92</v>
      </c>
      <c r="B37" s="50" t="s">
        <v>198</v>
      </c>
      <c r="C37" s="50" t="s">
        <v>335</v>
      </c>
    </row>
    <row r="38" spans="1:3" x14ac:dyDescent="0.25">
      <c r="A38" s="52" t="s">
        <v>93</v>
      </c>
      <c r="B38" s="50" t="s">
        <v>199</v>
      </c>
      <c r="C38" s="50" t="s">
        <v>336</v>
      </c>
    </row>
    <row r="39" spans="1:3" x14ac:dyDescent="0.25">
      <c r="A39" s="52" t="s">
        <v>94</v>
      </c>
      <c r="B39" s="50" t="s">
        <v>200</v>
      </c>
      <c r="C39" s="50" t="s">
        <v>337</v>
      </c>
    </row>
    <row r="40" spans="1:3" x14ac:dyDescent="0.25">
      <c r="A40" s="52" t="s">
        <v>95</v>
      </c>
      <c r="B40" s="50" t="s">
        <v>201</v>
      </c>
      <c r="C40" s="50" t="s">
        <v>338</v>
      </c>
    </row>
    <row r="41" spans="1:3" x14ac:dyDescent="0.25">
      <c r="A41" s="52" t="s">
        <v>96</v>
      </c>
      <c r="B41" s="50" t="s">
        <v>202</v>
      </c>
      <c r="C41" s="50" t="s">
        <v>339</v>
      </c>
    </row>
    <row r="42" spans="1:3" x14ac:dyDescent="0.25">
      <c r="A42" s="52" t="s">
        <v>97</v>
      </c>
      <c r="B42" s="50" t="s">
        <v>203</v>
      </c>
      <c r="C42" s="50" t="s">
        <v>340</v>
      </c>
    </row>
    <row r="43" spans="1:3" x14ac:dyDescent="0.25">
      <c r="A43" s="52" t="s">
        <v>98</v>
      </c>
      <c r="B43" s="50" t="s">
        <v>204</v>
      </c>
      <c r="C43" s="50" t="s">
        <v>341</v>
      </c>
    </row>
    <row r="44" spans="1:3" x14ac:dyDescent="0.25">
      <c r="A44" s="52" t="s">
        <v>99</v>
      </c>
      <c r="B44" s="50" t="s">
        <v>205</v>
      </c>
      <c r="C44" s="50" t="s">
        <v>342</v>
      </c>
    </row>
    <row r="45" spans="1:3" x14ac:dyDescent="0.25">
      <c r="A45" s="52" t="s">
        <v>100</v>
      </c>
      <c r="B45" s="50" t="s">
        <v>206</v>
      </c>
      <c r="C45" s="50" t="s">
        <v>343</v>
      </c>
    </row>
    <row r="46" spans="1:3" x14ac:dyDescent="0.25">
      <c r="A46" s="52" t="s">
        <v>101</v>
      </c>
      <c r="B46" s="50" t="s">
        <v>207</v>
      </c>
      <c r="C46" s="50" t="s">
        <v>344</v>
      </c>
    </row>
    <row r="47" spans="1:3" x14ac:dyDescent="0.25">
      <c r="A47" s="52" t="s">
        <v>102</v>
      </c>
      <c r="B47" s="50" t="s">
        <v>208</v>
      </c>
      <c r="C47" s="50" t="s">
        <v>345</v>
      </c>
    </row>
    <row r="48" spans="1:3" x14ac:dyDescent="0.25">
      <c r="A48" s="52" t="s">
        <v>103</v>
      </c>
      <c r="B48" s="50" t="s">
        <v>209</v>
      </c>
      <c r="C48" s="50" t="s">
        <v>346</v>
      </c>
    </row>
    <row r="49" spans="1:3" x14ac:dyDescent="0.25">
      <c r="A49" s="52" t="s">
        <v>104</v>
      </c>
      <c r="B49" s="50" t="s">
        <v>210</v>
      </c>
      <c r="C49" s="50" t="s">
        <v>347</v>
      </c>
    </row>
    <row r="50" spans="1:3" x14ac:dyDescent="0.25">
      <c r="A50" s="52" t="s">
        <v>105</v>
      </c>
      <c r="B50" s="50" t="s">
        <v>211</v>
      </c>
      <c r="C50" s="50" t="s">
        <v>348</v>
      </c>
    </row>
    <row r="51" spans="1:3" x14ac:dyDescent="0.25">
      <c r="A51" s="52" t="s">
        <v>106</v>
      </c>
      <c r="B51" s="50" t="s">
        <v>212</v>
      </c>
      <c r="C51" s="50" t="s">
        <v>349</v>
      </c>
    </row>
    <row r="52" spans="1:3" x14ac:dyDescent="0.25">
      <c r="A52" s="52" t="s">
        <v>107</v>
      </c>
      <c r="B52" s="50" t="s">
        <v>213</v>
      </c>
      <c r="C52" s="50" t="s">
        <v>350</v>
      </c>
    </row>
    <row r="53" spans="1:3" x14ac:dyDescent="0.25">
      <c r="A53" s="52" t="s">
        <v>108</v>
      </c>
      <c r="B53" s="50" t="s">
        <v>214</v>
      </c>
      <c r="C53" s="50" t="s">
        <v>351</v>
      </c>
    </row>
    <row r="54" spans="1:3" x14ac:dyDescent="0.25">
      <c r="A54" s="52" t="s">
        <v>109</v>
      </c>
      <c r="B54" s="50" t="s">
        <v>215</v>
      </c>
      <c r="C54" s="50" t="s">
        <v>352</v>
      </c>
    </row>
    <row r="55" spans="1:3" x14ac:dyDescent="0.25">
      <c r="A55" s="52" t="s">
        <v>110</v>
      </c>
      <c r="B55" s="50" t="s">
        <v>216</v>
      </c>
      <c r="C55" s="50" t="s">
        <v>353</v>
      </c>
    </row>
    <row r="56" spans="1:3" x14ac:dyDescent="0.25">
      <c r="A56" s="52" t="s">
        <v>111</v>
      </c>
      <c r="B56" s="50" t="s">
        <v>217</v>
      </c>
      <c r="C56" s="50" t="s">
        <v>354</v>
      </c>
    </row>
    <row r="57" spans="1:3" x14ac:dyDescent="0.25">
      <c r="A57" s="52" t="s">
        <v>112</v>
      </c>
      <c r="B57" s="50" t="s">
        <v>218</v>
      </c>
      <c r="C57" s="50" t="s">
        <v>355</v>
      </c>
    </row>
    <row r="58" spans="1:3" x14ac:dyDescent="0.25">
      <c r="A58" s="52" t="s">
        <v>113</v>
      </c>
      <c r="B58" s="50" t="s">
        <v>219</v>
      </c>
      <c r="C58" s="50" t="s">
        <v>356</v>
      </c>
    </row>
    <row r="59" spans="1:3" x14ac:dyDescent="0.25">
      <c r="A59" s="52" t="s">
        <v>114</v>
      </c>
      <c r="B59" s="50" t="s">
        <v>220</v>
      </c>
      <c r="C59" s="50" t="s">
        <v>357</v>
      </c>
    </row>
    <row r="60" spans="1:3" x14ac:dyDescent="0.25">
      <c r="A60" s="52" t="s">
        <v>115</v>
      </c>
      <c r="B60" s="50" t="s">
        <v>221</v>
      </c>
      <c r="C60" s="50" t="s">
        <v>358</v>
      </c>
    </row>
    <row r="61" spans="1:3" x14ac:dyDescent="0.25">
      <c r="A61" s="52" t="s">
        <v>116</v>
      </c>
      <c r="B61" s="50" t="s">
        <v>222</v>
      </c>
      <c r="C61" s="50" t="s">
        <v>359</v>
      </c>
    </row>
    <row r="62" spans="1:3" x14ac:dyDescent="0.25">
      <c r="A62" s="52" t="s">
        <v>117</v>
      </c>
      <c r="B62" s="50" t="s">
        <v>223</v>
      </c>
      <c r="C62" s="50" t="s">
        <v>360</v>
      </c>
    </row>
    <row r="63" spans="1:3" x14ac:dyDescent="0.25">
      <c r="A63" s="52" t="s">
        <v>118</v>
      </c>
      <c r="B63" s="50" t="s">
        <v>224</v>
      </c>
      <c r="C63" s="50" t="s">
        <v>361</v>
      </c>
    </row>
    <row r="64" spans="1:3" x14ac:dyDescent="0.25">
      <c r="A64" s="52" t="s">
        <v>119</v>
      </c>
      <c r="B64" s="50" t="s">
        <v>225</v>
      </c>
      <c r="C64" s="50" t="s">
        <v>362</v>
      </c>
    </row>
    <row r="65" spans="1:3" x14ac:dyDescent="0.25">
      <c r="A65" s="52" t="s">
        <v>120</v>
      </c>
      <c r="B65" s="50" t="s">
        <v>226</v>
      </c>
      <c r="C65" s="50" t="s">
        <v>363</v>
      </c>
    </row>
    <row r="66" spans="1:3" x14ac:dyDescent="0.25">
      <c r="A66" s="52" t="s">
        <v>121</v>
      </c>
      <c r="B66" s="50" t="s">
        <v>227</v>
      </c>
      <c r="C66" s="50" t="s">
        <v>364</v>
      </c>
    </row>
    <row r="67" spans="1:3" x14ac:dyDescent="0.25">
      <c r="A67" s="52" t="s">
        <v>122</v>
      </c>
      <c r="B67" s="50" t="s">
        <v>228</v>
      </c>
      <c r="C67" s="50" t="s">
        <v>365</v>
      </c>
    </row>
    <row r="68" spans="1:3" x14ac:dyDescent="0.25">
      <c r="A68" s="52" t="s">
        <v>123</v>
      </c>
      <c r="B68" s="50" t="s">
        <v>229</v>
      </c>
      <c r="C68" s="50" t="s">
        <v>366</v>
      </c>
    </row>
    <row r="69" spans="1:3" x14ac:dyDescent="0.25">
      <c r="A69" s="52" t="s">
        <v>124</v>
      </c>
      <c r="B69" s="50" t="s">
        <v>230</v>
      </c>
      <c r="C69" s="50" t="s">
        <v>367</v>
      </c>
    </row>
    <row r="70" spans="1:3" x14ac:dyDescent="0.25">
      <c r="A70" s="52" t="s">
        <v>125</v>
      </c>
      <c r="B70" s="50" t="s">
        <v>231</v>
      </c>
      <c r="C70" s="50" t="s">
        <v>368</v>
      </c>
    </row>
    <row r="71" spans="1:3" x14ac:dyDescent="0.25">
      <c r="A71" s="52" t="s">
        <v>126</v>
      </c>
      <c r="B71" s="50" t="s">
        <v>232</v>
      </c>
      <c r="C71" s="50" t="s">
        <v>369</v>
      </c>
    </row>
    <row r="72" spans="1:3" x14ac:dyDescent="0.25">
      <c r="A72" s="52" t="s">
        <v>127</v>
      </c>
      <c r="B72" s="50" t="s">
        <v>233</v>
      </c>
      <c r="C72" s="50" t="s">
        <v>370</v>
      </c>
    </row>
    <row r="73" spans="1:3" x14ac:dyDescent="0.25">
      <c r="A73" s="52" t="s">
        <v>128</v>
      </c>
      <c r="B73" s="50" t="s">
        <v>234</v>
      </c>
      <c r="C73" s="50" t="s">
        <v>371</v>
      </c>
    </row>
    <row r="74" spans="1:3" x14ac:dyDescent="0.25">
      <c r="A74" s="52" t="s">
        <v>129</v>
      </c>
      <c r="B74" s="50" t="s">
        <v>235</v>
      </c>
      <c r="C74" s="50" t="s">
        <v>372</v>
      </c>
    </row>
    <row r="75" spans="1:3" x14ac:dyDescent="0.25">
      <c r="A75" s="52" t="s">
        <v>130</v>
      </c>
      <c r="B75" s="50" t="s">
        <v>236</v>
      </c>
      <c r="C75" s="50" t="s">
        <v>373</v>
      </c>
    </row>
    <row r="76" spans="1:3" x14ac:dyDescent="0.25">
      <c r="A76" s="52" t="s">
        <v>131</v>
      </c>
      <c r="B76" s="50" t="s">
        <v>237</v>
      </c>
      <c r="C76" s="50" t="s">
        <v>374</v>
      </c>
    </row>
    <row r="77" spans="1:3" x14ac:dyDescent="0.25">
      <c r="A77" s="52" t="s">
        <v>132</v>
      </c>
      <c r="B77" s="50" t="s">
        <v>238</v>
      </c>
      <c r="C77" s="50" t="s">
        <v>375</v>
      </c>
    </row>
    <row r="78" spans="1:3" x14ac:dyDescent="0.25">
      <c r="A78" s="52" t="s">
        <v>133</v>
      </c>
      <c r="B78" s="50" t="s">
        <v>239</v>
      </c>
      <c r="C78" s="50" t="s">
        <v>376</v>
      </c>
    </row>
    <row r="79" spans="1:3" x14ac:dyDescent="0.25">
      <c r="A79" s="52" t="s">
        <v>134</v>
      </c>
      <c r="B79" s="50" t="s">
        <v>240</v>
      </c>
      <c r="C79" s="50" t="s">
        <v>377</v>
      </c>
    </row>
    <row r="80" spans="1:3" x14ac:dyDescent="0.25">
      <c r="A80" s="52" t="s">
        <v>135</v>
      </c>
      <c r="B80" s="50" t="s">
        <v>241</v>
      </c>
      <c r="C80" s="50" t="s">
        <v>378</v>
      </c>
    </row>
    <row r="81" spans="1:3" x14ac:dyDescent="0.25">
      <c r="A81" s="52" t="s">
        <v>136</v>
      </c>
      <c r="B81" s="50" t="s">
        <v>242</v>
      </c>
      <c r="C81" s="50" t="s">
        <v>379</v>
      </c>
    </row>
    <row r="82" spans="1:3" x14ac:dyDescent="0.25">
      <c r="A82" s="52" t="s">
        <v>137</v>
      </c>
      <c r="B82" s="50" t="s">
        <v>243</v>
      </c>
      <c r="C82" s="50" t="s">
        <v>380</v>
      </c>
    </row>
    <row r="83" spans="1:3" x14ac:dyDescent="0.25">
      <c r="A83" s="52" t="s">
        <v>138</v>
      </c>
      <c r="B83" s="50" t="s">
        <v>244</v>
      </c>
      <c r="C83" s="50" t="s">
        <v>381</v>
      </c>
    </row>
    <row r="84" spans="1:3" x14ac:dyDescent="0.25">
      <c r="A84" s="52" t="s">
        <v>139</v>
      </c>
      <c r="B84" s="50" t="s">
        <v>245</v>
      </c>
      <c r="C84" s="50" t="s">
        <v>382</v>
      </c>
    </row>
    <row r="85" spans="1:3" x14ac:dyDescent="0.25">
      <c r="A85" s="52" t="s">
        <v>140</v>
      </c>
      <c r="B85" s="50" t="s">
        <v>246</v>
      </c>
      <c r="C85" s="50" t="s">
        <v>383</v>
      </c>
    </row>
    <row r="86" spans="1:3" x14ac:dyDescent="0.25">
      <c r="A86" s="52" t="s">
        <v>141</v>
      </c>
      <c r="B86" s="50" t="s">
        <v>247</v>
      </c>
      <c r="C86" s="50" t="s">
        <v>384</v>
      </c>
    </row>
    <row r="87" spans="1:3" x14ac:dyDescent="0.25">
      <c r="A87" s="52" t="s">
        <v>142</v>
      </c>
      <c r="B87" s="50" t="s">
        <v>248</v>
      </c>
      <c r="C87" s="50" t="s">
        <v>385</v>
      </c>
    </row>
    <row r="88" spans="1:3" x14ac:dyDescent="0.25">
      <c r="A88" s="52" t="s">
        <v>143</v>
      </c>
      <c r="B88" s="50" t="s">
        <v>249</v>
      </c>
      <c r="C88" s="50" t="s">
        <v>386</v>
      </c>
    </row>
    <row r="89" spans="1:3" x14ac:dyDescent="0.25">
      <c r="A89" s="52" t="s">
        <v>144</v>
      </c>
      <c r="B89" s="50" t="s">
        <v>250</v>
      </c>
      <c r="C89" s="50" t="s">
        <v>387</v>
      </c>
    </row>
    <row r="90" spans="1:3" x14ac:dyDescent="0.25">
      <c r="A90" s="52" t="s">
        <v>145</v>
      </c>
      <c r="B90" s="50" t="s">
        <v>251</v>
      </c>
      <c r="C90" s="50" t="s">
        <v>388</v>
      </c>
    </row>
    <row r="91" spans="1:3" x14ac:dyDescent="0.25">
      <c r="A91" s="52" t="s">
        <v>146</v>
      </c>
      <c r="B91" s="50" t="s">
        <v>252</v>
      </c>
      <c r="C91" s="50" t="s">
        <v>389</v>
      </c>
    </row>
    <row r="92" spans="1:3" x14ac:dyDescent="0.25">
      <c r="A92" s="52" t="s">
        <v>147</v>
      </c>
      <c r="B92" s="50" t="s">
        <v>253</v>
      </c>
      <c r="C92" s="50" t="s">
        <v>390</v>
      </c>
    </row>
    <row r="93" spans="1:3" x14ac:dyDescent="0.25">
      <c r="A93" s="52" t="s">
        <v>148</v>
      </c>
      <c r="B93" s="50" t="s">
        <v>254</v>
      </c>
      <c r="C93" s="50" t="s">
        <v>391</v>
      </c>
    </row>
    <row r="94" spans="1:3" x14ac:dyDescent="0.25">
      <c r="A94" s="52" t="s">
        <v>149</v>
      </c>
      <c r="B94" s="50" t="s">
        <v>255</v>
      </c>
      <c r="C94" s="50" t="s">
        <v>392</v>
      </c>
    </row>
    <row r="95" spans="1:3" x14ac:dyDescent="0.25">
      <c r="A95" s="52" t="s">
        <v>150</v>
      </c>
      <c r="B95" s="50" t="s">
        <v>256</v>
      </c>
      <c r="C95" s="50" t="s">
        <v>393</v>
      </c>
    </row>
    <row r="96" spans="1:3" x14ac:dyDescent="0.25">
      <c r="A96" s="52" t="s">
        <v>151</v>
      </c>
      <c r="B96" s="50" t="s">
        <v>257</v>
      </c>
      <c r="C96" s="50" t="s">
        <v>394</v>
      </c>
    </row>
    <row r="97" spans="1:3" x14ac:dyDescent="0.25">
      <c r="A97" s="52" t="s">
        <v>152</v>
      </c>
      <c r="B97" s="50" t="s">
        <v>258</v>
      </c>
      <c r="C97" s="50" t="s">
        <v>395</v>
      </c>
    </row>
    <row r="98" spans="1:3" x14ac:dyDescent="0.25">
      <c r="A98" s="52" t="s">
        <v>153</v>
      </c>
      <c r="B98" s="50" t="s">
        <v>259</v>
      </c>
      <c r="C98" s="50" t="s">
        <v>396</v>
      </c>
    </row>
    <row r="99" spans="1:3" x14ac:dyDescent="0.25">
      <c r="A99" s="52" t="s">
        <v>154</v>
      </c>
      <c r="B99" s="50" t="s">
        <v>260</v>
      </c>
      <c r="C99" s="50" t="s">
        <v>397</v>
      </c>
    </row>
    <row r="100" spans="1:3" x14ac:dyDescent="0.25">
      <c r="A100" s="52" t="s">
        <v>155</v>
      </c>
      <c r="B100" s="50" t="s">
        <v>261</v>
      </c>
      <c r="C100" s="50" t="s">
        <v>398</v>
      </c>
    </row>
    <row r="101" spans="1:3" x14ac:dyDescent="0.25">
      <c r="A101" s="52" t="s">
        <v>156</v>
      </c>
      <c r="B101" s="50" t="s">
        <v>262</v>
      </c>
      <c r="C101" s="50" t="s">
        <v>399</v>
      </c>
    </row>
    <row r="102" spans="1:3" x14ac:dyDescent="0.25">
      <c r="A102" s="52" t="s">
        <v>157</v>
      </c>
      <c r="B102" s="50" t="s">
        <v>263</v>
      </c>
      <c r="C102" s="50" t="s">
        <v>400</v>
      </c>
    </row>
    <row r="103" spans="1:3" x14ac:dyDescent="0.25">
      <c r="A103" s="52" t="s">
        <v>158</v>
      </c>
      <c r="B103" s="50" t="s">
        <v>264</v>
      </c>
      <c r="C103" s="50" t="s">
        <v>401</v>
      </c>
    </row>
    <row r="104" spans="1:3" x14ac:dyDescent="0.25">
      <c r="A104" s="52" t="s">
        <v>159</v>
      </c>
      <c r="B104" s="50" t="s">
        <v>265</v>
      </c>
      <c r="C104" s="50" t="s">
        <v>402</v>
      </c>
    </row>
    <row r="105" spans="1:3" x14ac:dyDescent="0.25">
      <c r="B105" s="50" t="s">
        <v>266</v>
      </c>
      <c r="C105" s="50" t="s">
        <v>403</v>
      </c>
    </row>
    <row r="106" spans="1:3" x14ac:dyDescent="0.25">
      <c r="B106" s="50" t="s">
        <v>267</v>
      </c>
      <c r="C106" s="50" t="s">
        <v>404</v>
      </c>
    </row>
    <row r="107" spans="1:3" x14ac:dyDescent="0.25">
      <c r="B107" s="50" t="s">
        <v>268</v>
      </c>
      <c r="C107" s="50" t="s">
        <v>405</v>
      </c>
    </row>
    <row r="108" spans="1:3" x14ac:dyDescent="0.25">
      <c r="B108" s="50" t="s">
        <v>269</v>
      </c>
      <c r="C108" s="50" t="s">
        <v>406</v>
      </c>
    </row>
    <row r="109" spans="1:3" x14ac:dyDescent="0.25">
      <c r="B109" s="50" t="s">
        <v>270</v>
      </c>
      <c r="C109" s="50" t="s">
        <v>407</v>
      </c>
    </row>
    <row r="110" spans="1:3" x14ac:dyDescent="0.25">
      <c r="B110" s="50" t="s">
        <v>271</v>
      </c>
      <c r="C110" s="50" t="s">
        <v>408</v>
      </c>
    </row>
    <row r="111" spans="1:3" x14ac:dyDescent="0.25">
      <c r="B111" s="50" t="s">
        <v>272</v>
      </c>
      <c r="C111" s="50" t="s">
        <v>409</v>
      </c>
    </row>
    <row r="112" spans="1:3" x14ac:dyDescent="0.25">
      <c r="B112" s="50" t="s">
        <v>273</v>
      </c>
      <c r="C112" s="50" t="s">
        <v>410</v>
      </c>
    </row>
    <row r="113" spans="2:3" x14ac:dyDescent="0.25">
      <c r="B113" s="50" t="s">
        <v>274</v>
      </c>
      <c r="C113" s="50" t="s">
        <v>411</v>
      </c>
    </row>
    <row r="114" spans="2:3" x14ac:dyDescent="0.25">
      <c r="B114" s="50" t="s">
        <v>275</v>
      </c>
      <c r="C114" s="50" t="s">
        <v>412</v>
      </c>
    </row>
    <row r="115" spans="2:3" x14ac:dyDescent="0.25">
      <c r="B115" s="50" t="s">
        <v>276</v>
      </c>
      <c r="C115" s="50" t="s">
        <v>413</v>
      </c>
    </row>
    <row r="116" spans="2:3" x14ac:dyDescent="0.25">
      <c r="B116" s="50" t="s">
        <v>277</v>
      </c>
      <c r="C116" s="50" t="s">
        <v>414</v>
      </c>
    </row>
    <row r="117" spans="2:3" x14ac:dyDescent="0.25">
      <c r="B117" s="50" t="s">
        <v>278</v>
      </c>
      <c r="C117" s="50" t="s">
        <v>415</v>
      </c>
    </row>
    <row r="118" spans="2:3" x14ac:dyDescent="0.25">
      <c r="B118" s="50" t="s">
        <v>279</v>
      </c>
      <c r="C118" s="50" t="s">
        <v>416</v>
      </c>
    </row>
    <row r="119" spans="2:3" x14ac:dyDescent="0.25">
      <c r="B119" s="50" t="s">
        <v>280</v>
      </c>
      <c r="C119" s="50" t="s">
        <v>417</v>
      </c>
    </row>
    <row r="120" spans="2:3" x14ac:dyDescent="0.25">
      <c r="B120" s="50" t="s">
        <v>281</v>
      </c>
      <c r="C120" s="50" t="s">
        <v>418</v>
      </c>
    </row>
    <row r="121" spans="2:3" x14ac:dyDescent="0.25">
      <c r="B121" s="50" t="s">
        <v>282</v>
      </c>
      <c r="C121" s="50" t="s">
        <v>419</v>
      </c>
    </row>
    <row r="122" spans="2:3" x14ac:dyDescent="0.25">
      <c r="B122" s="50" t="s">
        <v>283</v>
      </c>
      <c r="C122" s="50" t="s">
        <v>420</v>
      </c>
    </row>
    <row r="123" spans="2:3" x14ac:dyDescent="0.25">
      <c r="B123" s="50" t="s">
        <v>284</v>
      </c>
      <c r="C123" s="50" t="s">
        <v>421</v>
      </c>
    </row>
    <row r="124" spans="2:3" x14ac:dyDescent="0.25">
      <c r="B124" s="50" t="s">
        <v>285</v>
      </c>
      <c r="C124" s="50" t="s">
        <v>422</v>
      </c>
    </row>
    <row r="125" spans="2:3" x14ac:dyDescent="0.25">
      <c r="B125" s="50" t="s">
        <v>286</v>
      </c>
      <c r="C125" s="50" t="s">
        <v>423</v>
      </c>
    </row>
    <row r="126" spans="2:3" x14ac:dyDescent="0.25">
      <c r="B126" s="50" t="s">
        <v>287</v>
      </c>
      <c r="C126" s="50" t="s">
        <v>424</v>
      </c>
    </row>
    <row r="127" spans="2:3" x14ac:dyDescent="0.25">
      <c r="B127" s="50" t="s">
        <v>288</v>
      </c>
      <c r="C127" s="50" t="s">
        <v>425</v>
      </c>
    </row>
    <row r="128" spans="2:3" x14ac:dyDescent="0.25">
      <c r="B128" s="50" t="s">
        <v>289</v>
      </c>
      <c r="C128" s="50" t="s">
        <v>426</v>
      </c>
    </row>
    <row r="129" spans="2:3" x14ac:dyDescent="0.25">
      <c r="B129" s="50" t="s">
        <v>290</v>
      </c>
      <c r="C129" s="50" t="s">
        <v>427</v>
      </c>
    </row>
    <row r="130" spans="2:3" x14ac:dyDescent="0.25">
      <c r="B130" s="50" t="s">
        <v>291</v>
      </c>
      <c r="C130" s="50" t="s">
        <v>428</v>
      </c>
    </row>
    <row r="131" spans="2:3" x14ac:dyDescent="0.25">
      <c r="B131" s="50" t="s">
        <v>292</v>
      </c>
      <c r="C131" s="50" t="s">
        <v>429</v>
      </c>
    </row>
    <row r="132" spans="2:3" x14ac:dyDescent="0.25">
      <c r="B132" s="50" t="s">
        <v>293</v>
      </c>
      <c r="C132" s="50" t="s">
        <v>430</v>
      </c>
    </row>
    <row r="133" spans="2:3" x14ac:dyDescent="0.25">
      <c r="B133" s="50" t="s">
        <v>294</v>
      </c>
      <c r="C133" s="50" t="s">
        <v>431</v>
      </c>
    </row>
    <row r="134" spans="2:3" x14ac:dyDescent="0.25">
      <c r="B134" s="50" t="s">
        <v>295</v>
      </c>
      <c r="C134" s="50" t="s">
        <v>432</v>
      </c>
    </row>
    <row r="135" spans="2:3" x14ac:dyDescent="0.25">
      <c r="B135" s="50" t="s">
        <v>296</v>
      </c>
      <c r="C135" s="50" t="s">
        <v>433</v>
      </c>
    </row>
    <row r="136" spans="2:3" x14ac:dyDescent="0.25">
      <c r="B136" s="50" t="s">
        <v>297</v>
      </c>
      <c r="C136" s="50" t="s">
        <v>434</v>
      </c>
    </row>
    <row r="137" spans="2:3" x14ac:dyDescent="0.25">
      <c r="B137" s="50" t="s">
        <v>298</v>
      </c>
      <c r="C137" s="50" t="s">
        <v>435</v>
      </c>
    </row>
    <row r="138" spans="2:3" x14ac:dyDescent="0.25">
      <c r="C138" s="50" t="s">
        <v>436</v>
      </c>
    </row>
    <row r="139" spans="2:3" x14ac:dyDescent="0.25">
      <c r="C139" s="50" t="s">
        <v>437</v>
      </c>
    </row>
    <row r="140" spans="2:3" x14ac:dyDescent="0.25">
      <c r="C140" s="50" t="s">
        <v>438</v>
      </c>
    </row>
    <row r="141" spans="2:3" x14ac:dyDescent="0.25">
      <c r="C141" s="50" t="s">
        <v>439</v>
      </c>
    </row>
    <row r="142" spans="2:3" x14ac:dyDescent="0.25">
      <c r="C142" s="50" t="s">
        <v>440</v>
      </c>
    </row>
    <row r="143" spans="2:3" x14ac:dyDescent="0.25">
      <c r="C143" s="50" t="s">
        <v>441</v>
      </c>
    </row>
    <row r="144" spans="2:3" x14ac:dyDescent="0.25">
      <c r="C144" s="50" t="s">
        <v>442</v>
      </c>
    </row>
    <row r="145" spans="3:3" x14ac:dyDescent="0.25">
      <c r="C145" s="50" t="s">
        <v>443</v>
      </c>
    </row>
    <row r="146" spans="3:3" x14ac:dyDescent="0.25">
      <c r="C146" s="50" t="s">
        <v>444</v>
      </c>
    </row>
    <row r="147" spans="3:3" x14ac:dyDescent="0.25">
      <c r="C147" s="50" t="s">
        <v>445</v>
      </c>
    </row>
    <row r="148" spans="3:3" x14ac:dyDescent="0.25">
      <c r="C148" s="50" t="s">
        <v>446</v>
      </c>
    </row>
    <row r="149" spans="3:3" x14ac:dyDescent="0.25">
      <c r="C149" s="50" t="s">
        <v>447</v>
      </c>
    </row>
    <row r="150" spans="3:3" x14ac:dyDescent="0.25">
      <c r="C150" s="50" t="s">
        <v>448</v>
      </c>
    </row>
    <row r="151" spans="3:3" x14ac:dyDescent="0.25">
      <c r="C151" s="50" t="s">
        <v>449</v>
      </c>
    </row>
    <row r="152" spans="3:3" x14ac:dyDescent="0.25">
      <c r="C152" s="50" t="s">
        <v>450</v>
      </c>
    </row>
    <row r="153" spans="3:3" x14ac:dyDescent="0.25">
      <c r="C153" s="50" t="s">
        <v>451</v>
      </c>
    </row>
    <row r="154" spans="3:3" x14ac:dyDescent="0.25">
      <c r="C154" s="50" t="s">
        <v>452</v>
      </c>
    </row>
    <row r="155" spans="3:3" x14ac:dyDescent="0.25">
      <c r="C155" s="50" t="s">
        <v>453</v>
      </c>
    </row>
    <row r="156" spans="3:3" x14ac:dyDescent="0.25">
      <c r="C156" s="50" t="s">
        <v>454</v>
      </c>
    </row>
    <row r="157" spans="3:3" x14ac:dyDescent="0.25">
      <c r="C157" s="50" t="s">
        <v>455</v>
      </c>
    </row>
    <row r="158" spans="3:3" x14ac:dyDescent="0.25">
      <c r="C158" s="50" t="s">
        <v>456</v>
      </c>
    </row>
    <row r="159" spans="3:3" x14ac:dyDescent="0.25">
      <c r="C159" s="50" t="s">
        <v>457</v>
      </c>
    </row>
    <row r="160" spans="3:3" x14ac:dyDescent="0.25">
      <c r="C160" s="50" t="s">
        <v>458</v>
      </c>
    </row>
    <row r="161" spans="3:3" x14ac:dyDescent="0.25">
      <c r="C161" s="50" t="s">
        <v>459</v>
      </c>
    </row>
    <row r="162" spans="3:3" x14ac:dyDescent="0.25">
      <c r="C162" s="50" t="s">
        <v>460</v>
      </c>
    </row>
    <row r="163" spans="3:3" x14ac:dyDescent="0.25">
      <c r="C163" s="50" t="s">
        <v>461</v>
      </c>
    </row>
    <row r="164" spans="3:3" x14ac:dyDescent="0.25">
      <c r="C164" s="50" t="s">
        <v>462</v>
      </c>
    </row>
    <row r="165" spans="3:3" x14ac:dyDescent="0.25">
      <c r="C165" s="50" t="s">
        <v>463</v>
      </c>
    </row>
    <row r="166" spans="3:3" x14ac:dyDescent="0.25">
      <c r="C166" s="50" t="s">
        <v>464</v>
      </c>
    </row>
    <row r="167" spans="3:3" x14ac:dyDescent="0.25">
      <c r="C167" s="50" t="s">
        <v>465</v>
      </c>
    </row>
    <row r="168" spans="3:3" x14ac:dyDescent="0.25">
      <c r="C168" s="50" t="s">
        <v>466</v>
      </c>
    </row>
    <row r="169" spans="3:3" x14ac:dyDescent="0.25">
      <c r="C169" s="50" t="s">
        <v>467</v>
      </c>
    </row>
    <row r="170" spans="3:3" x14ac:dyDescent="0.25">
      <c r="C170" s="50" t="s">
        <v>468</v>
      </c>
    </row>
    <row r="171" spans="3:3" x14ac:dyDescent="0.25">
      <c r="C171" s="50" t="s">
        <v>469</v>
      </c>
    </row>
    <row r="172" spans="3:3" x14ac:dyDescent="0.25">
      <c r="C172" s="50" t="s">
        <v>470</v>
      </c>
    </row>
    <row r="173" spans="3:3" x14ac:dyDescent="0.25">
      <c r="C173" s="50" t="s">
        <v>471</v>
      </c>
    </row>
    <row r="174" spans="3:3" x14ac:dyDescent="0.25">
      <c r="C174" s="50" t="s">
        <v>472</v>
      </c>
    </row>
    <row r="175" spans="3:3" x14ac:dyDescent="0.25">
      <c r="C175" s="50" t="s">
        <v>473</v>
      </c>
    </row>
    <row r="176" spans="3:3" x14ac:dyDescent="0.25">
      <c r="C176" s="50" t="s">
        <v>474</v>
      </c>
    </row>
    <row r="177" spans="3:3" x14ac:dyDescent="0.25">
      <c r="C177" s="50" t="s">
        <v>475</v>
      </c>
    </row>
    <row r="178" spans="3:3" x14ac:dyDescent="0.25">
      <c r="C178" s="50" t="s">
        <v>476</v>
      </c>
    </row>
    <row r="179" spans="3:3" x14ac:dyDescent="0.25">
      <c r="C179" s="50" t="s">
        <v>477</v>
      </c>
    </row>
    <row r="180" spans="3:3" x14ac:dyDescent="0.25">
      <c r="C180" s="50" t="s">
        <v>478</v>
      </c>
    </row>
    <row r="181" spans="3:3" x14ac:dyDescent="0.25">
      <c r="C181" s="50" t="s">
        <v>479</v>
      </c>
    </row>
    <row r="182" spans="3:3" x14ac:dyDescent="0.25">
      <c r="C182" s="50" t="s">
        <v>480</v>
      </c>
    </row>
    <row r="183" spans="3:3" x14ac:dyDescent="0.25">
      <c r="C183" s="50" t="s">
        <v>481</v>
      </c>
    </row>
    <row r="184" spans="3:3" x14ac:dyDescent="0.25">
      <c r="C184" s="50" t="s">
        <v>482</v>
      </c>
    </row>
    <row r="185" spans="3:3" x14ac:dyDescent="0.25">
      <c r="C185" s="50" t="s">
        <v>483</v>
      </c>
    </row>
    <row r="186" spans="3:3" x14ac:dyDescent="0.25">
      <c r="C186" s="50" t="s">
        <v>484</v>
      </c>
    </row>
    <row r="187" spans="3:3" x14ac:dyDescent="0.25">
      <c r="C187" s="50" t="s">
        <v>485</v>
      </c>
    </row>
    <row r="188" spans="3:3" x14ac:dyDescent="0.25">
      <c r="C188" s="50" t="s">
        <v>486</v>
      </c>
    </row>
    <row r="189" spans="3:3" x14ac:dyDescent="0.25">
      <c r="C189" s="50" t="s">
        <v>487</v>
      </c>
    </row>
    <row r="190" spans="3:3" x14ac:dyDescent="0.25">
      <c r="C190" s="50" t="s">
        <v>488</v>
      </c>
    </row>
    <row r="191" spans="3:3" x14ac:dyDescent="0.25">
      <c r="C191" s="50" t="s">
        <v>489</v>
      </c>
    </row>
    <row r="192" spans="3:3" x14ac:dyDescent="0.25">
      <c r="C192" s="50" t="s">
        <v>490</v>
      </c>
    </row>
    <row r="193" spans="3:3" x14ac:dyDescent="0.25">
      <c r="C193" s="50" t="s">
        <v>491</v>
      </c>
    </row>
    <row r="194" spans="3:3" x14ac:dyDescent="0.25">
      <c r="C194" s="50" t="s">
        <v>492</v>
      </c>
    </row>
    <row r="195" spans="3:3" x14ac:dyDescent="0.25">
      <c r="C195" s="50" t="s">
        <v>493</v>
      </c>
    </row>
    <row r="196" spans="3:3" x14ac:dyDescent="0.25">
      <c r="C196" s="50" t="s">
        <v>494</v>
      </c>
    </row>
    <row r="197" spans="3:3" x14ac:dyDescent="0.25">
      <c r="C197" s="50" t="s">
        <v>495</v>
      </c>
    </row>
    <row r="198" spans="3:3" x14ac:dyDescent="0.25">
      <c r="C198" s="50" t="s">
        <v>496</v>
      </c>
    </row>
    <row r="199" spans="3:3" x14ac:dyDescent="0.25">
      <c r="C199" s="50" t="s">
        <v>497</v>
      </c>
    </row>
    <row r="200" spans="3:3" x14ac:dyDescent="0.25">
      <c r="C200" s="50" t="s">
        <v>498</v>
      </c>
    </row>
    <row r="201" spans="3:3" x14ac:dyDescent="0.25">
      <c r="C201" s="50" t="s">
        <v>499</v>
      </c>
    </row>
    <row r="202" spans="3:3" x14ac:dyDescent="0.25">
      <c r="C202" s="50" t="s">
        <v>500</v>
      </c>
    </row>
    <row r="203" spans="3:3" x14ac:dyDescent="0.25">
      <c r="C203" s="50" t="s">
        <v>501</v>
      </c>
    </row>
    <row r="204" spans="3:3" x14ac:dyDescent="0.25">
      <c r="C204" s="50" t="s">
        <v>502</v>
      </c>
    </row>
    <row r="205" spans="3:3" x14ac:dyDescent="0.25">
      <c r="C205" s="50" t="s">
        <v>503</v>
      </c>
    </row>
    <row r="206" spans="3:3" x14ac:dyDescent="0.25">
      <c r="C206" s="50" t="s">
        <v>504</v>
      </c>
    </row>
    <row r="207" spans="3:3" x14ac:dyDescent="0.25">
      <c r="C207" s="50" t="s">
        <v>505</v>
      </c>
    </row>
    <row r="208" spans="3:3" x14ac:dyDescent="0.25">
      <c r="C208" s="50" t="s">
        <v>506</v>
      </c>
    </row>
    <row r="209" spans="3:3" x14ac:dyDescent="0.25">
      <c r="C209" s="50" t="s">
        <v>507</v>
      </c>
    </row>
    <row r="210" spans="3:3" x14ac:dyDescent="0.25">
      <c r="C210" s="50" t="s">
        <v>508</v>
      </c>
    </row>
    <row r="211" spans="3:3" x14ac:dyDescent="0.25">
      <c r="C211" s="50" t="s">
        <v>509</v>
      </c>
    </row>
    <row r="212" spans="3:3" x14ac:dyDescent="0.25">
      <c r="C212" s="50" t="s">
        <v>510</v>
      </c>
    </row>
    <row r="213" spans="3:3" x14ac:dyDescent="0.25">
      <c r="C213" s="50" t="s">
        <v>511</v>
      </c>
    </row>
    <row r="214" spans="3:3" x14ac:dyDescent="0.25">
      <c r="C214" s="50" t="s">
        <v>512</v>
      </c>
    </row>
    <row r="215" spans="3:3" x14ac:dyDescent="0.25">
      <c r="C215" s="50" t="s">
        <v>513</v>
      </c>
    </row>
    <row r="216" spans="3:3" x14ac:dyDescent="0.25">
      <c r="C216" s="50" t="s">
        <v>514</v>
      </c>
    </row>
    <row r="217" spans="3:3" x14ac:dyDescent="0.25">
      <c r="C217" s="50" t="s">
        <v>515</v>
      </c>
    </row>
    <row r="218" spans="3:3" x14ac:dyDescent="0.25">
      <c r="C218" s="50" t="s">
        <v>516</v>
      </c>
    </row>
    <row r="219" spans="3:3" x14ac:dyDescent="0.25">
      <c r="C219" s="50" t="s">
        <v>517</v>
      </c>
    </row>
    <row r="220" spans="3:3" x14ac:dyDescent="0.25">
      <c r="C220" s="50" t="s">
        <v>518</v>
      </c>
    </row>
    <row r="221" spans="3:3" x14ac:dyDescent="0.25">
      <c r="C221" s="50" t="s">
        <v>519</v>
      </c>
    </row>
    <row r="222" spans="3:3" x14ac:dyDescent="0.25">
      <c r="C222" s="50" t="s">
        <v>520</v>
      </c>
    </row>
    <row r="223" spans="3:3" x14ac:dyDescent="0.25">
      <c r="C223" s="50" t="s">
        <v>521</v>
      </c>
    </row>
    <row r="224" spans="3:3" x14ac:dyDescent="0.25">
      <c r="C224" s="50" t="s">
        <v>522</v>
      </c>
    </row>
    <row r="225" spans="3:3" x14ac:dyDescent="0.25">
      <c r="C225" s="50" t="s">
        <v>523</v>
      </c>
    </row>
    <row r="226" spans="3:3" x14ac:dyDescent="0.25">
      <c r="C226" s="50" t="s">
        <v>524</v>
      </c>
    </row>
    <row r="227" spans="3:3" x14ac:dyDescent="0.25">
      <c r="C227" s="50" t="s">
        <v>525</v>
      </c>
    </row>
    <row r="228" spans="3:3" x14ac:dyDescent="0.25">
      <c r="C228" s="50" t="s">
        <v>526</v>
      </c>
    </row>
    <row r="229" spans="3:3" x14ac:dyDescent="0.25">
      <c r="C229" s="50" t="s">
        <v>527</v>
      </c>
    </row>
    <row r="230" spans="3:3" x14ac:dyDescent="0.25">
      <c r="C230" s="50" t="s">
        <v>528</v>
      </c>
    </row>
    <row r="231" spans="3:3" x14ac:dyDescent="0.25">
      <c r="C231" s="50" t="s">
        <v>529</v>
      </c>
    </row>
    <row r="232" spans="3:3" x14ac:dyDescent="0.25">
      <c r="C232" s="50" t="s">
        <v>530</v>
      </c>
    </row>
    <row r="233" spans="3:3" x14ac:dyDescent="0.25">
      <c r="C233" s="50" t="s">
        <v>531</v>
      </c>
    </row>
    <row r="234" spans="3:3" x14ac:dyDescent="0.25">
      <c r="C234" s="50" t="s">
        <v>532</v>
      </c>
    </row>
    <row r="235" spans="3:3" x14ac:dyDescent="0.25">
      <c r="C235" s="50" t="s">
        <v>533</v>
      </c>
    </row>
    <row r="236" spans="3:3" x14ac:dyDescent="0.25">
      <c r="C236" s="50" t="s">
        <v>534</v>
      </c>
    </row>
    <row r="237" spans="3:3" x14ac:dyDescent="0.25">
      <c r="C237" s="50" t="s">
        <v>535</v>
      </c>
    </row>
    <row r="238" spans="3:3" x14ac:dyDescent="0.25">
      <c r="C238" s="50" t="s">
        <v>536</v>
      </c>
    </row>
    <row r="239" spans="3:3" x14ac:dyDescent="0.25">
      <c r="C239" s="50" t="s">
        <v>537</v>
      </c>
    </row>
    <row r="240" spans="3:3" x14ac:dyDescent="0.25">
      <c r="C240" s="50" t="s">
        <v>538</v>
      </c>
    </row>
    <row r="241" spans="3:3" x14ac:dyDescent="0.25">
      <c r="C241" s="50" t="s">
        <v>539</v>
      </c>
    </row>
    <row r="242" spans="3:3" x14ac:dyDescent="0.25">
      <c r="C242" s="50" t="s">
        <v>540</v>
      </c>
    </row>
    <row r="243" spans="3:3" x14ac:dyDescent="0.25">
      <c r="C243" s="50" t="s">
        <v>541</v>
      </c>
    </row>
    <row r="244" spans="3:3" x14ac:dyDescent="0.25">
      <c r="C244" s="50" t="s">
        <v>542</v>
      </c>
    </row>
    <row r="245" spans="3:3" x14ac:dyDescent="0.25">
      <c r="C245" s="50" t="s">
        <v>543</v>
      </c>
    </row>
    <row r="246" spans="3:3" x14ac:dyDescent="0.25">
      <c r="C246" s="50" t="s">
        <v>544</v>
      </c>
    </row>
    <row r="247" spans="3:3" x14ac:dyDescent="0.25">
      <c r="C247" s="50" t="s">
        <v>545</v>
      </c>
    </row>
    <row r="248" spans="3:3" x14ac:dyDescent="0.25">
      <c r="C248" s="50" t="s">
        <v>546</v>
      </c>
    </row>
    <row r="249" spans="3:3" x14ac:dyDescent="0.25">
      <c r="C249" s="50" t="s">
        <v>547</v>
      </c>
    </row>
    <row r="250" spans="3:3" x14ac:dyDescent="0.25">
      <c r="C250" s="50" t="s">
        <v>548</v>
      </c>
    </row>
    <row r="251" spans="3:3" x14ac:dyDescent="0.25">
      <c r="C251" s="50" t="s">
        <v>549</v>
      </c>
    </row>
    <row r="252" spans="3:3" x14ac:dyDescent="0.25">
      <c r="C252" s="50" t="s">
        <v>550</v>
      </c>
    </row>
    <row r="253" spans="3:3" x14ac:dyDescent="0.25">
      <c r="C253" s="50" t="s">
        <v>551</v>
      </c>
    </row>
    <row r="254" spans="3:3" x14ac:dyDescent="0.25">
      <c r="C254" s="50" t="s">
        <v>552</v>
      </c>
    </row>
    <row r="255" spans="3:3" x14ac:dyDescent="0.25">
      <c r="C255" s="50" t="s">
        <v>553</v>
      </c>
    </row>
    <row r="256" spans="3:3" x14ac:dyDescent="0.25">
      <c r="C256" s="50" t="s">
        <v>554</v>
      </c>
    </row>
    <row r="257" spans="3:3" x14ac:dyDescent="0.25">
      <c r="C257" s="50" t="s">
        <v>555</v>
      </c>
    </row>
    <row r="258" spans="3:3" x14ac:dyDescent="0.25">
      <c r="C258" s="50" t="s">
        <v>556</v>
      </c>
    </row>
    <row r="259" spans="3:3" x14ac:dyDescent="0.25">
      <c r="C259" s="50" t="s">
        <v>557</v>
      </c>
    </row>
    <row r="260" spans="3:3" x14ac:dyDescent="0.25">
      <c r="C260" s="50" t="s">
        <v>558</v>
      </c>
    </row>
    <row r="261" spans="3:3" x14ac:dyDescent="0.25">
      <c r="C261" s="50" t="s">
        <v>559</v>
      </c>
    </row>
    <row r="262" spans="3:3" x14ac:dyDescent="0.25">
      <c r="C262" s="50" t="s">
        <v>560</v>
      </c>
    </row>
    <row r="263" spans="3:3" x14ac:dyDescent="0.25">
      <c r="C263" s="50" t="s">
        <v>561</v>
      </c>
    </row>
    <row r="264" spans="3:3" x14ac:dyDescent="0.25">
      <c r="C264" s="50" t="s">
        <v>562</v>
      </c>
    </row>
    <row r="265" spans="3:3" x14ac:dyDescent="0.25">
      <c r="C265" s="50" t="s">
        <v>563</v>
      </c>
    </row>
    <row r="266" spans="3:3" x14ac:dyDescent="0.25">
      <c r="C266" s="50" t="s">
        <v>564</v>
      </c>
    </row>
    <row r="267" spans="3:3" x14ac:dyDescent="0.25">
      <c r="C267" s="50" t="s">
        <v>565</v>
      </c>
    </row>
    <row r="268" spans="3:3" x14ac:dyDescent="0.25">
      <c r="C268" s="50" t="s">
        <v>566</v>
      </c>
    </row>
    <row r="269" spans="3:3" x14ac:dyDescent="0.25">
      <c r="C269" s="50" t="s">
        <v>567</v>
      </c>
    </row>
    <row r="270" spans="3:3" x14ac:dyDescent="0.25">
      <c r="C270" s="50" t="s">
        <v>568</v>
      </c>
    </row>
    <row r="271" spans="3:3" x14ac:dyDescent="0.25">
      <c r="C271" s="50" t="s">
        <v>569</v>
      </c>
    </row>
    <row r="272" spans="3:3" x14ac:dyDescent="0.25">
      <c r="C272" s="50" t="s">
        <v>570</v>
      </c>
    </row>
    <row r="273" spans="3:3" x14ac:dyDescent="0.25">
      <c r="C273" s="50" t="s">
        <v>571</v>
      </c>
    </row>
    <row r="274" spans="3:3" x14ac:dyDescent="0.25">
      <c r="C274" s="50" t="s">
        <v>572</v>
      </c>
    </row>
    <row r="275" spans="3:3" x14ac:dyDescent="0.25">
      <c r="C275" s="50" t="s">
        <v>573</v>
      </c>
    </row>
    <row r="276" spans="3:3" x14ac:dyDescent="0.25">
      <c r="C276" s="50" t="s">
        <v>574</v>
      </c>
    </row>
    <row r="277" spans="3:3" x14ac:dyDescent="0.25">
      <c r="C277" s="50" t="s">
        <v>575</v>
      </c>
    </row>
    <row r="278" spans="3:3" x14ac:dyDescent="0.25">
      <c r="C278" s="50" t="s">
        <v>576</v>
      </c>
    </row>
    <row r="279" spans="3:3" x14ac:dyDescent="0.25">
      <c r="C279" s="50" t="s">
        <v>577</v>
      </c>
    </row>
    <row r="280" spans="3:3" x14ac:dyDescent="0.25">
      <c r="C280" s="50" t="s">
        <v>578</v>
      </c>
    </row>
    <row r="281" spans="3:3" x14ac:dyDescent="0.25">
      <c r="C281" s="50" t="s">
        <v>579</v>
      </c>
    </row>
    <row r="282" spans="3:3" x14ac:dyDescent="0.25">
      <c r="C282" s="50" t="s">
        <v>580</v>
      </c>
    </row>
    <row r="283" spans="3:3" x14ac:dyDescent="0.25">
      <c r="C283" s="50" t="s">
        <v>581</v>
      </c>
    </row>
    <row r="284" spans="3:3" x14ac:dyDescent="0.25">
      <c r="C284" s="50" t="s">
        <v>582</v>
      </c>
    </row>
    <row r="285" spans="3:3" x14ac:dyDescent="0.25">
      <c r="C285" s="50" t="s">
        <v>583</v>
      </c>
    </row>
    <row r="286" spans="3:3" x14ac:dyDescent="0.25">
      <c r="C286" s="50" t="s">
        <v>584</v>
      </c>
    </row>
    <row r="287" spans="3:3" x14ac:dyDescent="0.25">
      <c r="C287" s="50" t="s">
        <v>585</v>
      </c>
    </row>
    <row r="288" spans="3:3" x14ac:dyDescent="0.25">
      <c r="C288" s="50" t="s">
        <v>586</v>
      </c>
    </row>
    <row r="289" spans="3:3" x14ac:dyDescent="0.25">
      <c r="C289" s="50" t="s">
        <v>587</v>
      </c>
    </row>
    <row r="290" spans="3:3" x14ac:dyDescent="0.25">
      <c r="C290" s="50" t="s">
        <v>588</v>
      </c>
    </row>
    <row r="291" spans="3:3" x14ac:dyDescent="0.25">
      <c r="C291" s="50" t="s">
        <v>589</v>
      </c>
    </row>
    <row r="292" spans="3:3" x14ac:dyDescent="0.25">
      <c r="C292" s="50" t="s">
        <v>590</v>
      </c>
    </row>
    <row r="293" spans="3:3" x14ac:dyDescent="0.25">
      <c r="C293" s="50" t="s">
        <v>591</v>
      </c>
    </row>
    <row r="294" spans="3:3" x14ac:dyDescent="0.25">
      <c r="C294" s="50" t="s">
        <v>592</v>
      </c>
    </row>
    <row r="295" spans="3:3" x14ac:dyDescent="0.25">
      <c r="C295" s="50" t="s">
        <v>593</v>
      </c>
    </row>
    <row r="296" spans="3:3" x14ac:dyDescent="0.25">
      <c r="C296" s="50" t="s">
        <v>594</v>
      </c>
    </row>
    <row r="297" spans="3:3" x14ac:dyDescent="0.25">
      <c r="C297" s="50" t="s">
        <v>595</v>
      </c>
    </row>
    <row r="298" spans="3:3" x14ac:dyDescent="0.25">
      <c r="C298" s="50" t="s">
        <v>596</v>
      </c>
    </row>
    <row r="299" spans="3:3" x14ac:dyDescent="0.25">
      <c r="C299" s="50" t="s">
        <v>597</v>
      </c>
    </row>
    <row r="300" spans="3:3" x14ac:dyDescent="0.25">
      <c r="C300" s="50" t="s">
        <v>598</v>
      </c>
    </row>
    <row r="301" spans="3:3" x14ac:dyDescent="0.25">
      <c r="C301" s="50" t="s">
        <v>599</v>
      </c>
    </row>
    <row r="302" spans="3:3" x14ac:dyDescent="0.25">
      <c r="C302" s="50" t="s">
        <v>600</v>
      </c>
    </row>
    <row r="303" spans="3:3" x14ac:dyDescent="0.25">
      <c r="C303" s="50" t="s">
        <v>601</v>
      </c>
    </row>
    <row r="304" spans="3:3" x14ac:dyDescent="0.25">
      <c r="C304" s="50" t="s">
        <v>602</v>
      </c>
    </row>
    <row r="305" spans="3:3" x14ac:dyDescent="0.25">
      <c r="C305" s="50" t="s">
        <v>603</v>
      </c>
    </row>
    <row r="306" spans="3:3" x14ac:dyDescent="0.25">
      <c r="C306" s="50" t="s">
        <v>604</v>
      </c>
    </row>
    <row r="307" spans="3:3" x14ac:dyDescent="0.25">
      <c r="C307" s="50" t="s">
        <v>605</v>
      </c>
    </row>
    <row r="308" spans="3:3" x14ac:dyDescent="0.25">
      <c r="C308" s="50" t="s">
        <v>606</v>
      </c>
    </row>
    <row r="309" spans="3:3" x14ac:dyDescent="0.25">
      <c r="C309" s="50" t="s">
        <v>607</v>
      </c>
    </row>
    <row r="310" spans="3:3" x14ac:dyDescent="0.25">
      <c r="C310" s="50" t="s">
        <v>608</v>
      </c>
    </row>
    <row r="311" spans="3:3" x14ac:dyDescent="0.25">
      <c r="C311" s="50" t="s">
        <v>609</v>
      </c>
    </row>
    <row r="312" spans="3:3" x14ac:dyDescent="0.25">
      <c r="C312" s="50" t="s">
        <v>610</v>
      </c>
    </row>
    <row r="313" spans="3:3" x14ac:dyDescent="0.25">
      <c r="C313" s="50" t="s">
        <v>611</v>
      </c>
    </row>
    <row r="314" spans="3:3" x14ac:dyDescent="0.25">
      <c r="C314" s="50" t="s">
        <v>612</v>
      </c>
    </row>
    <row r="315" spans="3:3" x14ac:dyDescent="0.25">
      <c r="C315" s="50" t="s">
        <v>613</v>
      </c>
    </row>
    <row r="316" spans="3:3" x14ac:dyDescent="0.25">
      <c r="C316" s="50" t="s">
        <v>613</v>
      </c>
    </row>
    <row r="317" spans="3:3" x14ac:dyDescent="0.25">
      <c r="C317" s="50" t="s">
        <v>613</v>
      </c>
    </row>
    <row r="318" spans="3:3" x14ac:dyDescent="0.25">
      <c r="C318" s="50" t="s">
        <v>613</v>
      </c>
    </row>
    <row r="319" spans="3:3" x14ac:dyDescent="0.25">
      <c r="C319" s="50" t="s">
        <v>614</v>
      </c>
    </row>
    <row r="320" spans="3:3" x14ac:dyDescent="0.25">
      <c r="C320" s="50" t="s">
        <v>615</v>
      </c>
    </row>
    <row r="321" spans="3:3" x14ac:dyDescent="0.25">
      <c r="C321" s="50" t="s">
        <v>616</v>
      </c>
    </row>
    <row r="322" spans="3:3" x14ac:dyDescent="0.25">
      <c r="C322" s="50" t="s">
        <v>617</v>
      </c>
    </row>
    <row r="323" spans="3:3" x14ac:dyDescent="0.25">
      <c r="C323" s="50" t="s">
        <v>618</v>
      </c>
    </row>
    <row r="324" spans="3:3" x14ac:dyDescent="0.25">
      <c r="C324" s="50" t="s">
        <v>619</v>
      </c>
    </row>
    <row r="325" spans="3:3" x14ac:dyDescent="0.25">
      <c r="C325" s="50" t="s">
        <v>620</v>
      </c>
    </row>
    <row r="326" spans="3:3" x14ac:dyDescent="0.25">
      <c r="C326" s="50" t="s">
        <v>621</v>
      </c>
    </row>
    <row r="327" spans="3:3" x14ac:dyDescent="0.25">
      <c r="C327" s="50" t="s">
        <v>622</v>
      </c>
    </row>
    <row r="328" spans="3:3" x14ac:dyDescent="0.25">
      <c r="C328" s="50" t="s">
        <v>623</v>
      </c>
    </row>
    <row r="329" spans="3:3" x14ac:dyDescent="0.25">
      <c r="C329" s="50" t="s">
        <v>624</v>
      </c>
    </row>
    <row r="330" spans="3:3" x14ac:dyDescent="0.25">
      <c r="C330" s="50" t="s">
        <v>625</v>
      </c>
    </row>
    <row r="331" spans="3:3" x14ac:dyDescent="0.25">
      <c r="C331" s="50" t="s">
        <v>626</v>
      </c>
    </row>
    <row r="332" spans="3:3" x14ac:dyDescent="0.25">
      <c r="C332" s="50" t="s">
        <v>627</v>
      </c>
    </row>
    <row r="333" spans="3:3" x14ac:dyDescent="0.25">
      <c r="C333" s="50" t="s">
        <v>628</v>
      </c>
    </row>
    <row r="334" spans="3:3" x14ac:dyDescent="0.25">
      <c r="C334" s="50" t="s">
        <v>629</v>
      </c>
    </row>
    <row r="335" spans="3:3" x14ac:dyDescent="0.25">
      <c r="C335" s="50" t="s">
        <v>630</v>
      </c>
    </row>
    <row r="336" spans="3:3" x14ac:dyDescent="0.25">
      <c r="C336" s="50" t="s">
        <v>631</v>
      </c>
    </row>
    <row r="337" spans="3:3" x14ac:dyDescent="0.25">
      <c r="C337" s="50" t="s">
        <v>632</v>
      </c>
    </row>
    <row r="338" spans="3:3" x14ac:dyDescent="0.25">
      <c r="C338" s="50" t="s">
        <v>633</v>
      </c>
    </row>
    <row r="339" spans="3:3" x14ac:dyDescent="0.25">
      <c r="C339" s="50" t="s">
        <v>634</v>
      </c>
    </row>
    <row r="340" spans="3:3" x14ac:dyDescent="0.25">
      <c r="C340" s="50" t="s">
        <v>635</v>
      </c>
    </row>
    <row r="341" spans="3:3" x14ac:dyDescent="0.25">
      <c r="C341" s="50" t="s">
        <v>636</v>
      </c>
    </row>
    <row r="342" spans="3:3" x14ac:dyDescent="0.25">
      <c r="C342" s="50" t="s">
        <v>637</v>
      </c>
    </row>
    <row r="343" spans="3:3" x14ac:dyDescent="0.25">
      <c r="C343" s="50" t="s">
        <v>638</v>
      </c>
    </row>
    <row r="344" spans="3:3" x14ac:dyDescent="0.25">
      <c r="C344" s="50" t="s">
        <v>639</v>
      </c>
    </row>
    <row r="345" spans="3:3" x14ac:dyDescent="0.25">
      <c r="C345" s="50" t="s">
        <v>640</v>
      </c>
    </row>
    <row r="346" spans="3:3" x14ac:dyDescent="0.25">
      <c r="C346" s="50" t="s">
        <v>641</v>
      </c>
    </row>
    <row r="347" spans="3:3" x14ac:dyDescent="0.25">
      <c r="C347" s="50" t="s">
        <v>642</v>
      </c>
    </row>
    <row r="348" spans="3:3" x14ac:dyDescent="0.25">
      <c r="C348" s="50" t="s">
        <v>643</v>
      </c>
    </row>
    <row r="349" spans="3:3" x14ac:dyDescent="0.25">
      <c r="C349" s="50" t="s">
        <v>644</v>
      </c>
    </row>
    <row r="350" spans="3:3" x14ac:dyDescent="0.25">
      <c r="C350" s="50" t="s">
        <v>645</v>
      </c>
    </row>
    <row r="351" spans="3:3" x14ac:dyDescent="0.25">
      <c r="C351" s="50" t="s">
        <v>646</v>
      </c>
    </row>
    <row r="352" spans="3:3" x14ac:dyDescent="0.25">
      <c r="C352" s="50" t="s">
        <v>647</v>
      </c>
    </row>
    <row r="353" spans="3:3" x14ac:dyDescent="0.25">
      <c r="C353" s="50" t="s">
        <v>648</v>
      </c>
    </row>
    <row r="354" spans="3:3" x14ac:dyDescent="0.25">
      <c r="C354" s="50" t="s">
        <v>649</v>
      </c>
    </row>
    <row r="355" spans="3:3" x14ac:dyDescent="0.25">
      <c r="C355" s="50" t="s">
        <v>650</v>
      </c>
    </row>
    <row r="356" spans="3:3" x14ac:dyDescent="0.25">
      <c r="C356" s="50" t="s">
        <v>651</v>
      </c>
    </row>
    <row r="357" spans="3:3" x14ac:dyDescent="0.25">
      <c r="C357" s="50" t="s">
        <v>652</v>
      </c>
    </row>
    <row r="358" spans="3:3" x14ac:dyDescent="0.25">
      <c r="C358" s="50" t="s">
        <v>653</v>
      </c>
    </row>
    <row r="359" spans="3:3" x14ac:dyDescent="0.25">
      <c r="C359" s="50" t="s">
        <v>654</v>
      </c>
    </row>
    <row r="360" spans="3:3" x14ac:dyDescent="0.25">
      <c r="C360" s="50" t="s">
        <v>655</v>
      </c>
    </row>
    <row r="361" spans="3:3" x14ac:dyDescent="0.25">
      <c r="C361" s="50" t="s">
        <v>656</v>
      </c>
    </row>
    <row r="362" spans="3:3" x14ac:dyDescent="0.25">
      <c r="C362" s="50" t="s">
        <v>657</v>
      </c>
    </row>
    <row r="363" spans="3:3" x14ac:dyDescent="0.25">
      <c r="C363" s="50" t="s">
        <v>658</v>
      </c>
    </row>
    <row r="364" spans="3:3" x14ac:dyDescent="0.25">
      <c r="C364" s="50" t="s">
        <v>659</v>
      </c>
    </row>
    <row r="365" spans="3:3" x14ac:dyDescent="0.25">
      <c r="C365" s="50" t="s">
        <v>660</v>
      </c>
    </row>
    <row r="366" spans="3:3" x14ac:dyDescent="0.25">
      <c r="C366" s="50" t="s">
        <v>661</v>
      </c>
    </row>
    <row r="367" spans="3:3" x14ac:dyDescent="0.25">
      <c r="C367" s="50" t="s">
        <v>662</v>
      </c>
    </row>
    <row r="368" spans="3:3" x14ac:dyDescent="0.25">
      <c r="C368" s="50" t="s">
        <v>663</v>
      </c>
    </row>
    <row r="369" spans="3:3" x14ac:dyDescent="0.25">
      <c r="C369" s="50" t="s">
        <v>664</v>
      </c>
    </row>
    <row r="370" spans="3:3" x14ac:dyDescent="0.25">
      <c r="C370" s="50" t="s">
        <v>665</v>
      </c>
    </row>
    <row r="371" spans="3:3" x14ac:dyDescent="0.25">
      <c r="C371" s="50" t="s">
        <v>666</v>
      </c>
    </row>
    <row r="372" spans="3:3" x14ac:dyDescent="0.25">
      <c r="C372" s="50" t="s">
        <v>667</v>
      </c>
    </row>
    <row r="373" spans="3:3" x14ac:dyDescent="0.25">
      <c r="C373" s="50" t="s">
        <v>668</v>
      </c>
    </row>
    <row r="374" spans="3:3" x14ac:dyDescent="0.25">
      <c r="C374" s="50" t="s">
        <v>669</v>
      </c>
    </row>
    <row r="375" spans="3:3" x14ac:dyDescent="0.25">
      <c r="C375" s="50" t="s">
        <v>670</v>
      </c>
    </row>
    <row r="376" spans="3:3" x14ac:dyDescent="0.25">
      <c r="C376" s="50" t="s">
        <v>671</v>
      </c>
    </row>
    <row r="377" spans="3:3" x14ac:dyDescent="0.25">
      <c r="C377" s="50" t="s">
        <v>672</v>
      </c>
    </row>
    <row r="378" spans="3:3" x14ac:dyDescent="0.25">
      <c r="C378" s="50" t="s">
        <v>673</v>
      </c>
    </row>
    <row r="379" spans="3:3" x14ac:dyDescent="0.25">
      <c r="C379" s="50" t="s">
        <v>674</v>
      </c>
    </row>
    <row r="380" spans="3:3" x14ac:dyDescent="0.25">
      <c r="C380" s="50" t="s">
        <v>675</v>
      </c>
    </row>
    <row r="381" spans="3:3" x14ac:dyDescent="0.25">
      <c r="C381" s="50" t="s">
        <v>676</v>
      </c>
    </row>
    <row r="382" spans="3:3" x14ac:dyDescent="0.25">
      <c r="C382" s="50" t="s">
        <v>677</v>
      </c>
    </row>
    <row r="383" spans="3:3" x14ac:dyDescent="0.25">
      <c r="C383" s="50" t="s">
        <v>678</v>
      </c>
    </row>
    <row r="384" spans="3:3" x14ac:dyDescent="0.25">
      <c r="C384" s="50" t="s">
        <v>679</v>
      </c>
    </row>
    <row r="385" spans="3:3" x14ac:dyDescent="0.25">
      <c r="C385" s="50" t="s">
        <v>680</v>
      </c>
    </row>
    <row r="386" spans="3:3" x14ac:dyDescent="0.25">
      <c r="C386" s="50" t="s">
        <v>681</v>
      </c>
    </row>
    <row r="387" spans="3:3" x14ac:dyDescent="0.25">
      <c r="C387" s="50" t="s">
        <v>682</v>
      </c>
    </row>
    <row r="388" spans="3:3" x14ac:dyDescent="0.25">
      <c r="C388" s="50" t="s">
        <v>683</v>
      </c>
    </row>
    <row r="389" spans="3:3" x14ac:dyDescent="0.25">
      <c r="C389" s="50" t="s">
        <v>684</v>
      </c>
    </row>
    <row r="390" spans="3:3" x14ac:dyDescent="0.25">
      <c r="C390" s="50" t="s">
        <v>685</v>
      </c>
    </row>
    <row r="391" spans="3:3" x14ac:dyDescent="0.25">
      <c r="C391" s="50" t="s">
        <v>686</v>
      </c>
    </row>
    <row r="392" spans="3:3" x14ac:dyDescent="0.25">
      <c r="C392" s="50" t="s">
        <v>687</v>
      </c>
    </row>
    <row r="393" spans="3:3" x14ac:dyDescent="0.25">
      <c r="C393" s="50" t="s">
        <v>688</v>
      </c>
    </row>
    <row r="394" spans="3:3" x14ac:dyDescent="0.25">
      <c r="C394" s="50" t="s">
        <v>689</v>
      </c>
    </row>
    <row r="395" spans="3:3" x14ac:dyDescent="0.25">
      <c r="C395" s="50" t="s">
        <v>690</v>
      </c>
    </row>
    <row r="396" spans="3:3" x14ac:dyDescent="0.25">
      <c r="C396" s="50" t="s">
        <v>691</v>
      </c>
    </row>
    <row r="397" spans="3:3" x14ac:dyDescent="0.25">
      <c r="C397" s="50" t="s">
        <v>692</v>
      </c>
    </row>
    <row r="398" spans="3:3" x14ac:dyDescent="0.25">
      <c r="C398" s="50" t="s">
        <v>693</v>
      </c>
    </row>
    <row r="399" spans="3:3" x14ac:dyDescent="0.25">
      <c r="C399" s="50" t="s">
        <v>694</v>
      </c>
    </row>
    <row r="400" spans="3:3" x14ac:dyDescent="0.25">
      <c r="C400" s="50" t="s">
        <v>695</v>
      </c>
    </row>
    <row r="401" spans="3:3" x14ac:dyDescent="0.25">
      <c r="C401" s="50" t="s">
        <v>696</v>
      </c>
    </row>
    <row r="402" spans="3:3" x14ac:dyDescent="0.25">
      <c r="C402" s="50" t="s">
        <v>697</v>
      </c>
    </row>
    <row r="403" spans="3:3" x14ac:dyDescent="0.25">
      <c r="C403" s="50" t="s">
        <v>698</v>
      </c>
    </row>
    <row r="404" spans="3:3" x14ac:dyDescent="0.25">
      <c r="C404" s="50" t="s">
        <v>699</v>
      </c>
    </row>
    <row r="405" spans="3:3" x14ac:dyDescent="0.25">
      <c r="C405" s="50" t="s">
        <v>700</v>
      </c>
    </row>
    <row r="406" spans="3:3" x14ac:dyDescent="0.25">
      <c r="C406" s="50" t="s">
        <v>701</v>
      </c>
    </row>
    <row r="407" spans="3:3" x14ac:dyDescent="0.25">
      <c r="C407" s="50" t="s">
        <v>702</v>
      </c>
    </row>
    <row r="408" spans="3:3" x14ac:dyDescent="0.25">
      <c r="C408" s="50" t="s">
        <v>703</v>
      </c>
    </row>
    <row r="409" spans="3:3" x14ac:dyDescent="0.25">
      <c r="C409" s="50" t="s">
        <v>704</v>
      </c>
    </row>
    <row r="410" spans="3:3" x14ac:dyDescent="0.25">
      <c r="C410" s="50" t="s">
        <v>705</v>
      </c>
    </row>
    <row r="411" spans="3:3" x14ac:dyDescent="0.25">
      <c r="C411" s="50" t="s">
        <v>706</v>
      </c>
    </row>
    <row r="412" spans="3:3" x14ac:dyDescent="0.25">
      <c r="C412" s="50" t="s">
        <v>707</v>
      </c>
    </row>
    <row r="413" spans="3:3" x14ac:dyDescent="0.25">
      <c r="C413" s="50" t="s">
        <v>708</v>
      </c>
    </row>
    <row r="414" spans="3:3" x14ac:dyDescent="0.25">
      <c r="C414" s="50" t="s">
        <v>709</v>
      </c>
    </row>
    <row r="415" spans="3:3" x14ac:dyDescent="0.25">
      <c r="C415" s="50" t="s">
        <v>710</v>
      </c>
    </row>
    <row r="416" spans="3:3" x14ac:dyDescent="0.25">
      <c r="C416" s="50" t="s">
        <v>711</v>
      </c>
    </row>
    <row r="417" spans="3:3" x14ac:dyDescent="0.25">
      <c r="C417" s="50" t="s">
        <v>712</v>
      </c>
    </row>
    <row r="418" spans="3:3" x14ac:dyDescent="0.25">
      <c r="C418" s="50" t="s">
        <v>713</v>
      </c>
    </row>
    <row r="419" spans="3:3" x14ac:dyDescent="0.25">
      <c r="C419" s="50" t="s">
        <v>714</v>
      </c>
    </row>
    <row r="420" spans="3:3" x14ac:dyDescent="0.25">
      <c r="C420" s="50" t="s">
        <v>715</v>
      </c>
    </row>
    <row r="421" spans="3:3" x14ac:dyDescent="0.25">
      <c r="C421" s="50" t="s">
        <v>716</v>
      </c>
    </row>
    <row r="422" spans="3:3" x14ac:dyDescent="0.25">
      <c r="C422" s="50" t="s">
        <v>717</v>
      </c>
    </row>
    <row r="423" spans="3:3" x14ac:dyDescent="0.25">
      <c r="C423" s="50" t="s">
        <v>718</v>
      </c>
    </row>
    <row r="424" spans="3:3" x14ac:dyDescent="0.25">
      <c r="C424" s="50" t="s">
        <v>719</v>
      </c>
    </row>
    <row r="425" spans="3:3" x14ac:dyDescent="0.25">
      <c r="C425" s="50" t="s">
        <v>720</v>
      </c>
    </row>
    <row r="426" spans="3:3" x14ac:dyDescent="0.25">
      <c r="C426" s="50" t="s">
        <v>721</v>
      </c>
    </row>
    <row r="427" spans="3:3" x14ac:dyDescent="0.25">
      <c r="C427" s="50" t="s">
        <v>722</v>
      </c>
    </row>
    <row r="428" spans="3:3" x14ac:dyDescent="0.25">
      <c r="C428" s="50" t="s">
        <v>723</v>
      </c>
    </row>
    <row r="429" spans="3:3" x14ac:dyDescent="0.25">
      <c r="C429" s="50" t="s">
        <v>724</v>
      </c>
    </row>
    <row r="430" spans="3:3" x14ac:dyDescent="0.25">
      <c r="C430" s="50" t="s">
        <v>725</v>
      </c>
    </row>
    <row r="431" spans="3:3" x14ac:dyDescent="0.25">
      <c r="C431" s="50" t="s">
        <v>726</v>
      </c>
    </row>
    <row r="432" spans="3:3" x14ac:dyDescent="0.25">
      <c r="C432" s="50" t="s">
        <v>727</v>
      </c>
    </row>
    <row r="433" spans="3:3" x14ac:dyDescent="0.25">
      <c r="C433" s="50" t="s">
        <v>728</v>
      </c>
    </row>
    <row r="434" spans="3:3" x14ac:dyDescent="0.25">
      <c r="C434" s="50" t="s">
        <v>729</v>
      </c>
    </row>
    <row r="435" spans="3:3" x14ac:dyDescent="0.25">
      <c r="C435" s="50" t="s">
        <v>730</v>
      </c>
    </row>
    <row r="436" spans="3:3" x14ac:dyDescent="0.25">
      <c r="C436" s="50" t="s">
        <v>731</v>
      </c>
    </row>
    <row r="437" spans="3:3" x14ac:dyDescent="0.25">
      <c r="C437" s="50" t="s">
        <v>732</v>
      </c>
    </row>
    <row r="438" spans="3:3" x14ac:dyDescent="0.25">
      <c r="C438" s="50" t="s">
        <v>733</v>
      </c>
    </row>
    <row r="439" spans="3:3" x14ac:dyDescent="0.25">
      <c r="C439" s="50" t="s">
        <v>734</v>
      </c>
    </row>
    <row r="440" spans="3:3" x14ac:dyDescent="0.25">
      <c r="C440" s="50" t="s">
        <v>735</v>
      </c>
    </row>
    <row r="441" spans="3:3" x14ac:dyDescent="0.25">
      <c r="C441" s="50" t="s">
        <v>736</v>
      </c>
    </row>
    <row r="442" spans="3:3" x14ac:dyDescent="0.25">
      <c r="C442" s="50" t="s">
        <v>737</v>
      </c>
    </row>
    <row r="443" spans="3:3" x14ac:dyDescent="0.25">
      <c r="C443" s="50" t="s">
        <v>738</v>
      </c>
    </row>
    <row r="444" spans="3:3" x14ac:dyDescent="0.25">
      <c r="C444" s="50" t="s">
        <v>739</v>
      </c>
    </row>
    <row r="445" spans="3:3" x14ac:dyDescent="0.25">
      <c r="C445" s="50" t="s">
        <v>740</v>
      </c>
    </row>
    <row r="446" spans="3:3" x14ac:dyDescent="0.25">
      <c r="C446" s="50" t="s">
        <v>741</v>
      </c>
    </row>
    <row r="447" spans="3:3" x14ac:dyDescent="0.25">
      <c r="C447" s="50" t="s">
        <v>742</v>
      </c>
    </row>
    <row r="448" spans="3:3" x14ac:dyDescent="0.25">
      <c r="C448" s="50" t="s">
        <v>743</v>
      </c>
    </row>
    <row r="449" spans="3:3" x14ac:dyDescent="0.25">
      <c r="C449" s="50" t="s">
        <v>744</v>
      </c>
    </row>
    <row r="450" spans="3:3" x14ac:dyDescent="0.25">
      <c r="C450" s="50" t="s">
        <v>745</v>
      </c>
    </row>
    <row r="451" spans="3:3" x14ac:dyDescent="0.25">
      <c r="C451" s="50" t="s">
        <v>746</v>
      </c>
    </row>
    <row r="452" spans="3:3" x14ac:dyDescent="0.25">
      <c r="C452" s="50" t="s">
        <v>747</v>
      </c>
    </row>
    <row r="453" spans="3:3" x14ac:dyDescent="0.25">
      <c r="C453" s="50" t="s">
        <v>748</v>
      </c>
    </row>
    <row r="454" spans="3:3" x14ac:dyDescent="0.25">
      <c r="C454" s="50" t="s">
        <v>749</v>
      </c>
    </row>
    <row r="455" spans="3:3" x14ac:dyDescent="0.25">
      <c r="C455" s="50" t="s">
        <v>750</v>
      </c>
    </row>
    <row r="456" spans="3:3" x14ac:dyDescent="0.25">
      <c r="C456" s="50" t="s">
        <v>751</v>
      </c>
    </row>
    <row r="457" spans="3:3" x14ac:dyDescent="0.25">
      <c r="C457" s="50" t="s">
        <v>752</v>
      </c>
    </row>
    <row r="458" spans="3:3" x14ac:dyDescent="0.25">
      <c r="C458" s="50" t="s">
        <v>753</v>
      </c>
    </row>
    <row r="459" spans="3:3" x14ac:dyDescent="0.25">
      <c r="C459" s="50" t="s">
        <v>754</v>
      </c>
    </row>
    <row r="460" spans="3:3" x14ac:dyDescent="0.25">
      <c r="C460" s="50" t="s">
        <v>755</v>
      </c>
    </row>
    <row r="461" spans="3:3" x14ac:dyDescent="0.25">
      <c r="C461" s="50" t="s">
        <v>756</v>
      </c>
    </row>
    <row r="462" spans="3:3" x14ac:dyDescent="0.25">
      <c r="C462" s="50" t="s">
        <v>757</v>
      </c>
    </row>
    <row r="463" spans="3:3" x14ac:dyDescent="0.25">
      <c r="C463" s="50" t="s">
        <v>758</v>
      </c>
    </row>
    <row r="464" spans="3:3" x14ac:dyDescent="0.25">
      <c r="C464" s="50" t="s">
        <v>759</v>
      </c>
    </row>
    <row r="465" spans="3:3" x14ac:dyDescent="0.25">
      <c r="C465" s="50" t="s">
        <v>760</v>
      </c>
    </row>
    <row r="466" spans="3:3" x14ac:dyDescent="0.25">
      <c r="C466" s="50" t="s">
        <v>761</v>
      </c>
    </row>
    <row r="467" spans="3:3" x14ac:dyDescent="0.25">
      <c r="C467" s="50" t="s">
        <v>762</v>
      </c>
    </row>
    <row r="468" spans="3:3" x14ac:dyDescent="0.25">
      <c r="C468" s="50" t="s">
        <v>763</v>
      </c>
    </row>
    <row r="469" spans="3:3" x14ac:dyDescent="0.25">
      <c r="C469" s="50" t="s">
        <v>764</v>
      </c>
    </row>
    <row r="470" spans="3:3" x14ac:dyDescent="0.25">
      <c r="C470" s="50" t="s">
        <v>765</v>
      </c>
    </row>
    <row r="471" spans="3:3" x14ac:dyDescent="0.25">
      <c r="C471" s="50" t="s">
        <v>766</v>
      </c>
    </row>
    <row r="472" spans="3:3" x14ac:dyDescent="0.25">
      <c r="C472" s="50" t="s">
        <v>767</v>
      </c>
    </row>
    <row r="473" spans="3:3" x14ac:dyDescent="0.25">
      <c r="C473" s="50" t="s">
        <v>768</v>
      </c>
    </row>
    <row r="474" spans="3:3" x14ac:dyDescent="0.25">
      <c r="C474" s="50" t="s">
        <v>769</v>
      </c>
    </row>
    <row r="475" spans="3:3" x14ac:dyDescent="0.25">
      <c r="C475" s="50" t="s">
        <v>770</v>
      </c>
    </row>
    <row r="476" spans="3:3" x14ac:dyDescent="0.25">
      <c r="C476" s="50" t="s">
        <v>771</v>
      </c>
    </row>
    <row r="477" spans="3:3" x14ac:dyDescent="0.25">
      <c r="C477" s="50" t="s">
        <v>772</v>
      </c>
    </row>
    <row r="478" spans="3:3" x14ac:dyDescent="0.25">
      <c r="C478" s="50" t="s">
        <v>773</v>
      </c>
    </row>
    <row r="479" spans="3:3" x14ac:dyDescent="0.25">
      <c r="C479" s="50" t="s">
        <v>774</v>
      </c>
    </row>
    <row r="480" spans="3:3" x14ac:dyDescent="0.25">
      <c r="C480" s="50" t="s">
        <v>775</v>
      </c>
    </row>
    <row r="481" spans="3:3" x14ac:dyDescent="0.25">
      <c r="C481" s="50" t="s">
        <v>776</v>
      </c>
    </row>
    <row r="482" spans="3:3" x14ac:dyDescent="0.25">
      <c r="C482" s="50" t="s">
        <v>777</v>
      </c>
    </row>
    <row r="483" spans="3:3" x14ac:dyDescent="0.25">
      <c r="C483" s="50" t="s">
        <v>778</v>
      </c>
    </row>
    <row r="484" spans="3:3" x14ac:dyDescent="0.25">
      <c r="C484" s="50" t="s">
        <v>779</v>
      </c>
    </row>
    <row r="485" spans="3:3" x14ac:dyDescent="0.25">
      <c r="C485" s="50" t="s">
        <v>780</v>
      </c>
    </row>
    <row r="486" spans="3:3" x14ac:dyDescent="0.25">
      <c r="C486" s="50" t="s">
        <v>781</v>
      </c>
    </row>
    <row r="487" spans="3:3" x14ac:dyDescent="0.25">
      <c r="C487" s="50" t="s">
        <v>782</v>
      </c>
    </row>
    <row r="488" spans="3:3" x14ac:dyDescent="0.25">
      <c r="C488" s="50" t="s">
        <v>783</v>
      </c>
    </row>
    <row r="489" spans="3:3" x14ac:dyDescent="0.25">
      <c r="C489" s="50" t="s">
        <v>784</v>
      </c>
    </row>
    <row r="490" spans="3:3" x14ac:dyDescent="0.25">
      <c r="C490" s="50" t="s">
        <v>785</v>
      </c>
    </row>
    <row r="491" spans="3:3" x14ac:dyDescent="0.25">
      <c r="C491" s="50" t="s">
        <v>786</v>
      </c>
    </row>
    <row r="492" spans="3:3" x14ac:dyDescent="0.25">
      <c r="C492" s="50" t="s">
        <v>787</v>
      </c>
    </row>
    <row r="493" spans="3:3" x14ac:dyDescent="0.25">
      <c r="C493" s="50" t="s">
        <v>788</v>
      </c>
    </row>
    <row r="494" spans="3:3" x14ac:dyDescent="0.25">
      <c r="C494" s="50" t="s">
        <v>789</v>
      </c>
    </row>
    <row r="495" spans="3:3" x14ac:dyDescent="0.25">
      <c r="C495" s="50" t="s">
        <v>790</v>
      </c>
    </row>
    <row r="496" spans="3:3" x14ac:dyDescent="0.25">
      <c r="C496" s="50" t="s">
        <v>791</v>
      </c>
    </row>
    <row r="497" spans="3:3" x14ac:dyDescent="0.25">
      <c r="C497" s="50" t="s">
        <v>792</v>
      </c>
    </row>
    <row r="498" spans="3:3" x14ac:dyDescent="0.25">
      <c r="C498" s="50" t="s">
        <v>793</v>
      </c>
    </row>
    <row r="499" spans="3:3" x14ac:dyDescent="0.25">
      <c r="C499" s="50" t="s">
        <v>794</v>
      </c>
    </row>
    <row r="500" spans="3:3" x14ac:dyDescent="0.25">
      <c r="C500" s="50" t="s">
        <v>795</v>
      </c>
    </row>
    <row r="501" spans="3:3" x14ac:dyDescent="0.25">
      <c r="C501" s="50" t="s">
        <v>796</v>
      </c>
    </row>
    <row r="502" spans="3:3" x14ac:dyDescent="0.25">
      <c r="C502" s="50" t="s">
        <v>797</v>
      </c>
    </row>
    <row r="503" spans="3:3" x14ac:dyDescent="0.25">
      <c r="C503" s="50" t="s">
        <v>798</v>
      </c>
    </row>
    <row r="504" spans="3:3" x14ac:dyDescent="0.25">
      <c r="C504" s="50" t="s">
        <v>799</v>
      </c>
    </row>
    <row r="505" spans="3:3" x14ac:dyDescent="0.25">
      <c r="C505" s="50" t="s">
        <v>800</v>
      </c>
    </row>
    <row r="506" spans="3:3" x14ac:dyDescent="0.25">
      <c r="C506" s="50" t="s">
        <v>801</v>
      </c>
    </row>
    <row r="507" spans="3:3" x14ac:dyDescent="0.25">
      <c r="C507" s="50" t="s">
        <v>802</v>
      </c>
    </row>
    <row r="508" spans="3:3" x14ac:dyDescent="0.25">
      <c r="C508" s="50" t="s">
        <v>803</v>
      </c>
    </row>
    <row r="509" spans="3:3" x14ac:dyDescent="0.25">
      <c r="C509" s="50" t="s">
        <v>804</v>
      </c>
    </row>
    <row r="510" spans="3:3" x14ac:dyDescent="0.25">
      <c r="C510" s="50" t="s">
        <v>805</v>
      </c>
    </row>
    <row r="511" spans="3:3" x14ac:dyDescent="0.25">
      <c r="C511" s="50" t="s">
        <v>806</v>
      </c>
    </row>
    <row r="512" spans="3:3" x14ac:dyDescent="0.25">
      <c r="C512" s="50" t="s">
        <v>807</v>
      </c>
    </row>
    <row r="513" spans="3:3" x14ac:dyDescent="0.25">
      <c r="C513" s="50" t="s">
        <v>808</v>
      </c>
    </row>
    <row r="514" spans="3:3" x14ac:dyDescent="0.25">
      <c r="C514" s="50" t="s">
        <v>809</v>
      </c>
    </row>
    <row r="515" spans="3:3" x14ac:dyDescent="0.25">
      <c r="C515" s="50" t="s">
        <v>810</v>
      </c>
    </row>
    <row r="516" spans="3:3" x14ac:dyDescent="0.25">
      <c r="C516" s="50" t="s">
        <v>811</v>
      </c>
    </row>
    <row r="517" spans="3:3" x14ac:dyDescent="0.25">
      <c r="C517" s="50" t="s">
        <v>812</v>
      </c>
    </row>
    <row r="518" spans="3:3" x14ac:dyDescent="0.25">
      <c r="C518" s="50" t="s">
        <v>813</v>
      </c>
    </row>
    <row r="519" spans="3:3" x14ac:dyDescent="0.25">
      <c r="C519" s="50" t="s">
        <v>814</v>
      </c>
    </row>
    <row r="520" spans="3:3" x14ac:dyDescent="0.25">
      <c r="C520" s="50" t="s">
        <v>815</v>
      </c>
    </row>
    <row r="521" spans="3:3" x14ac:dyDescent="0.25">
      <c r="C521" s="50" t="s">
        <v>816</v>
      </c>
    </row>
    <row r="522" spans="3:3" x14ac:dyDescent="0.25">
      <c r="C522" s="50" t="s">
        <v>817</v>
      </c>
    </row>
    <row r="523" spans="3:3" x14ac:dyDescent="0.25">
      <c r="C523" s="50" t="s">
        <v>818</v>
      </c>
    </row>
    <row r="524" spans="3:3" x14ac:dyDescent="0.25">
      <c r="C524" s="50" t="s">
        <v>819</v>
      </c>
    </row>
    <row r="525" spans="3:3" x14ac:dyDescent="0.25">
      <c r="C525" s="50" t="s">
        <v>820</v>
      </c>
    </row>
    <row r="526" spans="3:3" x14ac:dyDescent="0.25">
      <c r="C526" s="50" t="s">
        <v>821</v>
      </c>
    </row>
    <row r="527" spans="3:3" x14ac:dyDescent="0.25">
      <c r="C527" s="50" t="s">
        <v>822</v>
      </c>
    </row>
    <row r="528" spans="3:3" x14ac:dyDescent="0.25">
      <c r="C528" s="50" t="s">
        <v>823</v>
      </c>
    </row>
    <row r="529" spans="3:3" x14ac:dyDescent="0.25">
      <c r="C529" s="50" t="s">
        <v>824</v>
      </c>
    </row>
    <row r="530" spans="3:3" x14ac:dyDescent="0.25">
      <c r="C530" s="50" t="s">
        <v>825</v>
      </c>
    </row>
    <row r="531" spans="3:3" x14ac:dyDescent="0.25">
      <c r="C531" s="50" t="s">
        <v>826</v>
      </c>
    </row>
    <row r="532" spans="3:3" x14ac:dyDescent="0.25">
      <c r="C532" s="50" t="s">
        <v>827</v>
      </c>
    </row>
    <row r="533" spans="3:3" x14ac:dyDescent="0.25">
      <c r="C533" s="50" t="s">
        <v>828</v>
      </c>
    </row>
    <row r="534" spans="3:3" x14ac:dyDescent="0.25">
      <c r="C534" s="50" t="s">
        <v>829</v>
      </c>
    </row>
    <row r="535" spans="3:3" x14ac:dyDescent="0.25">
      <c r="C535" s="50" t="s">
        <v>830</v>
      </c>
    </row>
    <row r="536" spans="3:3" x14ac:dyDescent="0.25">
      <c r="C536" s="50" t="s">
        <v>831</v>
      </c>
    </row>
    <row r="537" spans="3:3" x14ac:dyDescent="0.25">
      <c r="C537" s="50" t="s">
        <v>832</v>
      </c>
    </row>
    <row r="538" spans="3:3" x14ac:dyDescent="0.25">
      <c r="C538" s="50" t="s">
        <v>833</v>
      </c>
    </row>
    <row r="539" spans="3:3" x14ac:dyDescent="0.25">
      <c r="C539" s="50" t="s">
        <v>834</v>
      </c>
    </row>
    <row r="540" spans="3:3" x14ac:dyDescent="0.25">
      <c r="C540" s="50" t="s">
        <v>835</v>
      </c>
    </row>
    <row r="541" spans="3:3" x14ac:dyDescent="0.25">
      <c r="C541" s="50" t="s">
        <v>836</v>
      </c>
    </row>
    <row r="542" spans="3:3" x14ac:dyDescent="0.25">
      <c r="C542" s="50" t="s">
        <v>837</v>
      </c>
    </row>
    <row r="543" spans="3:3" x14ac:dyDescent="0.25">
      <c r="C543" s="50" t="s">
        <v>838</v>
      </c>
    </row>
    <row r="544" spans="3:3" x14ac:dyDescent="0.25">
      <c r="C544" s="50" t="s">
        <v>839</v>
      </c>
    </row>
    <row r="545" spans="3:3" x14ac:dyDescent="0.25">
      <c r="C545" s="50" t="s">
        <v>840</v>
      </c>
    </row>
    <row r="546" spans="3:3" x14ac:dyDescent="0.25">
      <c r="C546" s="50" t="s">
        <v>841</v>
      </c>
    </row>
    <row r="547" spans="3:3" x14ac:dyDescent="0.25">
      <c r="C547" s="50" t="s">
        <v>842</v>
      </c>
    </row>
    <row r="548" spans="3:3" x14ac:dyDescent="0.25">
      <c r="C548" s="50" t="s">
        <v>843</v>
      </c>
    </row>
    <row r="549" spans="3:3" x14ac:dyDescent="0.25">
      <c r="C549" s="50" t="s">
        <v>844</v>
      </c>
    </row>
    <row r="550" spans="3:3" x14ac:dyDescent="0.25">
      <c r="C550" s="50" t="s">
        <v>845</v>
      </c>
    </row>
    <row r="551" spans="3:3" x14ac:dyDescent="0.25">
      <c r="C551" s="50" t="s">
        <v>846</v>
      </c>
    </row>
    <row r="552" spans="3:3" x14ac:dyDescent="0.25">
      <c r="C552" s="50" t="s">
        <v>847</v>
      </c>
    </row>
    <row r="553" spans="3:3" x14ac:dyDescent="0.25">
      <c r="C553" s="50" t="s">
        <v>848</v>
      </c>
    </row>
    <row r="554" spans="3:3" x14ac:dyDescent="0.25">
      <c r="C554" s="50" t="s">
        <v>849</v>
      </c>
    </row>
    <row r="555" spans="3:3" x14ac:dyDescent="0.25">
      <c r="C555" s="50" t="s">
        <v>850</v>
      </c>
    </row>
    <row r="556" spans="3:3" x14ac:dyDescent="0.25">
      <c r="C556" s="50" t="s">
        <v>851</v>
      </c>
    </row>
    <row r="557" spans="3:3" x14ac:dyDescent="0.25">
      <c r="C557" s="50" t="s">
        <v>852</v>
      </c>
    </row>
    <row r="558" spans="3:3" x14ac:dyDescent="0.25">
      <c r="C558" s="50" t="s">
        <v>853</v>
      </c>
    </row>
    <row r="559" spans="3:3" x14ac:dyDescent="0.25">
      <c r="C559" s="50" t="s">
        <v>854</v>
      </c>
    </row>
    <row r="560" spans="3:3" x14ac:dyDescent="0.25">
      <c r="C560" s="50" t="s">
        <v>855</v>
      </c>
    </row>
    <row r="561" spans="3:3" x14ac:dyDescent="0.25">
      <c r="C561" s="50" t="s">
        <v>856</v>
      </c>
    </row>
    <row r="562" spans="3:3" x14ac:dyDescent="0.25">
      <c r="C562" s="50" t="s">
        <v>857</v>
      </c>
    </row>
    <row r="563" spans="3:3" x14ac:dyDescent="0.25">
      <c r="C563" s="50" t="s">
        <v>858</v>
      </c>
    </row>
    <row r="564" spans="3:3" x14ac:dyDescent="0.25">
      <c r="C564" s="50" t="s">
        <v>859</v>
      </c>
    </row>
    <row r="565" spans="3:3" x14ac:dyDescent="0.25">
      <c r="C565" s="50" t="s">
        <v>860</v>
      </c>
    </row>
    <row r="566" spans="3:3" x14ac:dyDescent="0.25">
      <c r="C566" s="50" t="s">
        <v>861</v>
      </c>
    </row>
    <row r="567" spans="3:3" x14ac:dyDescent="0.25">
      <c r="C567" s="50" t="s">
        <v>862</v>
      </c>
    </row>
    <row r="568" spans="3:3" x14ac:dyDescent="0.25">
      <c r="C568" s="50" t="s">
        <v>863</v>
      </c>
    </row>
    <row r="569" spans="3:3" x14ac:dyDescent="0.25">
      <c r="C569" s="50" t="s">
        <v>864</v>
      </c>
    </row>
    <row r="570" spans="3:3" x14ac:dyDescent="0.25">
      <c r="C570" s="50" t="s">
        <v>865</v>
      </c>
    </row>
    <row r="571" spans="3:3" x14ac:dyDescent="0.25">
      <c r="C571" s="50" t="s">
        <v>866</v>
      </c>
    </row>
    <row r="572" spans="3:3" x14ac:dyDescent="0.25">
      <c r="C572" s="50" t="s">
        <v>867</v>
      </c>
    </row>
    <row r="573" spans="3:3" x14ac:dyDescent="0.25">
      <c r="C573" s="50" t="s">
        <v>868</v>
      </c>
    </row>
    <row r="574" spans="3:3" x14ac:dyDescent="0.25">
      <c r="C574" s="50" t="s">
        <v>869</v>
      </c>
    </row>
    <row r="575" spans="3:3" x14ac:dyDescent="0.25">
      <c r="C575" s="50" t="s">
        <v>870</v>
      </c>
    </row>
    <row r="576" spans="3:3" x14ac:dyDescent="0.25">
      <c r="C576" s="50" t="s">
        <v>871</v>
      </c>
    </row>
    <row r="577" spans="3:3" x14ac:dyDescent="0.25">
      <c r="C577" s="50" t="s">
        <v>872</v>
      </c>
    </row>
    <row r="578" spans="3:3" x14ac:dyDescent="0.25">
      <c r="C578" s="50" t="s">
        <v>873</v>
      </c>
    </row>
    <row r="579" spans="3:3" x14ac:dyDescent="0.25">
      <c r="C579" s="50" t="s">
        <v>874</v>
      </c>
    </row>
    <row r="580" spans="3:3" x14ac:dyDescent="0.25">
      <c r="C580" s="50" t="s">
        <v>875</v>
      </c>
    </row>
    <row r="581" spans="3:3" x14ac:dyDescent="0.25">
      <c r="C581" s="50" t="s">
        <v>876</v>
      </c>
    </row>
    <row r="582" spans="3:3" x14ac:dyDescent="0.25">
      <c r="C582" s="50" t="s">
        <v>877</v>
      </c>
    </row>
    <row r="583" spans="3:3" x14ac:dyDescent="0.25">
      <c r="C583" s="50" t="s">
        <v>878</v>
      </c>
    </row>
    <row r="584" spans="3:3" x14ac:dyDescent="0.25">
      <c r="C584" s="50" t="s">
        <v>879</v>
      </c>
    </row>
    <row r="585" spans="3:3" x14ac:dyDescent="0.25">
      <c r="C585" s="50" t="s">
        <v>880</v>
      </c>
    </row>
    <row r="586" spans="3:3" x14ac:dyDescent="0.25">
      <c r="C586" s="50" t="s">
        <v>881</v>
      </c>
    </row>
    <row r="587" spans="3:3" x14ac:dyDescent="0.25">
      <c r="C587" s="50" t="s">
        <v>882</v>
      </c>
    </row>
    <row r="588" spans="3:3" x14ac:dyDescent="0.25">
      <c r="C588" s="50" t="s">
        <v>883</v>
      </c>
    </row>
    <row r="589" spans="3:3" x14ac:dyDescent="0.25">
      <c r="C589" s="50" t="s">
        <v>884</v>
      </c>
    </row>
    <row r="590" spans="3:3" x14ac:dyDescent="0.25">
      <c r="C590" s="50" t="s">
        <v>885</v>
      </c>
    </row>
    <row r="591" spans="3:3" x14ac:dyDescent="0.25">
      <c r="C591" s="50" t="s">
        <v>886</v>
      </c>
    </row>
    <row r="592" spans="3:3" x14ac:dyDescent="0.25">
      <c r="C592" s="50" t="s">
        <v>887</v>
      </c>
    </row>
    <row r="593" spans="3:3" x14ac:dyDescent="0.25">
      <c r="C593" s="50" t="s">
        <v>888</v>
      </c>
    </row>
    <row r="594" spans="3:3" x14ac:dyDescent="0.25">
      <c r="C594" s="50" t="s">
        <v>889</v>
      </c>
    </row>
    <row r="595" spans="3:3" x14ac:dyDescent="0.25">
      <c r="C595" s="50" t="s">
        <v>890</v>
      </c>
    </row>
    <row r="596" spans="3:3" x14ac:dyDescent="0.25">
      <c r="C596" s="50" t="s">
        <v>891</v>
      </c>
    </row>
    <row r="597" spans="3:3" x14ac:dyDescent="0.25">
      <c r="C597" s="50" t="s">
        <v>892</v>
      </c>
    </row>
    <row r="598" spans="3:3" x14ac:dyDescent="0.25">
      <c r="C598" s="50" t="s">
        <v>893</v>
      </c>
    </row>
    <row r="599" spans="3:3" x14ac:dyDescent="0.25">
      <c r="C599" s="50" t="s">
        <v>894</v>
      </c>
    </row>
    <row r="600" spans="3:3" x14ac:dyDescent="0.25">
      <c r="C600" s="50" t="s">
        <v>895</v>
      </c>
    </row>
    <row r="601" spans="3:3" x14ac:dyDescent="0.25">
      <c r="C601" s="50" t="s">
        <v>896</v>
      </c>
    </row>
    <row r="602" spans="3:3" x14ac:dyDescent="0.25">
      <c r="C602" s="50" t="s">
        <v>897</v>
      </c>
    </row>
    <row r="603" spans="3:3" x14ac:dyDescent="0.25">
      <c r="C603" s="50" t="s">
        <v>898</v>
      </c>
    </row>
    <row r="604" spans="3:3" x14ac:dyDescent="0.25">
      <c r="C604" s="50" t="s">
        <v>899</v>
      </c>
    </row>
    <row r="605" spans="3:3" x14ac:dyDescent="0.25">
      <c r="C605" s="50" t="s">
        <v>900</v>
      </c>
    </row>
    <row r="606" spans="3:3" x14ac:dyDescent="0.25">
      <c r="C606" s="50" t="s">
        <v>901</v>
      </c>
    </row>
    <row r="607" spans="3:3" x14ac:dyDescent="0.25">
      <c r="C607" s="50" t="s">
        <v>902</v>
      </c>
    </row>
    <row r="608" spans="3:3" x14ac:dyDescent="0.25">
      <c r="C608" s="50" t="s">
        <v>903</v>
      </c>
    </row>
    <row r="609" spans="3:3" x14ac:dyDescent="0.25">
      <c r="C609" s="50" t="s">
        <v>904</v>
      </c>
    </row>
    <row r="610" spans="3:3" x14ac:dyDescent="0.25">
      <c r="C610" s="50" t="s">
        <v>905</v>
      </c>
    </row>
    <row r="611" spans="3:3" x14ac:dyDescent="0.25">
      <c r="C611" s="50" t="s">
        <v>906</v>
      </c>
    </row>
    <row r="612" spans="3:3" x14ac:dyDescent="0.25">
      <c r="C612" s="50" t="s">
        <v>907</v>
      </c>
    </row>
    <row r="613" spans="3:3" x14ac:dyDescent="0.25">
      <c r="C613" s="50" t="s">
        <v>908</v>
      </c>
    </row>
    <row r="614" spans="3:3" x14ac:dyDescent="0.25">
      <c r="C614" s="50" t="s">
        <v>909</v>
      </c>
    </row>
    <row r="615" spans="3:3" x14ac:dyDescent="0.25">
      <c r="C615" s="50" t="s">
        <v>910</v>
      </c>
    </row>
    <row r="616" spans="3:3" x14ac:dyDescent="0.25">
      <c r="C616" s="50" t="s">
        <v>911</v>
      </c>
    </row>
    <row r="617" spans="3:3" x14ac:dyDescent="0.25">
      <c r="C617" s="50" t="s">
        <v>912</v>
      </c>
    </row>
    <row r="618" spans="3:3" x14ac:dyDescent="0.25">
      <c r="C618" s="50" t="s">
        <v>913</v>
      </c>
    </row>
    <row r="619" spans="3:3" x14ac:dyDescent="0.25">
      <c r="C619" s="50" t="s">
        <v>914</v>
      </c>
    </row>
    <row r="620" spans="3:3" x14ac:dyDescent="0.25">
      <c r="C620" s="50" t="s">
        <v>915</v>
      </c>
    </row>
    <row r="621" spans="3:3" x14ac:dyDescent="0.25">
      <c r="C621" s="50" t="s">
        <v>916</v>
      </c>
    </row>
    <row r="622" spans="3:3" x14ac:dyDescent="0.25">
      <c r="C622" s="50" t="s">
        <v>917</v>
      </c>
    </row>
    <row r="623" spans="3:3" x14ac:dyDescent="0.25">
      <c r="C623" s="50" t="s">
        <v>918</v>
      </c>
    </row>
    <row r="624" spans="3:3" x14ac:dyDescent="0.25">
      <c r="C624" s="50" t="s">
        <v>919</v>
      </c>
    </row>
    <row r="625" spans="3:3" x14ac:dyDescent="0.25">
      <c r="C625" s="50" t="s">
        <v>920</v>
      </c>
    </row>
    <row r="626" spans="3:3" x14ac:dyDescent="0.25">
      <c r="C626" s="50" t="s">
        <v>921</v>
      </c>
    </row>
    <row r="627" spans="3:3" x14ac:dyDescent="0.25">
      <c r="C627" s="50" t="s">
        <v>922</v>
      </c>
    </row>
    <row r="628" spans="3:3" x14ac:dyDescent="0.25">
      <c r="C628" s="50" t="s">
        <v>923</v>
      </c>
    </row>
    <row r="629" spans="3:3" x14ac:dyDescent="0.25">
      <c r="C629" s="50" t="s">
        <v>924</v>
      </c>
    </row>
    <row r="630" spans="3:3" x14ac:dyDescent="0.25">
      <c r="C630" s="50" t="s">
        <v>925</v>
      </c>
    </row>
    <row r="631" spans="3:3" x14ac:dyDescent="0.25">
      <c r="C631" s="50" t="s">
        <v>926</v>
      </c>
    </row>
    <row r="632" spans="3:3" x14ac:dyDescent="0.25">
      <c r="C632" s="50" t="s">
        <v>927</v>
      </c>
    </row>
    <row r="633" spans="3:3" x14ac:dyDescent="0.25">
      <c r="C633" s="50" t="s">
        <v>928</v>
      </c>
    </row>
    <row r="634" spans="3:3" x14ac:dyDescent="0.25">
      <c r="C634" s="50" t="s">
        <v>929</v>
      </c>
    </row>
    <row r="635" spans="3:3" x14ac:dyDescent="0.25">
      <c r="C635" s="50" t="s">
        <v>930</v>
      </c>
    </row>
    <row r="636" spans="3:3" x14ac:dyDescent="0.25">
      <c r="C636" s="50" t="s">
        <v>931</v>
      </c>
    </row>
    <row r="637" spans="3:3" x14ac:dyDescent="0.25">
      <c r="C637" s="50" t="s">
        <v>932</v>
      </c>
    </row>
    <row r="638" spans="3:3" x14ac:dyDescent="0.25">
      <c r="C638" s="50" t="s">
        <v>933</v>
      </c>
    </row>
    <row r="639" spans="3:3" x14ac:dyDescent="0.25">
      <c r="C639" s="50" t="s">
        <v>934</v>
      </c>
    </row>
    <row r="640" spans="3:3" x14ac:dyDescent="0.25">
      <c r="C640" s="50" t="s">
        <v>935</v>
      </c>
    </row>
    <row r="641" spans="3:3" x14ac:dyDescent="0.25">
      <c r="C641" s="50" t="s">
        <v>936</v>
      </c>
    </row>
    <row r="642" spans="3:3" x14ac:dyDescent="0.25">
      <c r="C642" s="50" t="s">
        <v>937</v>
      </c>
    </row>
    <row r="643" spans="3:3" x14ac:dyDescent="0.25">
      <c r="C643" s="50" t="s">
        <v>938</v>
      </c>
    </row>
    <row r="644" spans="3:3" x14ac:dyDescent="0.25">
      <c r="C644" s="50" t="s">
        <v>939</v>
      </c>
    </row>
    <row r="645" spans="3:3" x14ac:dyDescent="0.25">
      <c r="C645" s="50" t="s">
        <v>940</v>
      </c>
    </row>
    <row r="646" spans="3:3" x14ac:dyDescent="0.25">
      <c r="C646" s="50" t="s">
        <v>941</v>
      </c>
    </row>
    <row r="647" spans="3:3" x14ac:dyDescent="0.25">
      <c r="C647" s="50" t="s">
        <v>942</v>
      </c>
    </row>
    <row r="648" spans="3:3" x14ac:dyDescent="0.25">
      <c r="C648" s="50" t="s">
        <v>943</v>
      </c>
    </row>
    <row r="649" spans="3:3" x14ac:dyDescent="0.25">
      <c r="C649" s="50" t="s">
        <v>944</v>
      </c>
    </row>
    <row r="650" spans="3:3" x14ac:dyDescent="0.25">
      <c r="C650" s="50" t="s">
        <v>945</v>
      </c>
    </row>
    <row r="651" spans="3:3" x14ac:dyDescent="0.25">
      <c r="C651" s="50" t="s">
        <v>946</v>
      </c>
    </row>
    <row r="652" spans="3:3" x14ac:dyDescent="0.25">
      <c r="C652" s="50" t="s">
        <v>947</v>
      </c>
    </row>
    <row r="653" spans="3:3" x14ac:dyDescent="0.25">
      <c r="C653" s="50" t="s">
        <v>948</v>
      </c>
    </row>
    <row r="654" spans="3:3" x14ac:dyDescent="0.25">
      <c r="C654" s="50" t="s">
        <v>949</v>
      </c>
    </row>
    <row r="655" spans="3:3" x14ac:dyDescent="0.25">
      <c r="C655" s="50" t="s">
        <v>950</v>
      </c>
    </row>
    <row r="656" spans="3:3" x14ac:dyDescent="0.25">
      <c r="C656" s="50" t="s">
        <v>951</v>
      </c>
    </row>
    <row r="657" spans="3:3" x14ac:dyDescent="0.25">
      <c r="C657" s="50" t="s">
        <v>952</v>
      </c>
    </row>
    <row r="658" spans="3:3" x14ac:dyDescent="0.25">
      <c r="C658" s="50" t="s">
        <v>953</v>
      </c>
    </row>
    <row r="659" spans="3:3" x14ac:dyDescent="0.25">
      <c r="C659" s="50" t="s">
        <v>954</v>
      </c>
    </row>
    <row r="660" spans="3:3" x14ac:dyDescent="0.25">
      <c r="C660" s="50" t="s">
        <v>955</v>
      </c>
    </row>
    <row r="661" spans="3:3" x14ac:dyDescent="0.25">
      <c r="C661" s="50" t="s">
        <v>956</v>
      </c>
    </row>
    <row r="662" spans="3:3" x14ac:dyDescent="0.25">
      <c r="C662" s="50" t="s">
        <v>957</v>
      </c>
    </row>
    <row r="663" spans="3:3" x14ac:dyDescent="0.25">
      <c r="C663" s="50" t="s">
        <v>958</v>
      </c>
    </row>
    <row r="664" spans="3:3" x14ac:dyDescent="0.25">
      <c r="C664" s="50" t="s">
        <v>959</v>
      </c>
    </row>
    <row r="665" spans="3:3" x14ac:dyDescent="0.25">
      <c r="C665" s="50" t="s">
        <v>960</v>
      </c>
    </row>
    <row r="666" spans="3:3" x14ac:dyDescent="0.25">
      <c r="C666" s="50" t="s">
        <v>961</v>
      </c>
    </row>
    <row r="667" spans="3:3" x14ac:dyDescent="0.25">
      <c r="C667" s="50" t="s">
        <v>962</v>
      </c>
    </row>
    <row r="668" spans="3:3" x14ac:dyDescent="0.25">
      <c r="C668" s="50" t="s">
        <v>963</v>
      </c>
    </row>
    <row r="669" spans="3:3" x14ac:dyDescent="0.25">
      <c r="C669" s="50" t="s">
        <v>964</v>
      </c>
    </row>
    <row r="670" spans="3:3" x14ac:dyDescent="0.25">
      <c r="C670" s="50" t="s">
        <v>965</v>
      </c>
    </row>
    <row r="671" spans="3:3" x14ac:dyDescent="0.25">
      <c r="C671" s="50" t="s">
        <v>966</v>
      </c>
    </row>
    <row r="672" spans="3:3" x14ac:dyDescent="0.25">
      <c r="C672" s="50" t="s">
        <v>967</v>
      </c>
    </row>
    <row r="673" spans="3:3" x14ac:dyDescent="0.25">
      <c r="C673" s="50" t="s">
        <v>968</v>
      </c>
    </row>
    <row r="674" spans="3:3" x14ac:dyDescent="0.25">
      <c r="C674" s="50" t="s">
        <v>969</v>
      </c>
    </row>
    <row r="675" spans="3:3" x14ac:dyDescent="0.25">
      <c r="C675" s="50" t="s">
        <v>970</v>
      </c>
    </row>
    <row r="676" spans="3:3" x14ac:dyDescent="0.25">
      <c r="C676" s="50" t="s">
        <v>971</v>
      </c>
    </row>
    <row r="677" spans="3:3" x14ac:dyDescent="0.25">
      <c r="C677" s="50" t="s">
        <v>972</v>
      </c>
    </row>
    <row r="678" spans="3:3" x14ac:dyDescent="0.25">
      <c r="C678" s="50" t="s">
        <v>973</v>
      </c>
    </row>
    <row r="679" spans="3:3" x14ac:dyDescent="0.25">
      <c r="C679" s="50" t="s">
        <v>974</v>
      </c>
    </row>
    <row r="680" spans="3:3" x14ac:dyDescent="0.25">
      <c r="C680" s="50" t="s">
        <v>975</v>
      </c>
    </row>
    <row r="681" spans="3:3" x14ac:dyDescent="0.25">
      <c r="C681" s="50" t="s">
        <v>976</v>
      </c>
    </row>
    <row r="682" spans="3:3" x14ac:dyDescent="0.25">
      <c r="C682" s="50" t="s">
        <v>977</v>
      </c>
    </row>
    <row r="683" spans="3:3" x14ac:dyDescent="0.25">
      <c r="C683" s="50" t="s">
        <v>978</v>
      </c>
    </row>
    <row r="684" spans="3:3" x14ac:dyDescent="0.25">
      <c r="C684" s="50" t="s">
        <v>979</v>
      </c>
    </row>
    <row r="685" spans="3:3" x14ac:dyDescent="0.25">
      <c r="C685" s="50" t="s">
        <v>980</v>
      </c>
    </row>
    <row r="686" spans="3:3" x14ac:dyDescent="0.25">
      <c r="C686" s="50" t="s">
        <v>981</v>
      </c>
    </row>
    <row r="687" spans="3:3" x14ac:dyDescent="0.25">
      <c r="C687" s="50" t="s">
        <v>982</v>
      </c>
    </row>
    <row r="688" spans="3:3" x14ac:dyDescent="0.25">
      <c r="C688" s="50" t="s">
        <v>983</v>
      </c>
    </row>
    <row r="689" spans="3:3" x14ac:dyDescent="0.25">
      <c r="C689" s="50" t="s">
        <v>984</v>
      </c>
    </row>
    <row r="690" spans="3:3" x14ac:dyDescent="0.25">
      <c r="C690" s="50" t="s">
        <v>985</v>
      </c>
    </row>
    <row r="691" spans="3:3" x14ac:dyDescent="0.25">
      <c r="C691" s="50" t="s">
        <v>986</v>
      </c>
    </row>
    <row r="692" spans="3:3" x14ac:dyDescent="0.25">
      <c r="C692" s="50" t="s">
        <v>987</v>
      </c>
    </row>
    <row r="693" spans="3:3" x14ac:dyDescent="0.25">
      <c r="C693" s="50" t="s">
        <v>988</v>
      </c>
    </row>
    <row r="694" spans="3:3" x14ac:dyDescent="0.25">
      <c r="C694" s="50" t="s">
        <v>989</v>
      </c>
    </row>
    <row r="695" spans="3:3" x14ac:dyDescent="0.25">
      <c r="C695" s="50" t="s">
        <v>990</v>
      </c>
    </row>
    <row r="696" spans="3:3" x14ac:dyDescent="0.25">
      <c r="C696" s="50" t="s">
        <v>991</v>
      </c>
    </row>
    <row r="697" spans="3:3" x14ac:dyDescent="0.25">
      <c r="C697" s="50" t="s">
        <v>992</v>
      </c>
    </row>
    <row r="698" spans="3:3" x14ac:dyDescent="0.25">
      <c r="C698" s="50" t="s">
        <v>993</v>
      </c>
    </row>
    <row r="699" spans="3:3" x14ac:dyDescent="0.25">
      <c r="C699" s="50" t="s">
        <v>994</v>
      </c>
    </row>
    <row r="700" spans="3:3" x14ac:dyDescent="0.25">
      <c r="C700" s="50" t="s">
        <v>995</v>
      </c>
    </row>
    <row r="701" spans="3:3" x14ac:dyDescent="0.25">
      <c r="C701" s="50" t="s">
        <v>996</v>
      </c>
    </row>
    <row r="702" spans="3:3" x14ac:dyDescent="0.25">
      <c r="C702" s="50" t="s">
        <v>997</v>
      </c>
    </row>
    <row r="703" spans="3:3" x14ac:dyDescent="0.25">
      <c r="C703" s="50" t="s">
        <v>998</v>
      </c>
    </row>
    <row r="704" spans="3:3" x14ac:dyDescent="0.25">
      <c r="C704" s="50" t="s">
        <v>999</v>
      </c>
    </row>
    <row r="705" spans="3:3" x14ac:dyDescent="0.25">
      <c r="C705" s="50" t="s">
        <v>1000</v>
      </c>
    </row>
    <row r="706" spans="3:3" x14ac:dyDescent="0.25">
      <c r="C706" s="50" t="s">
        <v>1001</v>
      </c>
    </row>
    <row r="707" spans="3:3" x14ac:dyDescent="0.25">
      <c r="C707" s="50" t="s">
        <v>1002</v>
      </c>
    </row>
    <row r="708" spans="3:3" x14ac:dyDescent="0.25">
      <c r="C708" s="50" t="s">
        <v>1003</v>
      </c>
    </row>
    <row r="709" spans="3:3" x14ac:dyDescent="0.25">
      <c r="C709" s="50" t="s">
        <v>1004</v>
      </c>
    </row>
    <row r="710" spans="3:3" x14ac:dyDescent="0.25">
      <c r="C710" s="50" t="s">
        <v>1005</v>
      </c>
    </row>
    <row r="711" spans="3:3" x14ac:dyDescent="0.25">
      <c r="C711" s="50" t="s">
        <v>1006</v>
      </c>
    </row>
    <row r="712" spans="3:3" x14ac:dyDescent="0.25">
      <c r="C712" s="50" t="s">
        <v>1007</v>
      </c>
    </row>
    <row r="713" spans="3:3" x14ac:dyDescent="0.25">
      <c r="C713" s="50" t="s">
        <v>1008</v>
      </c>
    </row>
    <row r="714" spans="3:3" x14ac:dyDescent="0.25">
      <c r="C714" s="50" t="s">
        <v>1009</v>
      </c>
    </row>
    <row r="715" spans="3:3" x14ac:dyDescent="0.25">
      <c r="C715" s="50" t="s">
        <v>1010</v>
      </c>
    </row>
    <row r="716" spans="3:3" x14ac:dyDescent="0.25">
      <c r="C716" s="50" t="s">
        <v>1011</v>
      </c>
    </row>
    <row r="717" spans="3:3" x14ac:dyDescent="0.25">
      <c r="C717" s="50" t="s">
        <v>1012</v>
      </c>
    </row>
    <row r="718" spans="3:3" x14ac:dyDescent="0.25">
      <c r="C718" s="50" t="s">
        <v>1013</v>
      </c>
    </row>
    <row r="719" spans="3:3" x14ac:dyDescent="0.25">
      <c r="C719" s="50" t="s">
        <v>1014</v>
      </c>
    </row>
    <row r="720" spans="3:3" x14ac:dyDescent="0.25">
      <c r="C720" s="50" t="s">
        <v>1015</v>
      </c>
    </row>
    <row r="721" spans="3:3" x14ac:dyDescent="0.25">
      <c r="C721" s="50" t="s">
        <v>1016</v>
      </c>
    </row>
    <row r="722" spans="3:3" x14ac:dyDescent="0.25">
      <c r="C722" s="50" t="s">
        <v>1017</v>
      </c>
    </row>
    <row r="723" spans="3:3" x14ac:dyDescent="0.25">
      <c r="C723" s="50" t="s">
        <v>1018</v>
      </c>
    </row>
    <row r="724" spans="3:3" x14ac:dyDescent="0.25">
      <c r="C724" s="50" t="s">
        <v>1019</v>
      </c>
    </row>
    <row r="725" spans="3:3" x14ac:dyDescent="0.25">
      <c r="C725" s="50" t="s">
        <v>1020</v>
      </c>
    </row>
    <row r="726" spans="3:3" x14ac:dyDescent="0.25">
      <c r="C726" s="50" t="s">
        <v>1021</v>
      </c>
    </row>
    <row r="727" spans="3:3" x14ac:dyDescent="0.25">
      <c r="C727" s="50" t="s">
        <v>1022</v>
      </c>
    </row>
    <row r="728" spans="3:3" x14ac:dyDescent="0.25">
      <c r="C728" s="50" t="s">
        <v>1023</v>
      </c>
    </row>
    <row r="729" spans="3:3" x14ac:dyDescent="0.25">
      <c r="C729" s="50" t="s">
        <v>1024</v>
      </c>
    </row>
    <row r="730" spans="3:3" x14ac:dyDescent="0.25">
      <c r="C730" s="50" t="s">
        <v>1025</v>
      </c>
    </row>
    <row r="731" spans="3:3" x14ac:dyDescent="0.25">
      <c r="C731" s="50" t="s">
        <v>1026</v>
      </c>
    </row>
    <row r="732" spans="3:3" x14ac:dyDescent="0.25">
      <c r="C732" s="50" t="s">
        <v>1027</v>
      </c>
    </row>
    <row r="733" spans="3:3" x14ac:dyDescent="0.25">
      <c r="C733" s="50" t="s">
        <v>1028</v>
      </c>
    </row>
    <row r="734" spans="3:3" x14ac:dyDescent="0.25">
      <c r="C734" s="50" t="s">
        <v>1029</v>
      </c>
    </row>
    <row r="735" spans="3:3" x14ac:dyDescent="0.25">
      <c r="C735" s="50" t="s">
        <v>1030</v>
      </c>
    </row>
    <row r="736" spans="3:3" x14ac:dyDescent="0.25">
      <c r="C736" s="50" t="s">
        <v>1031</v>
      </c>
    </row>
    <row r="737" spans="3:3" x14ac:dyDescent="0.25">
      <c r="C737" s="50" t="s">
        <v>1032</v>
      </c>
    </row>
    <row r="738" spans="3:3" x14ac:dyDescent="0.25">
      <c r="C738" s="50" t="s">
        <v>1033</v>
      </c>
    </row>
    <row r="739" spans="3:3" x14ac:dyDescent="0.25">
      <c r="C739" s="50" t="s">
        <v>1034</v>
      </c>
    </row>
    <row r="740" spans="3:3" x14ac:dyDescent="0.25">
      <c r="C740" s="50" t="s">
        <v>1035</v>
      </c>
    </row>
    <row r="741" spans="3:3" x14ac:dyDescent="0.25">
      <c r="C741" s="50" t="s">
        <v>1036</v>
      </c>
    </row>
    <row r="742" spans="3:3" x14ac:dyDescent="0.25">
      <c r="C742" s="50" t="s">
        <v>1037</v>
      </c>
    </row>
    <row r="743" spans="3:3" x14ac:dyDescent="0.25">
      <c r="C743" s="50" t="s">
        <v>1038</v>
      </c>
    </row>
    <row r="744" spans="3:3" x14ac:dyDescent="0.25">
      <c r="C744" s="50" t="s">
        <v>1039</v>
      </c>
    </row>
    <row r="745" spans="3:3" x14ac:dyDescent="0.25">
      <c r="C745" s="50" t="s">
        <v>1040</v>
      </c>
    </row>
    <row r="746" spans="3:3" x14ac:dyDescent="0.25">
      <c r="C746" s="50" t="s">
        <v>1041</v>
      </c>
    </row>
    <row r="747" spans="3:3" x14ac:dyDescent="0.25">
      <c r="C747" s="50" t="s">
        <v>1042</v>
      </c>
    </row>
    <row r="748" spans="3:3" x14ac:dyDescent="0.25">
      <c r="C748" s="50" t="s">
        <v>1043</v>
      </c>
    </row>
    <row r="749" spans="3:3" x14ac:dyDescent="0.25">
      <c r="C749" s="50" t="s">
        <v>1044</v>
      </c>
    </row>
    <row r="750" spans="3:3" x14ac:dyDescent="0.25">
      <c r="C750" s="50" t="s">
        <v>1045</v>
      </c>
    </row>
    <row r="751" spans="3:3" x14ac:dyDescent="0.25">
      <c r="C751" s="50" t="s">
        <v>1046</v>
      </c>
    </row>
    <row r="752" spans="3:3" x14ac:dyDescent="0.25">
      <c r="C752" s="50" t="s">
        <v>1047</v>
      </c>
    </row>
    <row r="753" spans="3:3" x14ac:dyDescent="0.25">
      <c r="C753" s="50" t="s">
        <v>1048</v>
      </c>
    </row>
    <row r="754" spans="3:3" x14ac:dyDescent="0.25">
      <c r="C754" s="50" t="s">
        <v>1049</v>
      </c>
    </row>
    <row r="755" spans="3:3" x14ac:dyDescent="0.25">
      <c r="C755" s="50" t="s">
        <v>1050</v>
      </c>
    </row>
    <row r="756" spans="3:3" x14ac:dyDescent="0.25">
      <c r="C756" s="50" t="s">
        <v>1051</v>
      </c>
    </row>
    <row r="757" spans="3:3" x14ac:dyDescent="0.25">
      <c r="C757" s="50" t="s">
        <v>1052</v>
      </c>
    </row>
    <row r="758" spans="3:3" x14ac:dyDescent="0.25">
      <c r="C758" s="50" t="s">
        <v>1053</v>
      </c>
    </row>
    <row r="759" spans="3:3" x14ac:dyDescent="0.25">
      <c r="C759" s="50" t="s">
        <v>1054</v>
      </c>
    </row>
    <row r="760" spans="3:3" x14ac:dyDescent="0.25">
      <c r="C760" s="50" t="s">
        <v>1055</v>
      </c>
    </row>
    <row r="761" spans="3:3" x14ac:dyDescent="0.25">
      <c r="C761" s="50" t="s">
        <v>1056</v>
      </c>
    </row>
    <row r="762" spans="3:3" x14ac:dyDescent="0.25">
      <c r="C762" s="50" t="s">
        <v>1057</v>
      </c>
    </row>
    <row r="763" spans="3:3" x14ac:dyDescent="0.25">
      <c r="C763" s="50" t="s">
        <v>1058</v>
      </c>
    </row>
    <row r="764" spans="3:3" x14ac:dyDescent="0.25">
      <c r="C764" s="50" t="s">
        <v>1059</v>
      </c>
    </row>
    <row r="765" spans="3:3" x14ac:dyDescent="0.25">
      <c r="C765" s="50" t="s">
        <v>1060</v>
      </c>
    </row>
    <row r="766" spans="3:3" x14ac:dyDescent="0.25">
      <c r="C766" s="50" t="s">
        <v>1061</v>
      </c>
    </row>
    <row r="767" spans="3:3" x14ac:dyDescent="0.25">
      <c r="C767" s="50" t="s">
        <v>1062</v>
      </c>
    </row>
    <row r="768" spans="3:3" x14ac:dyDescent="0.25">
      <c r="C768" s="50" t="s">
        <v>1063</v>
      </c>
    </row>
    <row r="769" spans="3:3" x14ac:dyDescent="0.25">
      <c r="C769" s="50" t="s">
        <v>1064</v>
      </c>
    </row>
    <row r="770" spans="3:3" x14ac:dyDescent="0.25">
      <c r="C770" s="50" t="s">
        <v>1065</v>
      </c>
    </row>
    <row r="771" spans="3:3" x14ac:dyDescent="0.25">
      <c r="C771" s="50" t="s">
        <v>1066</v>
      </c>
    </row>
    <row r="772" spans="3:3" x14ac:dyDescent="0.25">
      <c r="C772" s="50" t="s">
        <v>1067</v>
      </c>
    </row>
    <row r="773" spans="3:3" x14ac:dyDescent="0.25">
      <c r="C773" s="50" t="s">
        <v>1068</v>
      </c>
    </row>
    <row r="774" spans="3:3" x14ac:dyDescent="0.25">
      <c r="C774" s="50" t="s">
        <v>1069</v>
      </c>
    </row>
    <row r="775" spans="3:3" x14ac:dyDescent="0.25">
      <c r="C775" s="50" t="s">
        <v>1070</v>
      </c>
    </row>
    <row r="776" spans="3:3" x14ac:dyDescent="0.25">
      <c r="C776" s="50" t="s">
        <v>1071</v>
      </c>
    </row>
    <row r="777" spans="3:3" x14ac:dyDescent="0.25">
      <c r="C777" s="50" t="s">
        <v>1072</v>
      </c>
    </row>
    <row r="778" spans="3:3" x14ac:dyDescent="0.25">
      <c r="C778" s="50" t="s">
        <v>1073</v>
      </c>
    </row>
    <row r="779" spans="3:3" x14ac:dyDescent="0.25">
      <c r="C779" s="50" t="s">
        <v>1074</v>
      </c>
    </row>
    <row r="780" spans="3:3" x14ac:dyDescent="0.25">
      <c r="C780" s="50" t="s">
        <v>1075</v>
      </c>
    </row>
    <row r="781" spans="3:3" x14ac:dyDescent="0.25">
      <c r="C781" s="50" t="s">
        <v>1076</v>
      </c>
    </row>
    <row r="782" spans="3:3" x14ac:dyDescent="0.25">
      <c r="C782" s="50" t="s">
        <v>1077</v>
      </c>
    </row>
    <row r="783" spans="3:3" x14ac:dyDescent="0.25">
      <c r="C783" s="50" t="s">
        <v>1078</v>
      </c>
    </row>
    <row r="784" spans="3:3" x14ac:dyDescent="0.25">
      <c r="C784" s="50" t="s">
        <v>1079</v>
      </c>
    </row>
    <row r="785" spans="3:3" x14ac:dyDescent="0.25">
      <c r="C785" s="50" t="s">
        <v>1080</v>
      </c>
    </row>
    <row r="786" spans="3:3" x14ac:dyDescent="0.25">
      <c r="C786" s="50" t="s">
        <v>1081</v>
      </c>
    </row>
    <row r="787" spans="3:3" x14ac:dyDescent="0.25">
      <c r="C787" s="50" t="s">
        <v>1082</v>
      </c>
    </row>
    <row r="788" spans="3:3" x14ac:dyDescent="0.25">
      <c r="C788" s="50" t="s">
        <v>1083</v>
      </c>
    </row>
    <row r="789" spans="3:3" x14ac:dyDescent="0.25">
      <c r="C789" s="50" t="s">
        <v>1084</v>
      </c>
    </row>
    <row r="790" spans="3:3" x14ac:dyDescent="0.25">
      <c r="C790" s="50" t="s">
        <v>1085</v>
      </c>
    </row>
    <row r="791" spans="3:3" x14ac:dyDescent="0.25">
      <c r="C791" s="50" t="s">
        <v>1086</v>
      </c>
    </row>
    <row r="792" spans="3:3" x14ac:dyDescent="0.25">
      <c r="C792" s="50" t="s">
        <v>1087</v>
      </c>
    </row>
    <row r="793" spans="3:3" x14ac:dyDescent="0.25">
      <c r="C793" s="50" t="s">
        <v>1088</v>
      </c>
    </row>
    <row r="794" spans="3:3" x14ac:dyDescent="0.25">
      <c r="C794" s="50" t="s">
        <v>1089</v>
      </c>
    </row>
    <row r="795" spans="3:3" x14ac:dyDescent="0.25">
      <c r="C795" s="50" t="s">
        <v>1090</v>
      </c>
    </row>
    <row r="796" spans="3:3" x14ac:dyDescent="0.25">
      <c r="C796" s="50" t="s">
        <v>1091</v>
      </c>
    </row>
    <row r="797" spans="3:3" x14ac:dyDescent="0.25">
      <c r="C797" s="50" t="s">
        <v>1092</v>
      </c>
    </row>
    <row r="798" spans="3:3" x14ac:dyDescent="0.25">
      <c r="C798" s="50" t="s">
        <v>1093</v>
      </c>
    </row>
    <row r="799" spans="3:3" x14ac:dyDescent="0.25">
      <c r="C799" s="50" t="s">
        <v>1094</v>
      </c>
    </row>
    <row r="800" spans="3:3" x14ac:dyDescent="0.25">
      <c r="C800" s="50" t="s">
        <v>1095</v>
      </c>
    </row>
    <row r="801" spans="3:3" x14ac:dyDescent="0.25">
      <c r="C801" s="50" t="s">
        <v>1096</v>
      </c>
    </row>
    <row r="802" spans="3:3" x14ac:dyDescent="0.25">
      <c r="C802" s="50" t="s">
        <v>1097</v>
      </c>
    </row>
    <row r="803" spans="3:3" x14ac:dyDescent="0.25">
      <c r="C803" s="50" t="s">
        <v>1098</v>
      </c>
    </row>
    <row r="804" spans="3:3" x14ac:dyDescent="0.25">
      <c r="C804" s="50" t="s">
        <v>1099</v>
      </c>
    </row>
    <row r="805" spans="3:3" x14ac:dyDescent="0.25">
      <c r="C805" s="50" t="s">
        <v>1100</v>
      </c>
    </row>
    <row r="806" spans="3:3" x14ac:dyDescent="0.25">
      <c r="C806" s="50" t="s">
        <v>1101</v>
      </c>
    </row>
    <row r="807" spans="3:3" x14ac:dyDescent="0.25">
      <c r="C807" s="50" t="s">
        <v>1102</v>
      </c>
    </row>
    <row r="808" spans="3:3" x14ac:dyDescent="0.25">
      <c r="C808" s="50" t="s">
        <v>1103</v>
      </c>
    </row>
    <row r="809" spans="3:3" x14ac:dyDescent="0.25">
      <c r="C809" s="50" t="s">
        <v>1104</v>
      </c>
    </row>
    <row r="810" spans="3:3" x14ac:dyDescent="0.25">
      <c r="C810" s="50" t="s">
        <v>1105</v>
      </c>
    </row>
    <row r="811" spans="3:3" x14ac:dyDescent="0.25">
      <c r="C811" s="50" t="s">
        <v>1106</v>
      </c>
    </row>
    <row r="812" spans="3:3" x14ac:dyDescent="0.25">
      <c r="C812" s="50" t="s">
        <v>1107</v>
      </c>
    </row>
    <row r="813" spans="3:3" x14ac:dyDescent="0.25">
      <c r="C813" s="50" t="s">
        <v>1108</v>
      </c>
    </row>
    <row r="814" spans="3:3" x14ac:dyDescent="0.25">
      <c r="C814" s="50" t="s">
        <v>1109</v>
      </c>
    </row>
    <row r="815" spans="3:3" x14ac:dyDescent="0.25">
      <c r="C815" s="50" t="s">
        <v>1110</v>
      </c>
    </row>
    <row r="816" spans="3:3" x14ac:dyDescent="0.25">
      <c r="C816" s="50" t="s">
        <v>1111</v>
      </c>
    </row>
    <row r="817" spans="3:3" x14ac:dyDescent="0.25">
      <c r="C817" s="50" t="s">
        <v>1112</v>
      </c>
    </row>
    <row r="818" spans="3:3" x14ac:dyDescent="0.25">
      <c r="C818" s="50" t="s">
        <v>1113</v>
      </c>
    </row>
    <row r="819" spans="3:3" x14ac:dyDescent="0.25">
      <c r="C819" s="50" t="s">
        <v>1114</v>
      </c>
    </row>
    <row r="820" spans="3:3" x14ac:dyDescent="0.25">
      <c r="C820" s="50" t="s">
        <v>1115</v>
      </c>
    </row>
    <row r="821" spans="3:3" x14ac:dyDescent="0.25">
      <c r="C821" s="50" t="s">
        <v>1116</v>
      </c>
    </row>
    <row r="822" spans="3:3" x14ac:dyDescent="0.25">
      <c r="C822" s="50" t="s">
        <v>1117</v>
      </c>
    </row>
    <row r="823" spans="3:3" x14ac:dyDescent="0.25">
      <c r="C823" s="50" t="s">
        <v>1118</v>
      </c>
    </row>
    <row r="824" spans="3:3" x14ac:dyDescent="0.25">
      <c r="C824" s="50" t="s">
        <v>1119</v>
      </c>
    </row>
    <row r="825" spans="3:3" x14ac:dyDescent="0.25">
      <c r="C825" s="50" t="s">
        <v>1120</v>
      </c>
    </row>
    <row r="826" spans="3:3" x14ac:dyDescent="0.25">
      <c r="C826" s="50" t="s">
        <v>1121</v>
      </c>
    </row>
    <row r="827" spans="3:3" x14ac:dyDescent="0.25">
      <c r="C827" s="50" t="s">
        <v>1122</v>
      </c>
    </row>
    <row r="828" spans="3:3" x14ac:dyDescent="0.25">
      <c r="C828" s="50" t="s">
        <v>1123</v>
      </c>
    </row>
    <row r="829" spans="3:3" x14ac:dyDescent="0.25">
      <c r="C829" s="50" t="s">
        <v>1124</v>
      </c>
    </row>
    <row r="830" spans="3:3" x14ac:dyDescent="0.25">
      <c r="C830" s="50" t="s">
        <v>1125</v>
      </c>
    </row>
    <row r="831" spans="3:3" x14ac:dyDescent="0.25">
      <c r="C831" s="50" t="s">
        <v>1126</v>
      </c>
    </row>
    <row r="832" spans="3:3" x14ac:dyDescent="0.25">
      <c r="C832" s="50" t="s">
        <v>1127</v>
      </c>
    </row>
    <row r="833" spans="3:3" x14ac:dyDescent="0.25">
      <c r="C833" s="50" t="s">
        <v>1128</v>
      </c>
    </row>
    <row r="834" spans="3:3" x14ac:dyDescent="0.25">
      <c r="C834" s="50" t="s">
        <v>1129</v>
      </c>
    </row>
    <row r="835" spans="3:3" x14ac:dyDescent="0.25">
      <c r="C835" s="50" t="s">
        <v>1130</v>
      </c>
    </row>
    <row r="836" spans="3:3" x14ac:dyDescent="0.25">
      <c r="C836" s="50" t="s">
        <v>1131</v>
      </c>
    </row>
    <row r="837" spans="3:3" x14ac:dyDescent="0.25">
      <c r="C837" s="50" t="s">
        <v>1132</v>
      </c>
    </row>
    <row r="838" spans="3:3" x14ac:dyDescent="0.25">
      <c r="C838" s="50" t="s">
        <v>1133</v>
      </c>
    </row>
    <row r="839" spans="3:3" x14ac:dyDescent="0.25">
      <c r="C839" s="50" t="s">
        <v>1134</v>
      </c>
    </row>
    <row r="840" spans="3:3" x14ac:dyDescent="0.25">
      <c r="C840" s="50" t="s">
        <v>1135</v>
      </c>
    </row>
    <row r="841" spans="3:3" x14ac:dyDescent="0.25">
      <c r="C841" s="50" t="s">
        <v>1136</v>
      </c>
    </row>
    <row r="842" spans="3:3" x14ac:dyDescent="0.25">
      <c r="C842" s="50" t="s">
        <v>1137</v>
      </c>
    </row>
    <row r="843" spans="3:3" x14ac:dyDescent="0.25">
      <c r="C843" s="50" t="s">
        <v>1138</v>
      </c>
    </row>
    <row r="844" spans="3:3" x14ac:dyDescent="0.25">
      <c r="C844" s="50" t="s">
        <v>1139</v>
      </c>
    </row>
    <row r="845" spans="3:3" x14ac:dyDescent="0.25">
      <c r="C845" s="50" t="s">
        <v>1140</v>
      </c>
    </row>
    <row r="846" spans="3:3" x14ac:dyDescent="0.25">
      <c r="C846" s="50" t="s">
        <v>1141</v>
      </c>
    </row>
    <row r="847" spans="3:3" x14ac:dyDescent="0.25">
      <c r="C847" s="50" t="s">
        <v>1142</v>
      </c>
    </row>
    <row r="848" spans="3:3" x14ac:dyDescent="0.25">
      <c r="C848" s="50" t="s">
        <v>1143</v>
      </c>
    </row>
    <row r="849" spans="3:3" x14ac:dyDescent="0.25">
      <c r="C849" s="50" t="s">
        <v>1144</v>
      </c>
    </row>
    <row r="850" spans="3:3" x14ac:dyDescent="0.25">
      <c r="C850" s="50" t="s">
        <v>1145</v>
      </c>
    </row>
    <row r="851" spans="3:3" x14ac:dyDescent="0.25">
      <c r="C851" s="50" t="s">
        <v>1146</v>
      </c>
    </row>
    <row r="852" spans="3:3" x14ac:dyDescent="0.25">
      <c r="C852" s="50" t="s">
        <v>1147</v>
      </c>
    </row>
    <row r="853" spans="3:3" x14ac:dyDescent="0.25">
      <c r="C853" s="50" t="s">
        <v>1148</v>
      </c>
    </row>
    <row r="854" spans="3:3" x14ac:dyDescent="0.25">
      <c r="C854" s="50" t="s">
        <v>1149</v>
      </c>
    </row>
    <row r="855" spans="3:3" x14ac:dyDescent="0.25">
      <c r="C855" s="50" t="s">
        <v>1150</v>
      </c>
    </row>
    <row r="856" spans="3:3" x14ac:dyDescent="0.25">
      <c r="C856" s="50" t="s">
        <v>1151</v>
      </c>
    </row>
    <row r="857" spans="3:3" x14ac:dyDescent="0.25">
      <c r="C857" s="50" t="s">
        <v>1152</v>
      </c>
    </row>
    <row r="858" spans="3:3" x14ac:dyDescent="0.25">
      <c r="C858" s="50" t="s">
        <v>1153</v>
      </c>
    </row>
    <row r="859" spans="3:3" x14ac:dyDescent="0.25">
      <c r="C859" s="50" t="s">
        <v>1154</v>
      </c>
    </row>
    <row r="860" spans="3:3" x14ac:dyDescent="0.25">
      <c r="C860" s="50" t="s">
        <v>1155</v>
      </c>
    </row>
    <row r="861" spans="3:3" x14ac:dyDescent="0.25">
      <c r="C861" s="50" t="s">
        <v>1156</v>
      </c>
    </row>
    <row r="862" spans="3:3" x14ac:dyDescent="0.25">
      <c r="C862" s="50" t="s">
        <v>1157</v>
      </c>
    </row>
    <row r="863" spans="3:3" x14ac:dyDescent="0.25">
      <c r="C863" s="50" t="s">
        <v>1158</v>
      </c>
    </row>
    <row r="864" spans="3:3" x14ac:dyDescent="0.25">
      <c r="C864" s="50" t="s">
        <v>1159</v>
      </c>
    </row>
    <row r="865" spans="3:3" x14ac:dyDescent="0.25">
      <c r="C865" s="50" t="s">
        <v>1160</v>
      </c>
    </row>
    <row r="866" spans="3:3" x14ac:dyDescent="0.25">
      <c r="C866" s="50" t="s">
        <v>1161</v>
      </c>
    </row>
    <row r="867" spans="3:3" x14ac:dyDescent="0.25">
      <c r="C867" s="50" t="s">
        <v>1162</v>
      </c>
    </row>
    <row r="868" spans="3:3" x14ac:dyDescent="0.25">
      <c r="C868" s="50" t="s">
        <v>1163</v>
      </c>
    </row>
    <row r="869" spans="3:3" x14ac:dyDescent="0.25">
      <c r="C869" s="50" t="s">
        <v>1164</v>
      </c>
    </row>
    <row r="870" spans="3:3" x14ac:dyDescent="0.25">
      <c r="C870" s="50" t="s">
        <v>1165</v>
      </c>
    </row>
    <row r="871" spans="3:3" x14ac:dyDescent="0.25">
      <c r="C871" s="50" t="s">
        <v>1166</v>
      </c>
    </row>
    <row r="872" spans="3:3" x14ac:dyDescent="0.25">
      <c r="C872" s="50" t="s">
        <v>1167</v>
      </c>
    </row>
    <row r="873" spans="3:3" x14ac:dyDescent="0.25">
      <c r="C873" s="50" t="s">
        <v>1168</v>
      </c>
    </row>
    <row r="874" spans="3:3" x14ac:dyDescent="0.25">
      <c r="C874" s="50" t="s">
        <v>1169</v>
      </c>
    </row>
    <row r="875" spans="3:3" x14ac:dyDescent="0.25">
      <c r="C875" s="50" t="s">
        <v>1170</v>
      </c>
    </row>
    <row r="876" spans="3:3" x14ac:dyDescent="0.25">
      <c r="C876" s="50" t="s">
        <v>1171</v>
      </c>
    </row>
    <row r="877" spans="3:3" x14ac:dyDescent="0.25">
      <c r="C877" s="50" t="s">
        <v>1172</v>
      </c>
    </row>
    <row r="878" spans="3:3" x14ac:dyDescent="0.25">
      <c r="C878" s="50" t="s">
        <v>1173</v>
      </c>
    </row>
    <row r="879" spans="3:3" x14ac:dyDescent="0.25">
      <c r="C879" s="50" t="s">
        <v>1174</v>
      </c>
    </row>
    <row r="880" spans="3:3" x14ac:dyDescent="0.25">
      <c r="C880" s="50" t="s">
        <v>1175</v>
      </c>
    </row>
    <row r="881" spans="3:3" x14ac:dyDescent="0.25">
      <c r="C881" s="50" t="s">
        <v>1176</v>
      </c>
    </row>
    <row r="882" spans="3:3" x14ac:dyDescent="0.25">
      <c r="C882" s="50" t="s">
        <v>1177</v>
      </c>
    </row>
    <row r="883" spans="3:3" x14ac:dyDescent="0.25">
      <c r="C883" s="50" t="s">
        <v>1178</v>
      </c>
    </row>
    <row r="884" spans="3:3" x14ac:dyDescent="0.25">
      <c r="C884" s="50" t="s">
        <v>1179</v>
      </c>
    </row>
    <row r="885" spans="3:3" x14ac:dyDescent="0.25">
      <c r="C885" s="50" t="s">
        <v>1180</v>
      </c>
    </row>
    <row r="886" spans="3:3" x14ac:dyDescent="0.25">
      <c r="C886" s="50" t="s">
        <v>1181</v>
      </c>
    </row>
    <row r="887" spans="3:3" x14ac:dyDescent="0.25">
      <c r="C887" s="50" t="s">
        <v>1182</v>
      </c>
    </row>
    <row r="888" spans="3:3" x14ac:dyDescent="0.25">
      <c r="C888" s="50" t="s">
        <v>1183</v>
      </c>
    </row>
    <row r="889" spans="3:3" x14ac:dyDescent="0.25">
      <c r="C889" s="50" t="s">
        <v>1184</v>
      </c>
    </row>
    <row r="890" spans="3:3" x14ac:dyDescent="0.25">
      <c r="C890" s="50" t="s">
        <v>1185</v>
      </c>
    </row>
    <row r="891" spans="3:3" x14ac:dyDescent="0.25">
      <c r="C891" s="50" t="s">
        <v>1186</v>
      </c>
    </row>
    <row r="892" spans="3:3" x14ac:dyDescent="0.25">
      <c r="C892" s="50" t="s">
        <v>1187</v>
      </c>
    </row>
    <row r="893" spans="3:3" x14ac:dyDescent="0.25">
      <c r="C893" s="50" t="s">
        <v>1188</v>
      </c>
    </row>
    <row r="894" spans="3:3" x14ac:dyDescent="0.25">
      <c r="C894" s="50" t="s">
        <v>1189</v>
      </c>
    </row>
    <row r="895" spans="3:3" x14ac:dyDescent="0.25">
      <c r="C895" s="50" t="s">
        <v>1190</v>
      </c>
    </row>
    <row r="896" spans="3:3" x14ac:dyDescent="0.25">
      <c r="C896" s="50" t="s">
        <v>1191</v>
      </c>
    </row>
    <row r="897" spans="3:3" x14ac:dyDescent="0.25">
      <c r="C897" s="50" t="s">
        <v>1192</v>
      </c>
    </row>
    <row r="898" spans="3:3" x14ac:dyDescent="0.25">
      <c r="C898" s="50" t="s">
        <v>1193</v>
      </c>
    </row>
    <row r="899" spans="3:3" x14ac:dyDescent="0.25">
      <c r="C899" s="50" t="s">
        <v>1194</v>
      </c>
    </row>
    <row r="900" spans="3:3" x14ac:dyDescent="0.25">
      <c r="C900" s="50" t="s">
        <v>1195</v>
      </c>
    </row>
    <row r="901" spans="3:3" x14ac:dyDescent="0.25">
      <c r="C901" s="50" t="s">
        <v>1196</v>
      </c>
    </row>
    <row r="902" spans="3:3" x14ac:dyDescent="0.25">
      <c r="C902" s="50" t="s">
        <v>1197</v>
      </c>
    </row>
    <row r="903" spans="3:3" x14ac:dyDescent="0.25">
      <c r="C903" s="50" t="s">
        <v>1198</v>
      </c>
    </row>
    <row r="904" spans="3:3" x14ac:dyDescent="0.25">
      <c r="C904" s="50" t="s">
        <v>1199</v>
      </c>
    </row>
    <row r="905" spans="3:3" x14ac:dyDescent="0.25">
      <c r="C905" s="50" t="s">
        <v>1200</v>
      </c>
    </row>
    <row r="906" spans="3:3" x14ac:dyDescent="0.25">
      <c r="C906" s="50" t="s">
        <v>1201</v>
      </c>
    </row>
    <row r="907" spans="3:3" x14ac:dyDescent="0.25">
      <c r="C907" s="50" t="s">
        <v>1202</v>
      </c>
    </row>
    <row r="908" spans="3:3" x14ac:dyDescent="0.25">
      <c r="C908" s="50" t="s">
        <v>1203</v>
      </c>
    </row>
    <row r="909" spans="3:3" x14ac:dyDescent="0.25">
      <c r="C909" s="50" t="s">
        <v>1204</v>
      </c>
    </row>
    <row r="910" spans="3:3" x14ac:dyDescent="0.25">
      <c r="C910" s="50" t="s">
        <v>1205</v>
      </c>
    </row>
    <row r="911" spans="3:3" x14ac:dyDescent="0.25">
      <c r="C911" s="50" t="s">
        <v>1206</v>
      </c>
    </row>
    <row r="912" spans="3:3" x14ac:dyDescent="0.25">
      <c r="C912" s="50" t="s">
        <v>1207</v>
      </c>
    </row>
    <row r="913" spans="3:3" x14ac:dyDescent="0.25">
      <c r="C913" s="50" t="s">
        <v>1208</v>
      </c>
    </row>
    <row r="914" spans="3:3" x14ac:dyDescent="0.25">
      <c r="C914" s="50" t="s">
        <v>1209</v>
      </c>
    </row>
    <row r="915" spans="3:3" x14ac:dyDescent="0.25">
      <c r="C915" s="50" t="s">
        <v>1210</v>
      </c>
    </row>
    <row r="916" spans="3:3" x14ac:dyDescent="0.25">
      <c r="C916" s="50" t="s">
        <v>1211</v>
      </c>
    </row>
    <row r="917" spans="3:3" x14ac:dyDescent="0.25">
      <c r="C917" s="50" t="s">
        <v>1212</v>
      </c>
    </row>
    <row r="918" spans="3:3" x14ac:dyDescent="0.25">
      <c r="C918" s="50" t="s">
        <v>1213</v>
      </c>
    </row>
    <row r="919" spans="3:3" x14ac:dyDescent="0.25">
      <c r="C919" s="50" t="s">
        <v>1214</v>
      </c>
    </row>
    <row r="920" spans="3:3" x14ac:dyDescent="0.25">
      <c r="C920" s="50" t="s">
        <v>1215</v>
      </c>
    </row>
    <row r="921" spans="3:3" x14ac:dyDescent="0.25">
      <c r="C921" s="50" t="s">
        <v>1216</v>
      </c>
    </row>
    <row r="922" spans="3:3" x14ac:dyDescent="0.25">
      <c r="C922" s="50" t="s">
        <v>1217</v>
      </c>
    </row>
    <row r="923" spans="3:3" x14ac:dyDescent="0.25">
      <c r="C923" s="50" t="s">
        <v>1218</v>
      </c>
    </row>
    <row r="924" spans="3:3" x14ac:dyDescent="0.25">
      <c r="C924" s="50" t="s">
        <v>1219</v>
      </c>
    </row>
    <row r="925" spans="3:3" x14ac:dyDescent="0.25">
      <c r="C925" s="50" t="s">
        <v>1220</v>
      </c>
    </row>
    <row r="926" spans="3:3" x14ac:dyDescent="0.25">
      <c r="C926" s="50" t="s">
        <v>1221</v>
      </c>
    </row>
    <row r="927" spans="3:3" x14ac:dyDescent="0.25">
      <c r="C927" s="50" t="s">
        <v>1222</v>
      </c>
    </row>
    <row r="928" spans="3:3" x14ac:dyDescent="0.25">
      <c r="C928" s="50" t="s">
        <v>1223</v>
      </c>
    </row>
    <row r="929" spans="3:3" x14ac:dyDescent="0.25">
      <c r="C929" s="50" t="s">
        <v>1224</v>
      </c>
    </row>
    <row r="930" spans="3:3" x14ac:dyDescent="0.25">
      <c r="C930" s="50" t="s">
        <v>1225</v>
      </c>
    </row>
    <row r="931" spans="3:3" x14ac:dyDescent="0.25">
      <c r="C931" s="50" t="s">
        <v>1226</v>
      </c>
    </row>
    <row r="932" spans="3:3" x14ac:dyDescent="0.25">
      <c r="C932" s="50" t="s">
        <v>1227</v>
      </c>
    </row>
    <row r="933" spans="3:3" x14ac:dyDescent="0.25">
      <c r="C933" s="50" t="s">
        <v>1228</v>
      </c>
    </row>
    <row r="934" spans="3:3" x14ac:dyDescent="0.25">
      <c r="C934" s="50" t="s">
        <v>1229</v>
      </c>
    </row>
    <row r="935" spans="3:3" x14ac:dyDescent="0.25">
      <c r="C935" s="50" t="s">
        <v>1230</v>
      </c>
    </row>
    <row r="936" spans="3:3" x14ac:dyDescent="0.25">
      <c r="C936" s="50" t="s">
        <v>1231</v>
      </c>
    </row>
    <row r="937" spans="3:3" x14ac:dyDescent="0.25">
      <c r="C937" s="50" t="s">
        <v>1232</v>
      </c>
    </row>
    <row r="938" spans="3:3" x14ac:dyDescent="0.25">
      <c r="C938" s="50" t="s">
        <v>1233</v>
      </c>
    </row>
    <row r="939" spans="3:3" x14ac:dyDescent="0.25">
      <c r="C939" s="50" t="s">
        <v>1234</v>
      </c>
    </row>
    <row r="940" spans="3:3" x14ac:dyDescent="0.25">
      <c r="C940" s="50" t="s">
        <v>1235</v>
      </c>
    </row>
    <row r="941" spans="3:3" x14ac:dyDescent="0.25">
      <c r="C941" s="50" t="s">
        <v>1236</v>
      </c>
    </row>
    <row r="942" spans="3:3" x14ac:dyDescent="0.25">
      <c r="C942" s="50" t="s">
        <v>1237</v>
      </c>
    </row>
    <row r="943" spans="3:3" x14ac:dyDescent="0.25">
      <c r="C943" s="50" t="s">
        <v>1238</v>
      </c>
    </row>
    <row r="944" spans="3:3" x14ac:dyDescent="0.25">
      <c r="C944" s="50" t="s">
        <v>1239</v>
      </c>
    </row>
    <row r="945" spans="3:3" x14ac:dyDescent="0.25">
      <c r="C945" s="50" t="s">
        <v>1240</v>
      </c>
    </row>
    <row r="946" spans="3:3" x14ac:dyDescent="0.25">
      <c r="C946" s="50" t="s">
        <v>1241</v>
      </c>
    </row>
    <row r="947" spans="3:3" x14ac:dyDescent="0.25">
      <c r="C947" s="50" t="s">
        <v>1242</v>
      </c>
    </row>
    <row r="948" spans="3:3" x14ac:dyDescent="0.25">
      <c r="C948" s="50" t="s">
        <v>1243</v>
      </c>
    </row>
    <row r="949" spans="3:3" x14ac:dyDescent="0.25">
      <c r="C949" s="50" t="s">
        <v>1244</v>
      </c>
    </row>
    <row r="950" spans="3:3" x14ac:dyDescent="0.25">
      <c r="C950" s="50" t="s">
        <v>1245</v>
      </c>
    </row>
    <row r="951" spans="3:3" x14ac:dyDescent="0.25">
      <c r="C951" s="50" t="s">
        <v>1246</v>
      </c>
    </row>
    <row r="952" spans="3:3" x14ac:dyDescent="0.25">
      <c r="C952" s="50" t="s">
        <v>1247</v>
      </c>
    </row>
    <row r="953" spans="3:3" x14ac:dyDescent="0.25">
      <c r="C953" s="50" t="s">
        <v>1248</v>
      </c>
    </row>
    <row r="954" spans="3:3" x14ac:dyDescent="0.25">
      <c r="C954" s="50" t="s">
        <v>1249</v>
      </c>
    </row>
    <row r="955" spans="3:3" x14ac:dyDescent="0.25">
      <c r="C955" s="50" t="s">
        <v>1250</v>
      </c>
    </row>
    <row r="956" spans="3:3" x14ac:dyDescent="0.25">
      <c r="C956" s="50" t="s">
        <v>1251</v>
      </c>
    </row>
    <row r="957" spans="3:3" x14ac:dyDescent="0.25">
      <c r="C957" s="50" t="s">
        <v>1252</v>
      </c>
    </row>
    <row r="958" spans="3:3" x14ac:dyDescent="0.25">
      <c r="C958" s="50" t="s">
        <v>1253</v>
      </c>
    </row>
    <row r="959" spans="3:3" x14ac:dyDescent="0.25">
      <c r="C959" s="50" t="s">
        <v>1254</v>
      </c>
    </row>
    <row r="960" spans="3:3" x14ac:dyDescent="0.25">
      <c r="C960" s="50" t="s">
        <v>1255</v>
      </c>
    </row>
    <row r="961" spans="3:3" x14ac:dyDescent="0.25">
      <c r="C961" s="50" t="s">
        <v>1256</v>
      </c>
    </row>
    <row r="962" spans="3:3" x14ac:dyDescent="0.25">
      <c r="C962" s="50" t="s">
        <v>1257</v>
      </c>
    </row>
    <row r="963" spans="3:3" x14ac:dyDescent="0.25">
      <c r="C963" s="50" t="s">
        <v>1258</v>
      </c>
    </row>
    <row r="964" spans="3:3" x14ac:dyDescent="0.25">
      <c r="C964" s="50" t="s">
        <v>1259</v>
      </c>
    </row>
    <row r="965" spans="3:3" x14ac:dyDescent="0.25">
      <c r="C965" s="50" t="s">
        <v>1260</v>
      </c>
    </row>
    <row r="966" spans="3:3" x14ac:dyDescent="0.25">
      <c r="C966" s="50" t="s">
        <v>1261</v>
      </c>
    </row>
    <row r="967" spans="3:3" x14ac:dyDescent="0.25">
      <c r="C967" s="50" t="s">
        <v>1262</v>
      </c>
    </row>
    <row r="968" spans="3:3" x14ac:dyDescent="0.25">
      <c r="C968" s="50" t="s">
        <v>1263</v>
      </c>
    </row>
    <row r="969" spans="3:3" x14ac:dyDescent="0.25">
      <c r="C969" s="50" t="s">
        <v>1264</v>
      </c>
    </row>
    <row r="970" spans="3:3" x14ac:dyDescent="0.25">
      <c r="C970" s="50" t="s">
        <v>1265</v>
      </c>
    </row>
    <row r="971" spans="3:3" x14ac:dyDescent="0.25">
      <c r="C971" s="50" t="s">
        <v>1266</v>
      </c>
    </row>
    <row r="972" spans="3:3" x14ac:dyDescent="0.25">
      <c r="C972" s="50" t="s">
        <v>1267</v>
      </c>
    </row>
    <row r="973" spans="3:3" x14ac:dyDescent="0.25">
      <c r="C973" s="50" t="s">
        <v>1268</v>
      </c>
    </row>
    <row r="974" spans="3:3" x14ac:dyDescent="0.25">
      <c r="C974" s="50" t="s">
        <v>1269</v>
      </c>
    </row>
    <row r="975" spans="3:3" x14ac:dyDescent="0.25">
      <c r="C975" s="50" t="s">
        <v>1270</v>
      </c>
    </row>
    <row r="976" spans="3:3" x14ac:dyDescent="0.25">
      <c r="C976" s="50" t="s">
        <v>1271</v>
      </c>
    </row>
    <row r="977" spans="3:3" x14ac:dyDescent="0.25">
      <c r="C977" s="50" t="s">
        <v>1272</v>
      </c>
    </row>
    <row r="978" spans="3:3" x14ac:dyDescent="0.25">
      <c r="C978" s="50" t="s">
        <v>1273</v>
      </c>
    </row>
    <row r="979" spans="3:3" x14ac:dyDescent="0.25">
      <c r="C979" s="50" t="s">
        <v>1274</v>
      </c>
    </row>
    <row r="980" spans="3:3" x14ac:dyDescent="0.25">
      <c r="C980" s="50" t="s">
        <v>1275</v>
      </c>
    </row>
    <row r="981" spans="3:3" x14ac:dyDescent="0.25">
      <c r="C981" s="50" t="s">
        <v>1276</v>
      </c>
    </row>
    <row r="982" spans="3:3" x14ac:dyDescent="0.25">
      <c r="C982" s="50" t="s">
        <v>1277</v>
      </c>
    </row>
    <row r="983" spans="3:3" x14ac:dyDescent="0.25">
      <c r="C983" s="50" t="s">
        <v>1278</v>
      </c>
    </row>
    <row r="984" spans="3:3" x14ac:dyDescent="0.25">
      <c r="C984" s="50" t="s">
        <v>1279</v>
      </c>
    </row>
    <row r="985" spans="3:3" x14ac:dyDescent="0.25">
      <c r="C985" s="50" t="s">
        <v>1280</v>
      </c>
    </row>
    <row r="986" spans="3:3" x14ac:dyDescent="0.25">
      <c r="C986" s="50" t="s">
        <v>1281</v>
      </c>
    </row>
    <row r="987" spans="3:3" x14ac:dyDescent="0.25">
      <c r="C987" s="50" t="s">
        <v>1282</v>
      </c>
    </row>
    <row r="988" spans="3:3" x14ac:dyDescent="0.25">
      <c r="C988" s="50" t="s">
        <v>1283</v>
      </c>
    </row>
    <row r="989" spans="3:3" x14ac:dyDescent="0.25">
      <c r="C989" s="50" t="s">
        <v>1284</v>
      </c>
    </row>
    <row r="990" spans="3:3" x14ac:dyDescent="0.25">
      <c r="C990" s="50" t="s">
        <v>1285</v>
      </c>
    </row>
    <row r="991" spans="3:3" x14ac:dyDescent="0.25">
      <c r="C991" s="50" t="s">
        <v>1286</v>
      </c>
    </row>
    <row r="992" spans="3:3" x14ac:dyDescent="0.25">
      <c r="C992" s="50" t="s">
        <v>1287</v>
      </c>
    </row>
    <row r="993" spans="3:3" x14ac:dyDescent="0.25">
      <c r="C993" s="50" t="s">
        <v>1288</v>
      </c>
    </row>
    <row r="994" spans="3:3" x14ac:dyDescent="0.25">
      <c r="C994" s="50" t="s">
        <v>1289</v>
      </c>
    </row>
    <row r="995" spans="3:3" x14ac:dyDescent="0.25">
      <c r="C995" s="50" t="s">
        <v>1290</v>
      </c>
    </row>
    <row r="996" spans="3:3" x14ac:dyDescent="0.25">
      <c r="C996" s="50" t="s">
        <v>1291</v>
      </c>
    </row>
    <row r="997" spans="3:3" x14ac:dyDescent="0.25">
      <c r="C997" s="50" t="s">
        <v>1292</v>
      </c>
    </row>
    <row r="998" spans="3:3" x14ac:dyDescent="0.25">
      <c r="C998" s="50" t="s">
        <v>1293</v>
      </c>
    </row>
    <row r="999" spans="3:3" x14ac:dyDescent="0.25">
      <c r="C999" s="50" t="s">
        <v>1294</v>
      </c>
    </row>
    <row r="1000" spans="3:3" x14ac:dyDescent="0.25">
      <c r="C1000" s="50" t="s">
        <v>1295</v>
      </c>
    </row>
    <row r="1001" spans="3:3" x14ac:dyDescent="0.25">
      <c r="C1001" s="50" t="s">
        <v>1296</v>
      </c>
    </row>
    <row r="1002" spans="3:3" x14ac:dyDescent="0.25">
      <c r="C1002" s="50" t="s">
        <v>1297</v>
      </c>
    </row>
    <row r="1003" spans="3:3" x14ac:dyDescent="0.25">
      <c r="C1003" s="50" t="s">
        <v>1298</v>
      </c>
    </row>
    <row r="1004" spans="3:3" x14ac:dyDescent="0.25">
      <c r="C1004" s="50" t="s">
        <v>1299</v>
      </c>
    </row>
    <row r="1005" spans="3:3" x14ac:dyDescent="0.25">
      <c r="C1005" s="50" t="s">
        <v>1300</v>
      </c>
    </row>
    <row r="1006" spans="3:3" x14ac:dyDescent="0.25">
      <c r="C1006" s="50" t="s">
        <v>1301</v>
      </c>
    </row>
    <row r="1007" spans="3:3" x14ac:dyDescent="0.25">
      <c r="C1007" s="50" t="s">
        <v>1302</v>
      </c>
    </row>
    <row r="1008" spans="3:3" x14ac:dyDescent="0.25">
      <c r="C1008" s="50" t="s">
        <v>1303</v>
      </c>
    </row>
    <row r="1009" spans="3:3" x14ac:dyDescent="0.25">
      <c r="C1009" s="50" t="s">
        <v>1304</v>
      </c>
    </row>
    <row r="1010" spans="3:3" x14ac:dyDescent="0.25">
      <c r="C1010" s="50" t="s">
        <v>1305</v>
      </c>
    </row>
    <row r="1011" spans="3:3" x14ac:dyDescent="0.25">
      <c r="C1011" s="50" t="s">
        <v>1306</v>
      </c>
    </row>
    <row r="1012" spans="3:3" x14ac:dyDescent="0.25">
      <c r="C1012" s="50" t="s">
        <v>1307</v>
      </c>
    </row>
    <row r="1013" spans="3:3" x14ac:dyDescent="0.25">
      <c r="C1013" s="50" t="s">
        <v>1308</v>
      </c>
    </row>
    <row r="1014" spans="3:3" x14ac:dyDescent="0.25">
      <c r="C1014" s="50" t="s">
        <v>1309</v>
      </c>
    </row>
    <row r="1015" spans="3:3" x14ac:dyDescent="0.25">
      <c r="C1015" s="50" t="s">
        <v>1310</v>
      </c>
    </row>
    <row r="1016" spans="3:3" x14ac:dyDescent="0.25">
      <c r="C1016" s="50" t="s">
        <v>1311</v>
      </c>
    </row>
    <row r="1017" spans="3:3" x14ac:dyDescent="0.25">
      <c r="C1017" s="50" t="s">
        <v>1312</v>
      </c>
    </row>
    <row r="1018" spans="3:3" x14ac:dyDescent="0.25">
      <c r="C1018" s="50" t="s">
        <v>1313</v>
      </c>
    </row>
    <row r="1019" spans="3:3" x14ac:dyDescent="0.25">
      <c r="C1019" s="50" t="s">
        <v>1314</v>
      </c>
    </row>
    <row r="1020" spans="3:3" x14ac:dyDescent="0.25">
      <c r="C1020" s="50" t="s">
        <v>1315</v>
      </c>
    </row>
    <row r="1021" spans="3:3" x14ac:dyDescent="0.25">
      <c r="C1021" s="50" t="s">
        <v>1316</v>
      </c>
    </row>
    <row r="1022" spans="3:3" x14ac:dyDescent="0.25">
      <c r="C1022" s="50" t="s">
        <v>1317</v>
      </c>
    </row>
    <row r="1023" spans="3:3" x14ac:dyDescent="0.25">
      <c r="C1023" s="50" t="s">
        <v>1318</v>
      </c>
    </row>
    <row r="1024" spans="3:3" x14ac:dyDescent="0.25">
      <c r="C1024" s="50" t="s">
        <v>1319</v>
      </c>
    </row>
    <row r="1025" spans="3:3" x14ac:dyDescent="0.25">
      <c r="C1025" s="50" t="s">
        <v>1320</v>
      </c>
    </row>
    <row r="1026" spans="3:3" x14ac:dyDescent="0.25">
      <c r="C1026" s="50" t="s">
        <v>1321</v>
      </c>
    </row>
    <row r="1027" spans="3:3" x14ac:dyDescent="0.25">
      <c r="C1027" s="50" t="s">
        <v>1322</v>
      </c>
    </row>
    <row r="1028" spans="3:3" x14ac:dyDescent="0.25">
      <c r="C1028" s="50" t="s">
        <v>1323</v>
      </c>
    </row>
    <row r="1029" spans="3:3" x14ac:dyDescent="0.25">
      <c r="C1029" s="50" t="s">
        <v>1324</v>
      </c>
    </row>
    <row r="1030" spans="3:3" x14ac:dyDescent="0.25">
      <c r="C1030" s="50" t="s">
        <v>1325</v>
      </c>
    </row>
    <row r="1031" spans="3:3" x14ac:dyDescent="0.25">
      <c r="C1031" s="50" t="s">
        <v>1326</v>
      </c>
    </row>
    <row r="1032" spans="3:3" x14ac:dyDescent="0.25">
      <c r="C1032" s="50" t="s">
        <v>1327</v>
      </c>
    </row>
    <row r="1033" spans="3:3" x14ac:dyDescent="0.25">
      <c r="C1033" s="50" t="s">
        <v>1328</v>
      </c>
    </row>
    <row r="1034" spans="3:3" x14ac:dyDescent="0.25">
      <c r="C1034" s="50" t="s">
        <v>1329</v>
      </c>
    </row>
    <row r="1035" spans="3:3" x14ac:dyDescent="0.25">
      <c r="C1035" s="50" t="s">
        <v>1330</v>
      </c>
    </row>
    <row r="1036" spans="3:3" x14ac:dyDescent="0.25">
      <c r="C1036" s="50" t="s">
        <v>1331</v>
      </c>
    </row>
    <row r="1037" spans="3:3" x14ac:dyDescent="0.25">
      <c r="C1037" s="50" t="s">
        <v>1332</v>
      </c>
    </row>
    <row r="1038" spans="3:3" x14ac:dyDescent="0.25">
      <c r="C1038" s="50" t="s">
        <v>1333</v>
      </c>
    </row>
    <row r="1039" spans="3:3" x14ac:dyDescent="0.25">
      <c r="C1039" s="50" t="s">
        <v>1334</v>
      </c>
    </row>
    <row r="1040" spans="3:3" x14ac:dyDescent="0.25">
      <c r="C1040" s="50" t="s">
        <v>1335</v>
      </c>
    </row>
    <row r="1041" spans="3:3" x14ac:dyDescent="0.25">
      <c r="C1041" s="50" t="s">
        <v>1336</v>
      </c>
    </row>
    <row r="1042" spans="3:3" x14ac:dyDescent="0.25">
      <c r="C1042" s="50" t="s">
        <v>1337</v>
      </c>
    </row>
    <row r="1043" spans="3:3" x14ac:dyDescent="0.25">
      <c r="C1043" s="50" t="s">
        <v>1338</v>
      </c>
    </row>
    <row r="1044" spans="3:3" x14ac:dyDescent="0.25">
      <c r="C1044" s="50" t="s">
        <v>1339</v>
      </c>
    </row>
    <row r="1045" spans="3:3" x14ac:dyDescent="0.25">
      <c r="C1045" s="50" t="s">
        <v>1340</v>
      </c>
    </row>
    <row r="1046" spans="3:3" x14ac:dyDescent="0.25">
      <c r="C1046" s="50" t="s">
        <v>1341</v>
      </c>
    </row>
    <row r="1047" spans="3:3" x14ac:dyDescent="0.25">
      <c r="C1047" s="50" t="s">
        <v>1342</v>
      </c>
    </row>
    <row r="1048" spans="3:3" x14ac:dyDescent="0.25">
      <c r="C1048" s="50" t="s">
        <v>1343</v>
      </c>
    </row>
    <row r="1049" spans="3:3" x14ac:dyDescent="0.25">
      <c r="C1049" s="50" t="s">
        <v>1344</v>
      </c>
    </row>
    <row r="1050" spans="3:3" x14ac:dyDescent="0.25">
      <c r="C1050" s="50" t="s">
        <v>1345</v>
      </c>
    </row>
    <row r="1051" spans="3:3" x14ac:dyDescent="0.25">
      <c r="C1051" s="50" t="s">
        <v>1346</v>
      </c>
    </row>
    <row r="1052" spans="3:3" x14ac:dyDescent="0.25">
      <c r="C1052" s="50" t="s">
        <v>1347</v>
      </c>
    </row>
    <row r="1053" spans="3:3" x14ac:dyDescent="0.25">
      <c r="C1053" s="50" t="s">
        <v>1348</v>
      </c>
    </row>
    <row r="1054" spans="3:3" x14ac:dyDescent="0.25">
      <c r="C1054" s="50" t="s">
        <v>1349</v>
      </c>
    </row>
    <row r="1055" spans="3:3" x14ac:dyDescent="0.25">
      <c r="C1055" s="50" t="s">
        <v>1350</v>
      </c>
    </row>
    <row r="1056" spans="3:3" x14ac:dyDescent="0.25">
      <c r="C1056" s="50" t="s">
        <v>1351</v>
      </c>
    </row>
    <row r="1057" spans="3:3" x14ac:dyDescent="0.25">
      <c r="C1057" s="50" t="s">
        <v>1352</v>
      </c>
    </row>
    <row r="1058" spans="3:3" x14ac:dyDescent="0.25">
      <c r="C1058" s="50" t="s">
        <v>1353</v>
      </c>
    </row>
    <row r="1059" spans="3:3" x14ac:dyDescent="0.25">
      <c r="C1059" s="50" t="s">
        <v>1354</v>
      </c>
    </row>
    <row r="1060" spans="3:3" x14ac:dyDescent="0.25">
      <c r="C1060" s="50" t="s">
        <v>1355</v>
      </c>
    </row>
    <row r="1061" spans="3:3" x14ac:dyDescent="0.25">
      <c r="C1061" s="50" t="s">
        <v>1356</v>
      </c>
    </row>
    <row r="1062" spans="3:3" x14ac:dyDescent="0.25">
      <c r="C1062" s="50" t="s">
        <v>1357</v>
      </c>
    </row>
    <row r="1063" spans="3:3" x14ac:dyDescent="0.25">
      <c r="C1063" s="50" t="s">
        <v>1358</v>
      </c>
    </row>
    <row r="1064" spans="3:3" x14ac:dyDescent="0.25">
      <c r="C1064" s="50" t="s">
        <v>1359</v>
      </c>
    </row>
    <row r="1065" spans="3:3" x14ac:dyDescent="0.25">
      <c r="C1065" s="50" t="s">
        <v>1360</v>
      </c>
    </row>
    <row r="1066" spans="3:3" x14ac:dyDescent="0.25">
      <c r="C1066" s="50" t="s">
        <v>1361</v>
      </c>
    </row>
    <row r="1067" spans="3:3" x14ac:dyDescent="0.25">
      <c r="C1067" s="50" t="s">
        <v>1362</v>
      </c>
    </row>
    <row r="1068" spans="3:3" x14ac:dyDescent="0.25">
      <c r="C1068" s="50" t="s">
        <v>1363</v>
      </c>
    </row>
    <row r="1069" spans="3:3" x14ac:dyDescent="0.25">
      <c r="C1069" s="50" t="s">
        <v>1364</v>
      </c>
    </row>
    <row r="1070" spans="3:3" x14ac:dyDescent="0.25">
      <c r="C1070" s="50" t="s">
        <v>1365</v>
      </c>
    </row>
    <row r="1071" spans="3:3" x14ac:dyDescent="0.25">
      <c r="C1071" s="50" t="s">
        <v>1366</v>
      </c>
    </row>
    <row r="1072" spans="3:3" x14ac:dyDescent="0.25">
      <c r="C1072" s="50" t="s">
        <v>1367</v>
      </c>
    </row>
    <row r="1073" spans="3:3" x14ac:dyDescent="0.25">
      <c r="C1073" s="50" t="s">
        <v>1368</v>
      </c>
    </row>
    <row r="1074" spans="3:3" x14ac:dyDescent="0.25">
      <c r="C1074" s="50" t="s">
        <v>1369</v>
      </c>
    </row>
    <row r="1075" spans="3:3" x14ac:dyDescent="0.25">
      <c r="C1075" s="50" t="s">
        <v>1370</v>
      </c>
    </row>
    <row r="1076" spans="3:3" x14ac:dyDescent="0.25">
      <c r="C1076" s="50" t="s">
        <v>1371</v>
      </c>
    </row>
    <row r="1077" spans="3:3" x14ac:dyDescent="0.25">
      <c r="C1077" s="50" t="s">
        <v>1372</v>
      </c>
    </row>
    <row r="1078" spans="3:3" x14ac:dyDescent="0.25">
      <c r="C1078" s="50" t="s">
        <v>1373</v>
      </c>
    </row>
    <row r="1079" spans="3:3" x14ac:dyDescent="0.25">
      <c r="C1079" s="50" t="s">
        <v>1374</v>
      </c>
    </row>
    <row r="1080" spans="3:3" x14ac:dyDescent="0.25">
      <c r="C1080" s="50" t="s">
        <v>1375</v>
      </c>
    </row>
    <row r="1081" spans="3:3" x14ac:dyDescent="0.25">
      <c r="C1081" s="50" t="s">
        <v>1376</v>
      </c>
    </row>
    <row r="1082" spans="3:3" x14ac:dyDescent="0.25">
      <c r="C1082" s="50" t="s">
        <v>1377</v>
      </c>
    </row>
    <row r="1083" spans="3:3" x14ac:dyDescent="0.25">
      <c r="C1083" s="50" t="s">
        <v>1378</v>
      </c>
    </row>
    <row r="1084" spans="3:3" x14ac:dyDescent="0.25">
      <c r="C1084" s="50" t="s">
        <v>1379</v>
      </c>
    </row>
    <row r="1085" spans="3:3" x14ac:dyDescent="0.25">
      <c r="C1085" s="50" t="s">
        <v>1380</v>
      </c>
    </row>
    <row r="1086" spans="3:3" x14ac:dyDescent="0.25">
      <c r="C1086" s="50" t="s">
        <v>1381</v>
      </c>
    </row>
    <row r="1087" spans="3:3" x14ac:dyDescent="0.25">
      <c r="C1087" s="50" t="s">
        <v>1382</v>
      </c>
    </row>
    <row r="1088" spans="3:3" x14ac:dyDescent="0.25">
      <c r="C1088" s="50" t="s">
        <v>1383</v>
      </c>
    </row>
    <row r="1089" spans="3:3" x14ac:dyDescent="0.25">
      <c r="C1089" s="50" t="s">
        <v>1384</v>
      </c>
    </row>
    <row r="1090" spans="3:3" x14ac:dyDescent="0.25">
      <c r="C1090" s="50" t="s">
        <v>1385</v>
      </c>
    </row>
    <row r="1091" spans="3:3" x14ac:dyDescent="0.25">
      <c r="C1091" s="50" t="s">
        <v>1386</v>
      </c>
    </row>
    <row r="1092" spans="3:3" x14ac:dyDescent="0.25">
      <c r="C1092" s="50" t="s">
        <v>1387</v>
      </c>
    </row>
    <row r="1093" spans="3:3" x14ac:dyDescent="0.25">
      <c r="C1093" s="50" t="s">
        <v>1388</v>
      </c>
    </row>
    <row r="1094" spans="3:3" x14ac:dyDescent="0.25">
      <c r="C1094" s="50" t="s">
        <v>1389</v>
      </c>
    </row>
    <row r="1095" spans="3:3" x14ac:dyDescent="0.25">
      <c r="C1095" s="50" t="s">
        <v>1390</v>
      </c>
    </row>
    <row r="1096" spans="3:3" x14ac:dyDescent="0.25">
      <c r="C1096" s="50" t="s">
        <v>1391</v>
      </c>
    </row>
    <row r="1097" spans="3:3" x14ac:dyDescent="0.25">
      <c r="C1097" s="50" t="s">
        <v>1392</v>
      </c>
    </row>
    <row r="1098" spans="3:3" x14ac:dyDescent="0.25">
      <c r="C1098" s="50" t="s">
        <v>1393</v>
      </c>
    </row>
    <row r="1099" spans="3:3" x14ac:dyDescent="0.25">
      <c r="C1099" s="50" t="s">
        <v>1394</v>
      </c>
    </row>
    <row r="1100" spans="3:3" x14ac:dyDescent="0.25">
      <c r="C1100" s="50" t="s">
        <v>1395</v>
      </c>
    </row>
    <row r="1101" spans="3:3" x14ac:dyDescent="0.25">
      <c r="C1101" s="50" t="s">
        <v>1396</v>
      </c>
    </row>
    <row r="1102" spans="3:3" x14ac:dyDescent="0.25">
      <c r="C1102" s="50" t="s">
        <v>1397</v>
      </c>
    </row>
    <row r="1103" spans="3:3" x14ac:dyDescent="0.25">
      <c r="C1103" s="50" t="s">
        <v>1398</v>
      </c>
    </row>
    <row r="1104" spans="3:3" x14ac:dyDescent="0.25">
      <c r="C1104" s="50" t="s">
        <v>1399</v>
      </c>
    </row>
    <row r="1105" spans="3:3" x14ac:dyDescent="0.25">
      <c r="C1105" s="50" t="s">
        <v>1400</v>
      </c>
    </row>
    <row r="1106" spans="3:3" x14ac:dyDescent="0.25">
      <c r="C1106" s="50" t="s">
        <v>1401</v>
      </c>
    </row>
    <row r="1107" spans="3:3" x14ac:dyDescent="0.25">
      <c r="C1107" s="50" t="s">
        <v>1402</v>
      </c>
    </row>
    <row r="1108" spans="3:3" x14ac:dyDescent="0.25">
      <c r="C1108" s="50" t="s">
        <v>1403</v>
      </c>
    </row>
    <row r="1109" spans="3:3" x14ac:dyDescent="0.25">
      <c r="C1109" s="50" t="s">
        <v>1404</v>
      </c>
    </row>
    <row r="1110" spans="3:3" x14ac:dyDescent="0.25">
      <c r="C1110" s="50" t="s">
        <v>1405</v>
      </c>
    </row>
    <row r="1111" spans="3:3" x14ac:dyDescent="0.25">
      <c r="C1111" s="50" t="s">
        <v>1406</v>
      </c>
    </row>
    <row r="1112" spans="3:3" x14ac:dyDescent="0.25">
      <c r="C1112" s="50" t="s">
        <v>1407</v>
      </c>
    </row>
    <row r="1113" spans="3:3" x14ac:dyDescent="0.25">
      <c r="C1113" s="50" t="s">
        <v>1408</v>
      </c>
    </row>
    <row r="1114" spans="3:3" x14ac:dyDescent="0.25">
      <c r="C1114" s="50" t="s">
        <v>1409</v>
      </c>
    </row>
    <row r="1115" spans="3:3" x14ac:dyDescent="0.25">
      <c r="C1115" s="50" t="s">
        <v>1410</v>
      </c>
    </row>
    <row r="1116" spans="3:3" x14ac:dyDescent="0.25">
      <c r="C1116" s="50" t="s">
        <v>1411</v>
      </c>
    </row>
    <row r="1117" spans="3:3" x14ac:dyDescent="0.25">
      <c r="C1117" s="50" t="s">
        <v>1412</v>
      </c>
    </row>
    <row r="1118" spans="3:3" x14ac:dyDescent="0.25">
      <c r="C1118" s="50" t="s">
        <v>1413</v>
      </c>
    </row>
    <row r="1119" spans="3:3" x14ac:dyDescent="0.25">
      <c r="C1119" s="50" t="s">
        <v>1414</v>
      </c>
    </row>
    <row r="1120" spans="3:3" x14ac:dyDescent="0.25">
      <c r="C1120" s="50" t="s">
        <v>1415</v>
      </c>
    </row>
    <row r="1121" spans="3:3" x14ac:dyDescent="0.25">
      <c r="C1121" s="50" t="s">
        <v>1416</v>
      </c>
    </row>
    <row r="1122" spans="3:3" x14ac:dyDescent="0.25">
      <c r="C1122" s="50" t="s">
        <v>1417</v>
      </c>
    </row>
    <row r="1123" spans="3:3" x14ac:dyDescent="0.25">
      <c r="C1123" s="50" t="s">
        <v>1418</v>
      </c>
    </row>
    <row r="1124" spans="3:3" x14ac:dyDescent="0.25">
      <c r="C1124" s="50" t="s">
        <v>1419</v>
      </c>
    </row>
    <row r="1125" spans="3:3" x14ac:dyDescent="0.25">
      <c r="C1125" s="50" t="s">
        <v>1420</v>
      </c>
    </row>
    <row r="1126" spans="3:3" x14ac:dyDescent="0.25">
      <c r="C1126" s="50" t="s">
        <v>1421</v>
      </c>
    </row>
    <row r="1127" spans="3:3" x14ac:dyDescent="0.25">
      <c r="C1127" s="50" t="s">
        <v>1422</v>
      </c>
    </row>
    <row r="1128" spans="3:3" x14ac:dyDescent="0.25">
      <c r="C1128" s="50" t="s">
        <v>1423</v>
      </c>
    </row>
    <row r="1129" spans="3:3" x14ac:dyDescent="0.25">
      <c r="C1129" s="50" t="s">
        <v>1424</v>
      </c>
    </row>
    <row r="1130" spans="3:3" x14ac:dyDescent="0.25">
      <c r="C1130" s="50" t="s">
        <v>1425</v>
      </c>
    </row>
    <row r="1131" spans="3:3" x14ac:dyDescent="0.25">
      <c r="C1131" s="50" t="s">
        <v>1426</v>
      </c>
    </row>
    <row r="1132" spans="3:3" x14ac:dyDescent="0.25">
      <c r="C1132" s="50" t="s">
        <v>1427</v>
      </c>
    </row>
    <row r="1133" spans="3:3" x14ac:dyDescent="0.25">
      <c r="C1133" s="50" t="s">
        <v>1428</v>
      </c>
    </row>
    <row r="1134" spans="3:3" x14ac:dyDescent="0.25">
      <c r="C1134" s="50" t="s">
        <v>1429</v>
      </c>
    </row>
    <row r="1135" spans="3:3" x14ac:dyDescent="0.25">
      <c r="C1135" s="50" t="s">
        <v>1430</v>
      </c>
    </row>
    <row r="1136" spans="3:3" x14ac:dyDescent="0.25">
      <c r="C1136" s="50" t="s">
        <v>1431</v>
      </c>
    </row>
    <row r="1137" spans="3:3" x14ac:dyDescent="0.25">
      <c r="C1137" s="50" t="s">
        <v>1432</v>
      </c>
    </row>
    <row r="1138" spans="3:3" x14ac:dyDescent="0.25">
      <c r="C1138" s="50" t="s">
        <v>1433</v>
      </c>
    </row>
    <row r="1139" spans="3:3" x14ac:dyDescent="0.25">
      <c r="C1139" s="50" t="s">
        <v>1434</v>
      </c>
    </row>
    <row r="1140" spans="3:3" x14ac:dyDescent="0.25">
      <c r="C1140" s="50" t="s">
        <v>1435</v>
      </c>
    </row>
    <row r="1141" spans="3:3" x14ac:dyDescent="0.25">
      <c r="C1141" s="50" t="s">
        <v>1436</v>
      </c>
    </row>
    <row r="1142" spans="3:3" x14ac:dyDescent="0.25">
      <c r="C1142" s="50" t="s">
        <v>1437</v>
      </c>
    </row>
    <row r="1143" spans="3:3" x14ac:dyDescent="0.25">
      <c r="C1143" s="50" t="s">
        <v>1438</v>
      </c>
    </row>
    <row r="1144" spans="3:3" x14ac:dyDescent="0.25">
      <c r="C1144" s="50" t="s">
        <v>1439</v>
      </c>
    </row>
    <row r="1145" spans="3:3" x14ac:dyDescent="0.25">
      <c r="C1145" s="50" t="s">
        <v>1440</v>
      </c>
    </row>
    <row r="1146" spans="3:3" x14ac:dyDescent="0.25">
      <c r="C1146" s="50" t="s">
        <v>1441</v>
      </c>
    </row>
    <row r="1147" spans="3:3" x14ac:dyDescent="0.25">
      <c r="C1147" s="50" t="s">
        <v>1442</v>
      </c>
    </row>
    <row r="1148" spans="3:3" x14ac:dyDescent="0.25">
      <c r="C1148" s="50" t="s">
        <v>1443</v>
      </c>
    </row>
    <row r="1149" spans="3:3" x14ac:dyDescent="0.25">
      <c r="C1149" s="50" t="s">
        <v>1444</v>
      </c>
    </row>
    <row r="1150" spans="3:3" x14ac:dyDescent="0.25">
      <c r="C1150" s="50" t="s">
        <v>1445</v>
      </c>
    </row>
    <row r="1151" spans="3:3" x14ac:dyDescent="0.25">
      <c r="C1151" s="50" t="s">
        <v>1446</v>
      </c>
    </row>
    <row r="1152" spans="3:3" x14ac:dyDescent="0.25">
      <c r="C1152" s="50" t="s">
        <v>1447</v>
      </c>
    </row>
    <row r="1153" spans="3:3" x14ac:dyDescent="0.25">
      <c r="C1153" s="50" t="s">
        <v>1448</v>
      </c>
    </row>
    <row r="1154" spans="3:3" x14ac:dyDescent="0.25">
      <c r="C1154" s="50" t="s">
        <v>1449</v>
      </c>
    </row>
    <row r="1155" spans="3:3" x14ac:dyDescent="0.25">
      <c r="C1155" s="50" t="s">
        <v>1450</v>
      </c>
    </row>
    <row r="1156" spans="3:3" x14ac:dyDescent="0.25">
      <c r="C1156" s="50" t="s">
        <v>1451</v>
      </c>
    </row>
    <row r="1157" spans="3:3" x14ac:dyDescent="0.25">
      <c r="C1157" s="50" t="s">
        <v>1452</v>
      </c>
    </row>
    <row r="1158" spans="3:3" x14ac:dyDescent="0.25">
      <c r="C1158" s="50" t="s">
        <v>1453</v>
      </c>
    </row>
    <row r="1159" spans="3:3" x14ac:dyDescent="0.25">
      <c r="C1159" s="50" t="s">
        <v>1454</v>
      </c>
    </row>
    <row r="1160" spans="3:3" x14ac:dyDescent="0.25">
      <c r="C1160" s="50" t="s">
        <v>1455</v>
      </c>
    </row>
    <row r="1161" spans="3:3" x14ac:dyDescent="0.25">
      <c r="C1161" s="50" t="s">
        <v>1456</v>
      </c>
    </row>
    <row r="1162" spans="3:3" x14ac:dyDescent="0.25">
      <c r="C1162" s="50" t="s">
        <v>1457</v>
      </c>
    </row>
    <row r="1163" spans="3:3" x14ac:dyDescent="0.25">
      <c r="C1163" s="50" t="s">
        <v>1458</v>
      </c>
    </row>
    <row r="1164" spans="3:3" x14ac:dyDescent="0.25">
      <c r="C1164" s="50" t="s">
        <v>1459</v>
      </c>
    </row>
    <row r="1165" spans="3:3" x14ac:dyDescent="0.25">
      <c r="C1165" s="50" t="s">
        <v>1460</v>
      </c>
    </row>
    <row r="1166" spans="3:3" x14ac:dyDescent="0.25">
      <c r="C1166" s="50" t="s">
        <v>1461</v>
      </c>
    </row>
    <row r="1167" spans="3:3" x14ac:dyDescent="0.25">
      <c r="C1167" s="50" t="s">
        <v>1462</v>
      </c>
    </row>
    <row r="1168" spans="3:3" x14ac:dyDescent="0.25">
      <c r="C1168" s="50" t="s">
        <v>1463</v>
      </c>
    </row>
    <row r="1169" spans="3:3" x14ac:dyDescent="0.25">
      <c r="C1169" s="50" t="s">
        <v>1464</v>
      </c>
    </row>
    <row r="1170" spans="3:3" x14ac:dyDescent="0.25">
      <c r="C1170" s="50" t="s">
        <v>1465</v>
      </c>
    </row>
    <row r="1171" spans="3:3" x14ac:dyDescent="0.25">
      <c r="C1171" s="50" t="s">
        <v>1466</v>
      </c>
    </row>
    <row r="1172" spans="3:3" x14ac:dyDescent="0.25">
      <c r="C1172" s="50" t="s">
        <v>1467</v>
      </c>
    </row>
    <row r="1173" spans="3:3" x14ac:dyDescent="0.25">
      <c r="C1173" s="50" t="s">
        <v>1468</v>
      </c>
    </row>
    <row r="1174" spans="3:3" x14ac:dyDescent="0.25">
      <c r="C1174" s="50" t="s">
        <v>1469</v>
      </c>
    </row>
    <row r="1175" spans="3:3" x14ac:dyDescent="0.25">
      <c r="C1175" s="50" t="s">
        <v>1470</v>
      </c>
    </row>
    <row r="1176" spans="3:3" x14ac:dyDescent="0.25">
      <c r="C1176" s="50" t="s">
        <v>1471</v>
      </c>
    </row>
    <row r="1177" spans="3:3" x14ac:dyDescent="0.25">
      <c r="C1177" s="50" t="s">
        <v>1472</v>
      </c>
    </row>
    <row r="1178" spans="3:3" x14ac:dyDescent="0.25">
      <c r="C1178" s="50" t="s">
        <v>1473</v>
      </c>
    </row>
    <row r="1179" spans="3:3" x14ac:dyDescent="0.25">
      <c r="C1179" s="50" t="s">
        <v>1474</v>
      </c>
    </row>
    <row r="1180" spans="3:3" x14ac:dyDescent="0.25">
      <c r="C1180" s="50" t="s">
        <v>1475</v>
      </c>
    </row>
    <row r="1181" spans="3:3" x14ac:dyDescent="0.25">
      <c r="C1181" s="50" t="s">
        <v>1476</v>
      </c>
    </row>
    <row r="1182" spans="3:3" x14ac:dyDescent="0.25">
      <c r="C1182" s="50" t="s">
        <v>1477</v>
      </c>
    </row>
    <row r="1183" spans="3:3" x14ac:dyDescent="0.25">
      <c r="C1183" s="50" t="s">
        <v>1478</v>
      </c>
    </row>
    <row r="1184" spans="3:3" x14ac:dyDescent="0.25">
      <c r="C1184" s="50" t="s">
        <v>1479</v>
      </c>
    </row>
    <row r="1185" spans="3:3" x14ac:dyDescent="0.25">
      <c r="C1185" s="50" t="s">
        <v>1480</v>
      </c>
    </row>
    <row r="1186" spans="3:3" x14ac:dyDescent="0.25">
      <c r="C1186" s="50" t="s">
        <v>1481</v>
      </c>
    </row>
    <row r="1187" spans="3:3" x14ac:dyDescent="0.25">
      <c r="C1187" s="50" t="s">
        <v>1482</v>
      </c>
    </row>
    <row r="1188" spans="3:3" x14ac:dyDescent="0.25">
      <c r="C1188" s="50" t="s">
        <v>1483</v>
      </c>
    </row>
    <row r="1189" spans="3:3" x14ac:dyDescent="0.25">
      <c r="C1189" s="50" t="s">
        <v>1484</v>
      </c>
    </row>
    <row r="1190" spans="3:3" x14ac:dyDescent="0.25">
      <c r="C1190" s="50" t="s">
        <v>1485</v>
      </c>
    </row>
    <row r="1191" spans="3:3" x14ac:dyDescent="0.25">
      <c r="C1191" s="50" t="s">
        <v>1486</v>
      </c>
    </row>
    <row r="1192" spans="3:3" x14ac:dyDescent="0.25">
      <c r="C1192" s="50" t="s">
        <v>1487</v>
      </c>
    </row>
    <row r="1193" spans="3:3" x14ac:dyDescent="0.25">
      <c r="C1193" s="50" t="s">
        <v>1488</v>
      </c>
    </row>
    <row r="1194" spans="3:3" x14ac:dyDescent="0.25">
      <c r="C1194" s="50" t="s">
        <v>1489</v>
      </c>
    </row>
    <row r="1195" spans="3:3" x14ac:dyDescent="0.25">
      <c r="C1195" s="50" t="s">
        <v>1490</v>
      </c>
    </row>
    <row r="1196" spans="3:3" x14ac:dyDescent="0.25">
      <c r="C1196" s="50" t="s">
        <v>1491</v>
      </c>
    </row>
    <row r="1197" spans="3:3" x14ac:dyDescent="0.25">
      <c r="C1197" s="50" t="s">
        <v>1492</v>
      </c>
    </row>
    <row r="1198" spans="3:3" x14ac:dyDescent="0.25">
      <c r="C1198" s="50" t="s">
        <v>1493</v>
      </c>
    </row>
    <row r="1199" spans="3:3" x14ac:dyDescent="0.25">
      <c r="C1199" s="50" t="s">
        <v>1494</v>
      </c>
    </row>
    <row r="1200" spans="3:3" x14ac:dyDescent="0.25">
      <c r="C1200" s="50" t="s">
        <v>1495</v>
      </c>
    </row>
    <row r="1201" spans="3:3" x14ac:dyDescent="0.25">
      <c r="C1201" s="50" t="s">
        <v>1496</v>
      </c>
    </row>
    <row r="1202" spans="3:3" x14ac:dyDescent="0.25">
      <c r="C1202" s="50" t="s">
        <v>1497</v>
      </c>
    </row>
    <row r="1203" spans="3:3" x14ac:dyDescent="0.25">
      <c r="C1203" s="50" t="s">
        <v>1498</v>
      </c>
    </row>
    <row r="1204" spans="3:3" x14ac:dyDescent="0.25">
      <c r="C1204" s="50" t="s">
        <v>1499</v>
      </c>
    </row>
    <row r="1205" spans="3:3" x14ac:dyDescent="0.25">
      <c r="C1205" s="50" t="s">
        <v>1500</v>
      </c>
    </row>
    <row r="1206" spans="3:3" x14ac:dyDescent="0.25">
      <c r="C1206" s="50" t="s">
        <v>1501</v>
      </c>
    </row>
    <row r="1207" spans="3:3" x14ac:dyDescent="0.25">
      <c r="C1207" s="50" t="s">
        <v>1502</v>
      </c>
    </row>
    <row r="1208" spans="3:3" x14ac:dyDescent="0.25">
      <c r="C1208" s="50" t="s">
        <v>1503</v>
      </c>
    </row>
    <row r="1209" spans="3:3" x14ac:dyDescent="0.25">
      <c r="C1209" s="50" t="s">
        <v>1504</v>
      </c>
    </row>
    <row r="1210" spans="3:3" x14ac:dyDescent="0.25">
      <c r="C1210" s="50" t="s">
        <v>1505</v>
      </c>
    </row>
    <row r="1211" spans="3:3" x14ac:dyDescent="0.25">
      <c r="C1211" s="50" t="s">
        <v>1506</v>
      </c>
    </row>
    <row r="1212" spans="3:3" x14ac:dyDescent="0.25">
      <c r="C1212" s="50" t="s">
        <v>1507</v>
      </c>
    </row>
    <row r="1213" spans="3:3" x14ac:dyDescent="0.25">
      <c r="C1213" s="50" t="s">
        <v>1508</v>
      </c>
    </row>
    <row r="1214" spans="3:3" x14ac:dyDescent="0.25">
      <c r="C1214" s="50" t="s">
        <v>1509</v>
      </c>
    </row>
    <row r="1215" spans="3:3" x14ac:dyDescent="0.25">
      <c r="C1215" s="50" t="s">
        <v>1510</v>
      </c>
    </row>
    <row r="1216" spans="3:3" x14ac:dyDescent="0.25">
      <c r="C1216" s="50" t="s">
        <v>1511</v>
      </c>
    </row>
    <row r="1217" spans="3:3" x14ac:dyDescent="0.25">
      <c r="C1217" s="50" t="s">
        <v>1512</v>
      </c>
    </row>
    <row r="1218" spans="3:3" x14ac:dyDescent="0.25">
      <c r="C1218" s="50" t="s">
        <v>1513</v>
      </c>
    </row>
    <row r="1219" spans="3:3" x14ac:dyDescent="0.25">
      <c r="C1219" s="50" t="s">
        <v>1514</v>
      </c>
    </row>
    <row r="1220" spans="3:3" x14ac:dyDescent="0.25">
      <c r="C1220" s="50" t="s">
        <v>1515</v>
      </c>
    </row>
    <row r="1221" spans="3:3" x14ac:dyDescent="0.25">
      <c r="C1221" s="50" t="s">
        <v>1516</v>
      </c>
    </row>
    <row r="1222" spans="3:3" x14ac:dyDescent="0.25">
      <c r="C1222" s="50" t="s">
        <v>1517</v>
      </c>
    </row>
    <row r="1223" spans="3:3" x14ac:dyDescent="0.25">
      <c r="C1223" s="50" t="s">
        <v>1518</v>
      </c>
    </row>
    <row r="1224" spans="3:3" x14ac:dyDescent="0.25">
      <c r="C1224" s="50" t="s">
        <v>1519</v>
      </c>
    </row>
    <row r="1225" spans="3:3" x14ac:dyDescent="0.25">
      <c r="C1225" s="50" t="s">
        <v>1520</v>
      </c>
    </row>
    <row r="1226" spans="3:3" x14ac:dyDescent="0.25">
      <c r="C1226" s="50" t="s">
        <v>1521</v>
      </c>
    </row>
    <row r="1227" spans="3:3" x14ac:dyDescent="0.25">
      <c r="C1227" s="50" t="s">
        <v>1522</v>
      </c>
    </row>
    <row r="1228" spans="3:3" x14ac:dyDescent="0.25">
      <c r="C1228" s="50" t="s">
        <v>1523</v>
      </c>
    </row>
    <row r="1229" spans="3:3" x14ac:dyDescent="0.25">
      <c r="C1229" s="50" t="s">
        <v>1524</v>
      </c>
    </row>
    <row r="1230" spans="3:3" x14ac:dyDescent="0.25">
      <c r="C1230" s="50" t="s">
        <v>1525</v>
      </c>
    </row>
    <row r="1231" spans="3:3" x14ac:dyDescent="0.25">
      <c r="C1231" s="50" t="s">
        <v>1526</v>
      </c>
    </row>
    <row r="1232" spans="3:3" x14ac:dyDescent="0.25">
      <c r="C1232" s="50" t="s">
        <v>1527</v>
      </c>
    </row>
    <row r="1233" spans="3:3" x14ac:dyDescent="0.25">
      <c r="C1233" s="50" t="s">
        <v>1528</v>
      </c>
    </row>
    <row r="1234" spans="3:3" x14ac:dyDescent="0.25">
      <c r="C1234" s="50" t="s">
        <v>1529</v>
      </c>
    </row>
    <row r="1235" spans="3:3" x14ac:dyDescent="0.25">
      <c r="C1235" s="50" t="s">
        <v>1530</v>
      </c>
    </row>
    <row r="1236" spans="3:3" x14ac:dyDescent="0.25">
      <c r="C1236" s="50" t="s">
        <v>1531</v>
      </c>
    </row>
    <row r="1237" spans="3:3" x14ac:dyDescent="0.25">
      <c r="C1237" s="50" t="s">
        <v>1532</v>
      </c>
    </row>
    <row r="1238" spans="3:3" x14ac:dyDescent="0.25">
      <c r="C1238" s="50" t="s">
        <v>1533</v>
      </c>
    </row>
    <row r="1239" spans="3:3" x14ac:dyDescent="0.25">
      <c r="C1239" s="50" t="s">
        <v>1534</v>
      </c>
    </row>
    <row r="1240" spans="3:3" x14ac:dyDescent="0.25">
      <c r="C1240" s="50" t="s">
        <v>1535</v>
      </c>
    </row>
    <row r="1241" spans="3:3" x14ac:dyDescent="0.25">
      <c r="C1241" s="50" t="s">
        <v>1536</v>
      </c>
    </row>
    <row r="1242" spans="3:3" x14ac:dyDescent="0.25">
      <c r="C1242" s="50" t="s">
        <v>1537</v>
      </c>
    </row>
    <row r="1243" spans="3:3" x14ac:dyDescent="0.25">
      <c r="C1243" s="50" t="s">
        <v>1538</v>
      </c>
    </row>
    <row r="1244" spans="3:3" x14ac:dyDescent="0.25">
      <c r="C1244" s="50" t="s">
        <v>1539</v>
      </c>
    </row>
    <row r="1245" spans="3:3" x14ac:dyDescent="0.25">
      <c r="C1245" s="50" t="s">
        <v>1540</v>
      </c>
    </row>
    <row r="1246" spans="3:3" x14ac:dyDescent="0.25">
      <c r="C1246" s="50" t="s">
        <v>1541</v>
      </c>
    </row>
    <row r="1247" spans="3:3" x14ac:dyDescent="0.25">
      <c r="C1247" s="50" t="s">
        <v>1542</v>
      </c>
    </row>
    <row r="1248" spans="3:3" x14ac:dyDescent="0.25">
      <c r="C1248" s="50" t="s">
        <v>1543</v>
      </c>
    </row>
    <row r="1249" spans="3:3" x14ac:dyDescent="0.25">
      <c r="C1249" s="50" t="s">
        <v>1544</v>
      </c>
    </row>
    <row r="1250" spans="3:3" x14ac:dyDescent="0.25">
      <c r="C1250" s="50" t="s">
        <v>1545</v>
      </c>
    </row>
    <row r="1251" spans="3:3" x14ac:dyDescent="0.25">
      <c r="C1251" s="50" t="s">
        <v>1546</v>
      </c>
    </row>
    <row r="1252" spans="3:3" x14ac:dyDescent="0.25">
      <c r="C1252" s="50" t="s">
        <v>1547</v>
      </c>
    </row>
    <row r="1253" spans="3:3" x14ac:dyDescent="0.25">
      <c r="C1253" s="50" t="s">
        <v>1548</v>
      </c>
    </row>
    <row r="1254" spans="3:3" x14ac:dyDescent="0.25">
      <c r="C1254" s="50" t="s">
        <v>1549</v>
      </c>
    </row>
    <row r="1255" spans="3:3" x14ac:dyDescent="0.25">
      <c r="C1255" s="50" t="s">
        <v>1550</v>
      </c>
    </row>
    <row r="1256" spans="3:3" x14ac:dyDescent="0.25">
      <c r="C1256" s="50" t="s">
        <v>1551</v>
      </c>
    </row>
    <row r="1257" spans="3:3" x14ac:dyDescent="0.25">
      <c r="C1257" s="50" t="s">
        <v>1552</v>
      </c>
    </row>
    <row r="1258" spans="3:3" x14ac:dyDescent="0.25">
      <c r="C1258" s="50" t="s">
        <v>1553</v>
      </c>
    </row>
    <row r="1259" spans="3:3" x14ac:dyDescent="0.25">
      <c r="C1259" s="50" t="s">
        <v>1554</v>
      </c>
    </row>
    <row r="1260" spans="3:3" x14ac:dyDescent="0.25">
      <c r="C1260" s="50" t="s">
        <v>1555</v>
      </c>
    </row>
    <row r="1261" spans="3:3" x14ac:dyDescent="0.25">
      <c r="C1261" s="50" t="s">
        <v>1556</v>
      </c>
    </row>
    <row r="1262" spans="3:3" x14ac:dyDescent="0.25">
      <c r="C1262" s="50" t="s">
        <v>1557</v>
      </c>
    </row>
    <row r="1263" spans="3:3" x14ac:dyDescent="0.25">
      <c r="C1263" s="50" t="s">
        <v>1558</v>
      </c>
    </row>
    <row r="1264" spans="3:3" x14ac:dyDescent="0.25">
      <c r="C1264" s="50" t="s">
        <v>1559</v>
      </c>
    </row>
    <row r="1265" spans="3:3" x14ac:dyDescent="0.25">
      <c r="C1265" s="50" t="s">
        <v>1560</v>
      </c>
    </row>
    <row r="1266" spans="3:3" x14ac:dyDescent="0.25">
      <c r="C1266" s="50" t="s">
        <v>1561</v>
      </c>
    </row>
    <row r="1267" spans="3:3" x14ac:dyDescent="0.25">
      <c r="C1267" s="50" t="s">
        <v>1562</v>
      </c>
    </row>
    <row r="1268" spans="3:3" x14ac:dyDescent="0.25">
      <c r="C1268" s="50" t="s">
        <v>1563</v>
      </c>
    </row>
    <row r="1269" spans="3:3" x14ac:dyDescent="0.25">
      <c r="C1269" s="50" t="s">
        <v>1564</v>
      </c>
    </row>
    <row r="1270" spans="3:3" x14ac:dyDescent="0.25">
      <c r="C1270" s="50" t="s">
        <v>1565</v>
      </c>
    </row>
    <row r="1271" spans="3:3" x14ac:dyDescent="0.25">
      <c r="C1271" s="50" t="s">
        <v>1566</v>
      </c>
    </row>
    <row r="1272" spans="3:3" x14ac:dyDescent="0.25">
      <c r="C1272" s="50" t="s">
        <v>1567</v>
      </c>
    </row>
    <row r="1273" spans="3:3" x14ac:dyDescent="0.25">
      <c r="C1273" s="50" t="s">
        <v>1568</v>
      </c>
    </row>
    <row r="1274" spans="3:3" x14ac:dyDescent="0.25">
      <c r="C1274" s="50" t="s">
        <v>1569</v>
      </c>
    </row>
    <row r="1275" spans="3:3" x14ac:dyDescent="0.25">
      <c r="C1275" s="50" t="s">
        <v>1570</v>
      </c>
    </row>
    <row r="1276" spans="3:3" x14ac:dyDescent="0.25">
      <c r="C1276" s="50" t="s">
        <v>1571</v>
      </c>
    </row>
    <row r="1277" spans="3:3" x14ac:dyDescent="0.25">
      <c r="C1277" s="50" t="s">
        <v>1572</v>
      </c>
    </row>
    <row r="1278" spans="3:3" x14ac:dyDescent="0.25">
      <c r="C1278" s="50" t="s">
        <v>1573</v>
      </c>
    </row>
    <row r="1279" spans="3:3" x14ac:dyDescent="0.25">
      <c r="C1279" s="50" t="s">
        <v>1574</v>
      </c>
    </row>
    <row r="1280" spans="3:3" x14ac:dyDescent="0.25">
      <c r="C1280" s="50" t="s">
        <v>1575</v>
      </c>
    </row>
    <row r="1281" spans="3:3" x14ac:dyDescent="0.25">
      <c r="C1281" s="50" t="s">
        <v>1576</v>
      </c>
    </row>
    <row r="1282" spans="3:3" x14ac:dyDescent="0.25">
      <c r="C1282" s="50" t="s">
        <v>1577</v>
      </c>
    </row>
    <row r="1283" spans="3:3" x14ac:dyDescent="0.25">
      <c r="C1283" s="50" t="s">
        <v>1578</v>
      </c>
    </row>
    <row r="1284" spans="3:3" x14ac:dyDescent="0.25">
      <c r="C1284" s="50" t="s">
        <v>1579</v>
      </c>
    </row>
    <row r="1285" spans="3:3" x14ac:dyDescent="0.25">
      <c r="C1285" s="50" t="s">
        <v>1580</v>
      </c>
    </row>
    <row r="1286" spans="3:3" x14ac:dyDescent="0.25">
      <c r="C1286" s="50" t="s">
        <v>1581</v>
      </c>
    </row>
    <row r="1287" spans="3:3" x14ac:dyDescent="0.25">
      <c r="C1287" s="50" t="s">
        <v>1582</v>
      </c>
    </row>
    <row r="1288" spans="3:3" x14ac:dyDescent="0.25">
      <c r="C1288" s="50" t="s">
        <v>1583</v>
      </c>
    </row>
    <row r="1289" spans="3:3" x14ac:dyDescent="0.25">
      <c r="C1289" s="50" t="s">
        <v>1584</v>
      </c>
    </row>
    <row r="1290" spans="3:3" x14ac:dyDescent="0.25">
      <c r="C1290" s="50" t="s">
        <v>1585</v>
      </c>
    </row>
    <row r="1291" spans="3:3" x14ac:dyDescent="0.25">
      <c r="C1291" s="50" t="s">
        <v>1586</v>
      </c>
    </row>
    <row r="1292" spans="3:3" x14ac:dyDescent="0.25">
      <c r="C1292" s="50" t="s">
        <v>1587</v>
      </c>
    </row>
    <row r="1293" spans="3:3" x14ac:dyDescent="0.25">
      <c r="C1293" s="50" t="s">
        <v>1588</v>
      </c>
    </row>
    <row r="1294" spans="3:3" x14ac:dyDescent="0.25">
      <c r="C1294" s="50" t="s">
        <v>1589</v>
      </c>
    </row>
    <row r="1295" spans="3:3" x14ac:dyDescent="0.25">
      <c r="C1295" s="50" t="s">
        <v>1590</v>
      </c>
    </row>
    <row r="1296" spans="3:3" x14ac:dyDescent="0.25">
      <c r="C1296" s="50" t="s">
        <v>1591</v>
      </c>
    </row>
    <row r="1297" spans="3:3" x14ac:dyDescent="0.25">
      <c r="C1297" s="50" t="s">
        <v>1592</v>
      </c>
    </row>
    <row r="1298" spans="3:3" x14ac:dyDescent="0.25">
      <c r="C1298" s="50" t="s">
        <v>1593</v>
      </c>
    </row>
    <row r="1299" spans="3:3" x14ac:dyDescent="0.25">
      <c r="C1299" s="50" t="s">
        <v>1594</v>
      </c>
    </row>
    <row r="1300" spans="3:3" x14ac:dyDescent="0.25">
      <c r="C1300" s="50" t="s">
        <v>1595</v>
      </c>
    </row>
    <row r="1301" spans="3:3" x14ac:dyDescent="0.25">
      <c r="C1301" s="50" t="s">
        <v>1596</v>
      </c>
    </row>
    <row r="1302" spans="3:3" x14ac:dyDescent="0.25">
      <c r="C1302" s="50" t="s">
        <v>1597</v>
      </c>
    </row>
    <row r="1303" spans="3:3" x14ac:dyDescent="0.25">
      <c r="C1303" s="50" t="s">
        <v>1598</v>
      </c>
    </row>
    <row r="1304" spans="3:3" x14ac:dyDescent="0.25">
      <c r="C1304" s="50" t="s">
        <v>1599</v>
      </c>
    </row>
    <row r="1305" spans="3:3" x14ac:dyDescent="0.25">
      <c r="C1305" s="50" t="s">
        <v>1600</v>
      </c>
    </row>
    <row r="1306" spans="3:3" x14ac:dyDescent="0.25">
      <c r="C1306" s="50" t="s">
        <v>1601</v>
      </c>
    </row>
    <row r="1307" spans="3:3" x14ac:dyDescent="0.25">
      <c r="C1307" s="50" t="s">
        <v>1602</v>
      </c>
    </row>
    <row r="1308" spans="3:3" x14ac:dyDescent="0.25">
      <c r="C1308" s="50" t="s">
        <v>1603</v>
      </c>
    </row>
    <row r="1309" spans="3:3" x14ac:dyDescent="0.25">
      <c r="C1309" s="50" t="s">
        <v>1604</v>
      </c>
    </row>
    <row r="1310" spans="3:3" x14ac:dyDescent="0.25">
      <c r="C1310" s="50" t="s">
        <v>1605</v>
      </c>
    </row>
    <row r="1311" spans="3:3" x14ac:dyDescent="0.25">
      <c r="C1311" s="50" t="s">
        <v>1606</v>
      </c>
    </row>
    <row r="1312" spans="3:3" x14ac:dyDescent="0.25">
      <c r="C1312" s="50" t="s">
        <v>1607</v>
      </c>
    </row>
    <row r="1313" spans="3:3" x14ac:dyDescent="0.25">
      <c r="C1313" s="50" t="s">
        <v>1608</v>
      </c>
    </row>
    <row r="1314" spans="3:3" x14ac:dyDescent="0.25">
      <c r="C1314" s="50" t="s">
        <v>1609</v>
      </c>
    </row>
    <row r="1315" spans="3:3" x14ac:dyDescent="0.25">
      <c r="C1315" s="50" t="s">
        <v>1610</v>
      </c>
    </row>
    <row r="1316" spans="3:3" x14ac:dyDescent="0.25">
      <c r="C1316" s="50" t="s">
        <v>1611</v>
      </c>
    </row>
    <row r="1317" spans="3:3" x14ac:dyDescent="0.25">
      <c r="C1317" s="50" t="s">
        <v>1612</v>
      </c>
    </row>
    <row r="1318" spans="3:3" x14ac:dyDescent="0.25">
      <c r="C1318" s="50" t="s">
        <v>1613</v>
      </c>
    </row>
    <row r="1319" spans="3:3" x14ac:dyDescent="0.25">
      <c r="C1319" s="50" t="s">
        <v>1614</v>
      </c>
    </row>
    <row r="1320" spans="3:3" x14ac:dyDescent="0.25">
      <c r="C1320" s="50" t="s">
        <v>1615</v>
      </c>
    </row>
    <row r="1321" spans="3:3" x14ac:dyDescent="0.25">
      <c r="C1321" s="50" t="s">
        <v>1616</v>
      </c>
    </row>
    <row r="1322" spans="3:3" x14ac:dyDescent="0.25">
      <c r="C1322" s="50" t="s">
        <v>1617</v>
      </c>
    </row>
    <row r="1323" spans="3:3" x14ac:dyDescent="0.25">
      <c r="C1323" s="50" t="s">
        <v>1618</v>
      </c>
    </row>
    <row r="1324" spans="3:3" x14ac:dyDescent="0.25">
      <c r="C1324" s="50" t="s">
        <v>1619</v>
      </c>
    </row>
    <row r="1325" spans="3:3" x14ac:dyDescent="0.25">
      <c r="C1325" s="50" t="s">
        <v>1620</v>
      </c>
    </row>
    <row r="1326" spans="3:3" x14ac:dyDescent="0.25">
      <c r="C1326" s="50" t="s">
        <v>1621</v>
      </c>
    </row>
    <row r="1327" spans="3:3" x14ac:dyDescent="0.25">
      <c r="C1327" s="50" t="s">
        <v>1622</v>
      </c>
    </row>
    <row r="1328" spans="3:3" x14ac:dyDescent="0.25">
      <c r="C1328" s="50" t="s">
        <v>1623</v>
      </c>
    </row>
    <row r="1329" spans="3:3" x14ac:dyDescent="0.25">
      <c r="C1329" s="50" t="s">
        <v>1624</v>
      </c>
    </row>
    <row r="1330" spans="3:3" x14ac:dyDescent="0.25">
      <c r="C1330" s="50" t="s">
        <v>1625</v>
      </c>
    </row>
    <row r="1331" spans="3:3" x14ac:dyDescent="0.25">
      <c r="C1331" s="50" t="s">
        <v>1626</v>
      </c>
    </row>
    <row r="1332" spans="3:3" x14ac:dyDescent="0.25">
      <c r="C1332" s="50" t="s">
        <v>1627</v>
      </c>
    </row>
    <row r="1333" spans="3:3" x14ac:dyDescent="0.25">
      <c r="C1333" s="50" t="s">
        <v>1628</v>
      </c>
    </row>
    <row r="1334" spans="3:3" x14ac:dyDescent="0.25">
      <c r="C1334" s="50" t="s">
        <v>1629</v>
      </c>
    </row>
    <row r="1335" spans="3:3" x14ac:dyDescent="0.25">
      <c r="C1335" s="50" t="s">
        <v>1630</v>
      </c>
    </row>
    <row r="1336" spans="3:3" x14ac:dyDescent="0.25">
      <c r="C1336" s="50" t="s">
        <v>1631</v>
      </c>
    </row>
    <row r="1337" spans="3:3" x14ac:dyDescent="0.25">
      <c r="C1337" s="50" t="s">
        <v>1632</v>
      </c>
    </row>
    <row r="1338" spans="3:3" x14ac:dyDescent="0.25">
      <c r="C1338" s="50" t="s">
        <v>1633</v>
      </c>
    </row>
    <row r="1339" spans="3:3" x14ac:dyDescent="0.25">
      <c r="C1339" s="50" t="s">
        <v>1634</v>
      </c>
    </row>
    <row r="1340" spans="3:3" x14ac:dyDescent="0.25">
      <c r="C1340" s="50" t="s">
        <v>1635</v>
      </c>
    </row>
    <row r="1341" spans="3:3" x14ac:dyDescent="0.25">
      <c r="C1341" s="50" t="s">
        <v>1636</v>
      </c>
    </row>
    <row r="1342" spans="3:3" x14ac:dyDescent="0.25">
      <c r="C1342" s="50" t="s">
        <v>1637</v>
      </c>
    </row>
    <row r="1343" spans="3:3" x14ac:dyDescent="0.25">
      <c r="C1343" s="50" t="s">
        <v>1638</v>
      </c>
    </row>
    <row r="1344" spans="3:3" x14ac:dyDescent="0.25">
      <c r="C1344" s="50" t="s">
        <v>1639</v>
      </c>
    </row>
    <row r="1345" spans="3:3" x14ac:dyDescent="0.25">
      <c r="C1345" s="50" t="s">
        <v>1640</v>
      </c>
    </row>
    <row r="1346" spans="3:3" x14ac:dyDescent="0.25">
      <c r="C1346" s="50" t="s">
        <v>1641</v>
      </c>
    </row>
    <row r="1347" spans="3:3" x14ac:dyDescent="0.25">
      <c r="C1347" s="50" t="s">
        <v>1642</v>
      </c>
    </row>
    <row r="1348" spans="3:3" x14ac:dyDescent="0.25">
      <c r="C1348" s="50" t="s">
        <v>1643</v>
      </c>
    </row>
    <row r="1349" spans="3:3" x14ac:dyDescent="0.25">
      <c r="C1349" s="50" t="s">
        <v>1644</v>
      </c>
    </row>
    <row r="1350" spans="3:3" x14ac:dyDescent="0.25">
      <c r="C1350" s="50" t="s">
        <v>1645</v>
      </c>
    </row>
    <row r="1351" spans="3:3" x14ac:dyDescent="0.25">
      <c r="C1351" s="50" t="s">
        <v>1646</v>
      </c>
    </row>
    <row r="1352" spans="3:3" x14ac:dyDescent="0.25">
      <c r="C1352" s="50" t="s">
        <v>1647</v>
      </c>
    </row>
    <row r="1353" spans="3:3" x14ac:dyDescent="0.25">
      <c r="C1353" s="50" t="s">
        <v>1648</v>
      </c>
    </row>
    <row r="1354" spans="3:3" x14ac:dyDescent="0.25">
      <c r="C1354" s="50" t="s">
        <v>1649</v>
      </c>
    </row>
    <row r="1355" spans="3:3" x14ac:dyDescent="0.25">
      <c r="C1355" s="50" t="s">
        <v>1650</v>
      </c>
    </row>
    <row r="1356" spans="3:3" x14ac:dyDescent="0.25">
      <c r="C1356" s="50" t="s">
        <v>1651</v>
      </c>
    </row>
    <row r="1357" spans="3:3" x14ac:dyDescent="0.25">
      <c r="C1357" s="50" t="s">
        <v>1652</v>
      </c>
    </row>
    <row r="1358" spans="3:3" x14ac:dyDescent="0.25">
      <c r="C1358" s="50" t="s">
        <v>1653</v>
      </c>
    </row>
    <row r="1359" spans="3:3" x14ac:dyDescent="0.25">
      <c r="C1359" s="50" t="s">
        <v>1654</v>
      </c>
    </row>
    <row r="1360" spans="3:3" x14ac:dyDescent="0.25">
      <c r="C1360" s="50" t="s">
        <v>1655</v>
      </c>
    </row>
    <row r="1361" spans="3:3" x14ac:dyDescent="0.25">
      <c r="C1361" s="50" t="s">
        <v>1656</v>
      </c>
    </row>
    <row r="1362" spans="3:3" x14ac:dyDescent="0.25">
      <c r="C1362" s="50" t="s">
        <v>1657</v>
      </c>
    </row>
    <row r="1363" spans="3:3" x14ac:dyDescent="0.25">
      <c r="C1363" s="50" t="s">
        <v>1658</v>
      </c>
    </row>
    <row r="1364" spans="3:3" x14ac:dyDescent="0.25">
      <c r="C1364" s="50" t="s">
        <v>1659</v>
      </c>
    </row>
    <row r="1365" spans="3:3" x14ac:dyDescent="0.25">
      <c r="C1365" s="50" t="s">
        <v>1660</v>
      </c>
    </row>
    <row r="1366" spans="3:3" x14ac:dyDescent="0.25">
      <c r="C1366" s="50" t="s">
        <v>1661</v>
      </c>
    </row>
    <row r="1367" spans="3:3" x14ac:dyDescent="0.25">
      <c r="C1367" s="50" t="s">
        <v>1662</v>
      </c>
    </row>
    <row r="1368" spans="3:3" x14ac:dyDescent="0.25">
      <c r="C1368" s="50" t="s">
        <v>1663</v>
      </c>
    </row>
    <row r="1369" spans="3:3" x14ac:dyDescent="0.25">
      <c r="C1369" s="50" t="s">
        <v>1664</v>
      </c>
    </row>
    <row r="1370" spans="3:3" x14ac:dyDescent="0.25">
      <c r="C1370" s="50" t="s">
        <v>1665</v>
      </c>
    </row>
    <row r="1371" spans="3:3" x14ac:dyDescent="0.25">
      <c r="C1371" s="50" t="s">
        <v>1666</v>
      </c>
    </row>
    <row r="1372" spans="3:3" x14ac:dyDescent="0.25">
      <c r="C1372" s="50" t="s">
        <v>1667</v>
      </c>
    </row>
    <row r="1373" spans="3:3" x14ac:dyDescent="0.25">
      <c r="C1373" s="50" t="s">
        <v>1668</v>
      </c>
    </row>
    <row r="1374" spans="3:3" x14ac:dyDescent="0.25">
      <c r="C1374" s="50" t="s">
        <v>1669</v>
      </c>
    </row>
    <row r="1375" spans="3:3" x14ac:dyDescent="0.25">
      <c r="C1375" s="50" t="s">
        <v>1670</v>
      </c>
    </row>
    <row r="1376" spans="3:3" x14ac:dyDescent="0.25">
      <c r="C1376" s="50" t="s">
        <v>1671</v>
      </c>
    </row>
    <row r="1377" spans="3:3" x14ac:dyDescent="0.25">
      <c r="C1377" s="50" t="s">
        <v>1672</v>
      </c>
    </row>
    <row r="1378" spans="3:3" x14ac:dyDescent="0.25">
      <c r="C1378" s="50" t="s">
        <v>1673</v>
      </c>
    </row>
    <row r="1379" spans="3:3" x14ac:dyDescent="0.25">
      <c r="C1379" s="50" t="s">
        <v>1674</v>
      </c>
    </row>
    <row r="1380" spans="3:3" x14ac:dyDescent="0.25">
      <c r="C1380" s="50" t="s">
        <v>1675</v>
      </c>
    </row>
    <row r="1381" spans="3:3" x14ac:dyDescent="0.25">
      <c r="C1381" s="50" t="s">
        <v>1676</v>
      </c>
    </row>
    <row r="1382" spans="3:3" x14ac:dyDescent="0.25">
      <c r="C1382" s="50" t="s">
        <v>1677</v>
      </c>
    </row>
    <row r="1383" spans="3:3" x14ac:dyDescent="0.25">
      <c r="C1383" s="50" t="s">
        <v>1678</v>
      </c>
    </row>
    <row r="1384" spans="3:3" x14ac:dyDescent="0.25">
      <c r="C1384" s="50" t="s">
        <v>1679</v>
      </c>
    </row>
    <row r="1385" spans="3:3" x14ac:dyDescent="0.25">
      <c r="C1385" s="50" t="s">
        <v>1680</v>
      </c>
    </row>
    <row r="1386" spans="3:3" x14ac:dyDescent="0.25">
      <c r="C1386" s="50" t="s">
        <v>1681</v>
      </c>
    </row>
    <row r="1387" spans="3:3" x14ac:dyDescent="0.25">
      <c r="C1387" s="50" t="s">
        <v>1682</v>
      </c>
    </row>
    <row r="1388" spans="3:3" x14ac:dyDescent="0.25">
      <c r="C1388" s="50" t="s">
        <v>1683</v>
      </c>
    </row>
    <row r="1389" spans="3:3" x14ac:dyDescent="0.25">
      <c r="C1389" s="50" t="s">
        <v>1684</v>
      </c>
    </row>
    <row r="1390" spans="3:3" x14ac:dyDescent="0.25">
      <c r="C1390" s="50" t="s">
        <v>1685</v>
      </c>
    </row>
    <row r="1391" spans="3:3" x14ac:dyDescent="0.25">
      <c r="C1391" s="50" t="s">
        <v>1686</v>
      </c>
    </row>
    <row r="1392" spans="3:3" x14ac:dyDescent="0.25">
      <c r="C1392" s="50" t="s">
        <v>1687</v>
      </c>
    </row>
    <row r="1393" spans="3:3" x14ac:dyDescent="0.25">
      <c r="C1393" s="50" t="s">
        <v>1688</v>
      </c>
    </row>
    <row r="1394" spans="3:3" x14ac:dyDescent="0.25">
      <c r="C1394" s="50" t="s">
        <v>1689</v>
      </c>
    </row>
    <row r="1395" spans="3:3" x14ac:dyDescent="0.25">
      <c r="C1395" s="50" t="s">
        <v>1690</v>
      </c>
    </row>
    <row r="1396" spans="3:3" x14ac:dyDescent="0.25">
      <c r="C1396" s="50" t="s">
        <v>1691</v>
      </c>
    </row>
    <row r="1397" spans="3:3" x14ac:dyDescent="0.25">
      <c r="C1397" s="50" t="s">
        <v>1692</v>
      </c>
    </row>
    <row r="1398" spans="3:3" x14ac:dyDescent="0.25">
      <c r="C1398" s="50" t="s">
        <v>1693</v>
      </c>
    </row>
    <row r="1399" spans="3:3" x14ac:dyDescent="0.25">
      <c r="C1399" s="50" t="s">
        <v>1694</v>
      </c>
    </row>
    <row r="1400" spans="3:3" x14ac:dyDescent="0.25">
      <c r="C1400" s="50" t="s">
        <v>1695</v>
      </c>
    </row>
    <row r="1401" spans="3:3" x14ac:dyDescent="0.25">
      <c r="C1401" s="50" t="s">
        <v>1696</v>
      </c>
    </row>
    <row r="1402" spans="3:3" x14ac:dyDescent="0.25">
      <c r="C1402" s="50" t="s">
        <v>1697</v>
      </c>
    </row>
    <row r="1403" spans="3:3" x14ac:dyDescent="0.25">
      <c r="C1403" s="50" t="s">
        <v>1698</v>
      </c>
    </row>
    <row r="1404" spans="3:3" x14ac:dyDescent="0.25">
      <c r="C1404" s="50" t="s">
        <v>1699</v>
      </c>
    </row>
    <row r="1405" spans="3:3" x14ac:dyDescent="0.25">
      <c r="C1405" s="50" t="s">
        <v>1700</v>
      </c>
    </row>
    <row r="1406" spans="3:3" x14ac:dyDescent="0.25">
      <c r="C1406" s="50" t="s">
        <v>1701</v>
      </c>
    </row>
    <row r="1407" spans="3:3" x14ac:dyDescent="0.25">
      <c r="C1407" s="50" t="s">
        <v>1702</v>
      </c>
    </row>
    <row r="1408" spans="3:3" x14ac:dyDescent="0.25">
      <c r="C1408" s="50" t="s">
        <v>1703</v>
      </c>
    </row>
    <row r="1409" spans="3:3" x14ac:dyDescent="0.25">
      <c r="C1409" s="50" t="s">
        <v>1704</v>
      </c>
    </row>
    <row r="1410" spans="3:3" x14ac:dyDescent="0.25">
      <c r="C1410" s="50" t="s">
        <v>1705</v>
      </c>
    </row>
    <row r="1411" spans="3:3" x14ac:dyDescent="0.25">
      <c r="C1411" s="50" t="s">
        <v>1706</v>
      </c>
    </row>
    <row r="1412" spans="3:3" x14ac:dyDescent="0.25">
      <c r="C1412" s="50" t="s">
        <v>1707</v>
      </c>
    </row>
    <row r="1413" spans="3:3" x14ac:dyDescent="0.25">
      <c r="C1413" s="50" t="s">
        <v>1708</v>
      </c>
    </row>
    <row r="1414" spans="3:3" x14ac:dyDescent="0.25">
      <c r="C1414" s="50" t="s">
        <v>1709</v>
      </c>
    </row>
    <row r="1415" spans="3:3" x14ac:dyDescent="0.25">
      <c r="C1415" s="50" t="s">
        <v>1710</v>
      </c>
    </row>
    <row r="1416" spans="3:3" x14ac:dyDescent="0.25">
      <c r="C1416" s="50" t="s">
        <v>1711</v>
      </c>
    </row>
    <row r="1417" spans="3:3" x14ac:dyDescent="0.25">
      <c r="C1417" s="50" t="s">
        <v>1712</v>
      </c>
    </row>
    <row r="1418" spans="3:3" x14ac:dyDescent="0.25">
      <c r="C1418" s="50" t="s">
        <v>1713</v>
      </c>
    </row>
    <row r="1419" spans="3:3" x14ac:dyDescent="0.25">
      <c r="C1419" s="50" t="s">
        <v>1714</v>
      </c>
    </row>
    <row r="1420" spans="3:3" x14ac:dyDescent="0.25">
      <c r="C1420" s="50" t="s">
        <v>1715</v>
      </c>
    </row>
    <row r="1421" spans="3:3" x14ac:dyDescent="0.25">
      <c r="C1421" s="50" t="s">
        <v>1716</v>
      </c>
    </row>
    <row r="1422" spans="3:3" x14ac:dyDescent="0.25">
      <c r="C1422" s="50" t="s">
        <v>1717</v>
      </c>
    </row>
    <row r="1423" spans="3:3" x14ac:dyDescent="0.25">
      <c r="C1423" s="50" t="s">
        <v>1718</v>
      </c>
    </row>
    <row r="1424" spans="3:3" x14ac:dyDescent="0.25">
      <c r="C1424" s="50" t="s">
        <v>1719</v>
      </c>
    </row>
    <row r="1425" spans="3:3" x14ac:dyDescent="0.25">
      <c r="C1425" s="50" t="s">
        <v>1720</v>
      </c>
    </row>
    <row r="1426" spans="3:3" x14ac:dyDescent="0.25">
      <c r="C1426" s="50" t="s">
        <v>1721</v>
      </c>
    </row>
    <row r="1427" spans="3:3" x14ac:dyDescent="0.25">
      <c r="C1427" s="50" t="s">
        <v>1722</v>
      </c>
    </row>
    <row r="1428" spans="3:3" x14ac:dyDescent="0.25">
      <c r="C1428" s="50" t="s">
        <v>1723</v>
      </c>
    </row>
    <row r="1429" spans="3:3" x14ac:dyDescent="0.25">
      <c r="C1429" s="50" t="s">
        <v>1724</v>
      </c>
    </row>
    <row r="1430" spans="3:3" x14ac:dyDescent="0.25">
      <c r="C1430" s="50" t="s">
        <v>1725</v>
      </c>
    </row>
    <row r="1431" spans="3:3" x14ac:dyDescent="0.25">
      <c r="C1431" s="50" t="s">
        <v>1726</v>
      </c>
    </row>
    <row r="1432" spans="3:3" x14ac:dyDescent="0.25">
      <c r="C1432" s="50" t="s">
        <v>1727</v>
      </c>
    </row>
    <row r="1433" spans="3:3" x14ac:dyDescent="0.25">
      <c r="C1433" s="50" t="s">
        <v>1728</v>
      </c>
    </row>
    <row r="1434" spans="3:3" x14ac:dyDescent="0.25">
      <c r="C1434" s="50" t="s">
        <v>1729</v>
      </c>
    </row>
    <row r="1435" spans="3:3" x14ac:dyDescent="0.25">
      <c r="C1435" s="50" t="s">
        <v>1730</v>
      </c>
    </row>
    <row r="1436" spans="3:3" x14ac:dyDescent="0.25">
      <c r="C1436" s="50" t="s">
        <v>1731</v>
      </c>
    </row>
    <row r="1437" spans="3:3" x14ac:dyDescent="0.25">
      <c r="C1437" s="50" t="s">
        <v>1732</v>
      </c>
    </row>
    <row r="1438" spans="3:3" x14ac:dyDescent="0.25">
      <c r="C1438" s="50" t="s">
        <v>1733</v>
      </c>
    </row>
    <row r="1439" spans="3:3" x14ac:dyDescent="0.25">
      <c r="C1439" s="50" t="s">
        <v>1734</v>
      </c>
    </row>
    <row r="1440" spans="3:3" x14ac:dyDescent="0.25">
      <c r="C1440" s="50" t="s">
        <v>1735</v>
      </c>
    </row>
    <row r="1441" spans="3:3" x14ac:dyDescent="0.25">
      <c r="C1441" s="50" t="s">
        <v>1736</v>
      </c>
    </row>
    <row r="1442" spans="3:3" x14ac:dyDescent="0.25">
      <c r="C1442" s="50" t="s">
        <v>1737</v>
      </c>
    </row>
    <row r="1443" spans="3:3" x14ac:dyDescent="0.25">
      <c r="C1443" s="50" t="s">
        <v>1738</v>
      </c>
    </row>
    <row r="1444" spans="3:3" x14ac:dyDescent="0.25">
      <c r="C1444" s="50" t="s">
        <v>1739</v>
      </c>
    </row>
    <row r="1445" spans="3:3" x14ac:dyDescent="0.25">
      <c r="C1445" s="50" t="s">
        <v>1740</v>
      </c>
    </row>
    <row r="1446" spans="3:3" x14ac:dyDescent="0.25">
      <c r="C1446" s="50" t="s">
        <v>1741</v>
      </c>
    </row>
    <row r="1447" spans="3:3" x14ac:dyDescent="0.25">
      <c r="C1447" s="50" t="s">
        <v>1742</v>
      </c>
    </row>
    <row r="1448" spans="3:3" x14ac:dyDescent="0.25">
      <c r="C1448" s="50" t="s">
        <v>1743</v>
      </c>
    </row>
    <row r="1449" spans="3:3" x14ac:dyDescent="0.25">
      <c r="C1449" s="50" t="s">
        <v>1744</v>
      </c>
    </row>
    <row r="1450" spans="3:3" x14ac:dyDescent="0.25">
      <c r="C1450" s="50" t="s">
        <v>1745</v>
      </c>
    </row>
    <row r="1451" spans="3:3" x14ac:dyDescent="0.25">
      <c r="C1451" s="50" t="s">
        <v>1746</v>
      </c>
    </row>
    <row r="1452" spans="3:3" x14ac:dyDescent="0.25">
      <c r="C1452" s="50" t="s">
        <v>1747</v>
      </c>
    </row>
    <row r="1453" spans="3:3" x14ac:dyDescent="0.25">
      <c r="C1453" s="50" t="s">
        <v>1748</v>
      </c>
    </row>
    <row r="1454" spans="3:3" x14ac:dyDescent="0.25">
      <c r="C1454" s="50" t="s">
        <v>1749</v>
      </c>
    </row>
    <row r="1455" spans="3:3" x14ac:dyDescent="0.25">
      <c r="C1455" s="50" t="s">
        <v>1750</v>
      </c>
    </row>
    <row r="1456" spans="3:3" x14ac:dyDescent="0.25">
      <c r="C1456" s="50" t="s">
        <v>1751</v>
      </c>
    </row>
    <row r="1457" spans="3:3" x14ac:dyDescent="0.25">
      <c r="C1457" s="50" t="s">
        <v>1752</v>
      </c>
    </row>
    <row r="1458" spans="3:3" x14ac:dyDescent="0.25">
      <c r="C1458" s="50" t="s">
        <v>1753</v>
      </c>
    </row>
    <row r="1459" spans="3:3" x14ac:dyDescent="0.25">
      <c r="C1459" s="50" t="s">
        <v>1754</v>
      </c>
    </row>
    <row r="1460" spans="3:3" x14ac:dyDescent="0.25">
      <c r="C1460" s="50" t="s">
        <v>1755</v>
      </c>
    </row>
    <row r="1461" spans="3:3" x14ac:dyDescent="0.25">
      <c r="C1461" s="50" t="s">
        <v>1756</v>
      </c>
    </row>
    <row r="1462" spans="3:3" x14ac:dyDescent="0.25">
      <c r="C1462" s="50" t="s">
        <v>1757</v>
      </c>
    </row>
    <row r="1463" spans="3:3" x14ac:dyDescent="0.25">
      <c r="C1463" s="50" t="s">
        <v>1758</v>
      </c>
    </row>
    <row r="1464" spans="3:3" x14ac:dyDescent="0.25">
      <c r="C1464" s="50" t="s">
        <v>1759</v>
      </c>
    </row>
    <row r="1465" spans="3:3" x14ac:dyDescent="0.25">
      <c r="C1465" s="50" t="s">
        <v>1760</v>
      </c>
    </row>
    <row r="1466" spans="3:3" x14ac:dyDescent="0.25">
      <c r="C1466" s="50" t="s">
        <v>1761</v>
      </c>
    </row>
    <row r="1467" spans="3:3" x14ac:dyDescent="0.25">
      <c r="C1467" s="50" t="s">
        <v>1762</v>
      </c>
    </row>
    <row r="1468" spans="3:3" x14ac:dyDescent="0.25">
      <c r="C1468" s="50" t="s">
        <v>1763</v>
      </c>
    </row>
    <row r="1469" spans="3:3" x14ac:dyDescent="0.25">
      <c r="C1469" s="50" t="s">
        <v>1764</v>
      </c>
    </row>
    <row r="1470" spans="3:3" x14ac:dyDescent="0.25">
      <c r="C1470" s="50" t="s">
        <v>1765</v>
      </c>
    </row>
    <row r="1471" spans="3:3" x14ac:dyDescent="0.25">
      <c r="C1471" s="50" t="s">
        <v>1766</v>
      </c>
    </row>
    <row r="1472" spans="3:3" x14ac:dyDescent="0.25">
      <c r="C1472" s="50" t="s">
        <v>1767</v>
      </c>
    </row>
    <row r="1473" spans="3:3" x14ac:dyDescent="0.25">
      <c r="C1473" s="50" t="s">
        <v>1768</v>
      </c>
    </row>
    <row r="1474" spans="3:3" x14ac:dyDescent="0.25">
      <c r="C1474" s="50" t="s">
        <v>1769</v>
      </c>
    </row>
    <row r="1475" spans="3:3" x14ac:dyDescent="0.25">
      <c r="C1475" s="50" t="s">
        <v>1770</v>
      </c>
    </row>
    <row r="1476" spans="3:3" x14ac:dyDescent="0.25">
      <c r="C1476" s="50" t="s">
        <v>1771</v>
      </c>
    </row>
    <row r="1477" spans="3:3" x14ac:dyDescent="0.25">
      <c r="C1477" s="50" t="s">
        <v>1772</v>
      </c>
    </row>
    <row r="1478" spans="3:3" x14ac:dyDescent="0.25">
      <c r="C1478" s="50" t="s">
        <v>1773</v>
      </c>
    </row>
    <row r="1479" spans="3:3" x14ac:dyDescent="0.25">
      <c r="C1479" s="50" t="s">
        <v>1774</v>
      </c>
    </row>
    <row r="1480" spans="3:3" x14ac:dyDescent="0.25">
      <c r="C1480" s="50" t="s">
        <v>1775</v>
      </c>
    </row>
    <row r="1481" spans="3:3" x14ac:dyDescent="0.25">
      <c r="C1481" s="50" t="s">
        <v>1776</v>
      </c>
    </row>
    <row r="1482" spans="3:3" x14ac:dyDescent="0.25">
      <c r="C1482" s="50" t="s">
        <v>1777</v>
      </c>
    </row>
    <row r="1483" spans="3:3" x14ac:dyDescent="0.25">
      <c r="C1483" s="50" t="s">
        <v>1778</v>
      </c>
    </row>
    <row r="1484" spans="3:3" x14ac:dyDescent="0.25">
      <c r="C1484" s="50" t="s">
        <v>1779</v>
      </c>
    </row>
    <row r="1485" spans="3:3" x14ac:dyDescent="0.25">
      <c r="C1485" s="50" t="s">
        <v>1780</v>
      </c>
    </row>
    <row r="1486" spans="3:3" x14ac:dyDescent="0.25">
      <c r="C1486" s="50" t="s">
        <v>1781</v>
      </c>
    </row>
    <row r="1487" spans="3:3" x14ac:dyDescent="0.25">
      <c r="C1487" s="50" t="s">
        <v>1782</v>
      </c>
    </row>
    <row r="1488" spans="3:3" x14ac:dyDescent="0.25">
      <c r="C1488" s="50" t="s">
        <v>1783</v>
      </c>
    </row>
    <row r="1489" spans="3:3" x14ac:dyDescent="0.25">
      <c r="C1489" s="50" t="s">
        <v>1784</v>
      </c>
    </row>
    <row r="1490" spans="3:3" x14ac:dyDescent="0.25">
      <c r="C1490" s="50" t="s">
        <v>1785</v>
      </c>
    </row>
    <row r="1491" spans="3:3" x14ac:dyDescent="0.25">
      <c r="C1491" s="50" t="s">
        <v>1786</v>
      </c>
    </row>
    <row r="1492" spans="3:3" x14ac:dyDescent="0.25">
      <c r="C1492" s="50" t="s">
        <v>1787</v>
      </c>
    </row>
    <row r="1493" spans="3:3" x14ac:dyDescent="0.25">
      <c r="C1493" s="50" t="s">
        <v>1788</v>
      </c>
    </row>
    <row r="1494" spans="3:3" x14ac:dyDescent="0.25">
      <c r="C1494" s="50" t="s">
        <v>1789</v>
      </c>
    </row>
    <row r="1495" spans="3:3" x14ac:dyDescent="0.25">
      <c r="C1495" s="50" t="s">
        <v>1790</v>
      </c>
    </row>
    <row r="1496" spans="3:3" x14ac:dyDescent="0.25">
      <c r="C1496" s="50" t="s">
        <v>1791</v>
      </c>
    </row>
    <row r="1497" spans="3:3" x14ac:dyDescent="0.25">
      <c r="C1497" s="50" t="s">
        <v>1792</v>
      </c>
    </row>
    <row r="1498" spans="3:3" x14ac:dyDescent="0.25">
      <c r="C1498" s="50" t="s">
        <v>1793</v>
      </c>
    </row>
    <row r="1499" spans="3:3" x14ac:dyDescent="0.25">
      <c r="C1499" s="50" t="s">
        <v>1794</v>
      </c>
    </row>
    <row r="1500" spans="3:3" x14ac:dyDescent="0.25">
      <c r="C1500" s="50" t="s">
        <v>1795</v>
      </c>
    </row>
    <row r="1501" spans="3:3" x14ac:dyDescent="0.25">
      <c r="C1501" s="50" t="s">
        <v>1796</v>
      </c>
    </row>
    <row r="1502" spans="3:3" x14ac:dyDescent="0.25">
      <c r="C1502" s="50" t="s">
        <v>1797</v>
      </c>
    </row>
    <row r="1503" spans="3:3" x14ac:dyDescent="0.25">
      <c r="C1503" s="50" t="s">
        <v>1798</v>
      </c>
    </row>
    <row r="1504" spans="3:3" x14ac:dyDescent="0.25">
      <c r="C1504" s="50" t="s">
        <v>1799</v>
      </c>
    </row>
    <row r="1505" spans="3:3" x14ac:dyDescent="0.25">
      <c r="C1505" s="50" t="s">
        <v>1800</v>
      </c>
    </row>
    <row r="1506" spans="3:3" x14ac:dyDescent="0.25">
      <c r="C1506" s="50" t="s">
        <v>1801</v>
      </c>
    </row>
    <row r="1507" spans="3:3" x14ac:dyDescent="0.25">
      <c r="C1507" s="50" t="s">
        <v>1802</v>
      </c>
    </row>
    <row r="1508" spans="3:3" x14ac:dyDescent="0.25">
      <c r="C1508" s="50" t="s">
        <v>1803</v>
      </c>
    </row>
    <row r="1509" spans="3:3" x14ac:dyDescent="0.25">
      <c r="C1509" s="50" t="s">
        <v>1804</v>
      </c>
    </row>
    <row r="1510" spans="3:3" x14ac:dyDescent="0.25">
      <c r="C1510" s="50" t="s">
        <v>1805</v>
      </c>
    </row>
    <row r="1511" spans="3:3" x14ac:dyDescent="0.25">
      <c r="C1511" s="50" t="s">
        <v>1806</v>
      </c>
    </row>
    <row r="1512" spans="3:3" x14ac:dyDescent="0.25">
      <c r="C1512" s="50" t="s">
        <v>1807</v>
      </c>
    </row>
    <row r="1513" spans="3:3" x14ac:dyDescent="0.25">
      <c r="C1513" s="50" t="s">
        <v>1808</v>
      </c>
    </row>
    <row r="1514" spans="3:3" x14ac:dyDescent="0.25">
      <c r="C1514" s="50" t="s">
        <v>1809</v>
      </c>
    </row>
    <row r="1515" spans="3:3" x14ac:dyDescent="0.25">
      <c r="C1515" s="50" t="s">
        <v>1810</v>
      </c>
    </row>
    <row r="1516" spans="3:3" x14ac:dyDescent="0.25">
      <c r="C1516" s="50" t="s">
        <v>1811</v>
      </c>
    </row>
    <row r="1517" spans="3:3" x14ac:dyDescent="0.25">
      <c r="C1517" s="50" t="s">
        <v>1812</v>
      </c>
    </row>
    <row r="1518" spans="3:3" x14ac:dyDescent="0.25">
      <c r="C1518" s="50" t="s">
        <v>1813</v>
      </c>
    </row>
    <row r="1519" spans="3:3" x14ac:dyDescent="0.25">
      <c r="C1519" s="50" t="s">
        <v>1814</v>
      </c>
    </row>
    <row r="1520" spans="3:3" x14ac:dyDescent="0.25">
      <c r="C1520" s="50" t="s">
        <v>1815</v>
      </c>
    </row>
    <row r="1521" spans="3:3" x14ac:dyDescent="0.25">
      <c r="C1521" s="50" t="s">
        <v>1816</v>
      </c>
    </row>
    <row r="1522" spans="3:3" x14ac:dyDescent="0.25">
      <c r="C1522" s="50" t="s">
        <v>1817</v>
      </c>
    </row>
    <row r="1523" spans="3:3" x14ac:dyDescent="0.25">
      <c r="C1523" s="50" t="s">
        <v>1818</v>
      </c>
    </row>
    <row r="1524" spans="3:3" x14ac:dyDescent="0.25">
      <c r="C1524" s="50" t="s">
        <v>1819</v>
      </c>
    </row>
    <row r="1525" spans="3:3" x14ac:dyDescent="0.25">
      <c r="C1525" s="50" t="s">
        <v>1820</v>
      </c>
    </row>
    <row r="1526" spans="3:3" x14ac:dyDescent="0.25">
      <c r="C1526" s="50" t="s">
        <v>1821</v>
      </c>
    </row>
    <row r="1527" spans="3:3" x14ac:dyDescent="0.25">
      <c r="C1527" s="50" t="s">
        <v>1822</v>
      </c>
    </row>
    <row r="1528" spans="3:3" x14ac:dyDescent="0.25">
      <c r="C1528" s="50" t="s">
        <v>1823</v>
      </c>
    </row>
    <row r="1529" spans="3:3" x14ac:dyDescent="0.25">
      <c r="C1529" s="50" t="s">
        <v>1824</v>
      </c>
    </row>
    <row r="1530" spans="3:3" x14ac:dyDescent="0.25">
      <c r="C1530" s="50" t="s">
        <v>1825</v>
      </c>
    </row>
    <row r="1531" spans="3:3" x14ac:dyDescent="0.25">
      <c r="C1531" s="50" t="s">
        <v>1826</v>
      </c>
    </row>
    <row r="1532" spans="3:3" x14ac:dyDescent="0.25">
      <c r="C1532" s="50" t="s">
        <v>1827</v>
      </c>
    </row>
    <row r="1533" spans="3:3" x14ac:dyDescent="0.25">
      <c r="C1533" s="50" t="s">
        <v>1828</v>
      </c>
    </row>
    <row r="1534" spans="3:3" x14ac:dyDescent="0.25">
      <c r="C1534" s="50" t="s">
        <v>1829</v>
      </c>
    </row>
    <row r="1535" spans="3:3" x14ac:dyDescent="0.25">
      <c r="C1535" s="50" t="s">
        <v>1830</v>
      </c>
    </row>
    <row r="1536" spans="3:3" x14ac:dyDescent="0.25">
      <c r="C1536" s="50" t="s">
        <v>1831</v>
      </c>
    </row>
    <row r="1537" spans="3:3" x14ac:dyDescent="0.25">
      <c r="C1537" s="50" t="s">
        <v>1832</v>
      </c>
    </row>
    <row r="1538" spans="3:3" x14ac:dyDescent="0.25">
      <c r="C1538" s="50" t="s">
        <v>1833</v>
      </c>
    </row>
    <row r="1539" spans="3:3" x14ac:dyDescent="0.25">
      <c r="C1539" s="50" t="s">
        <v>1834</v>
      </c>
    </row>
    <row r="1540" spans="3:3" x14ac:dyDescent="0.25">
      <c r="C1540" s="50" t="s">
        <v>1835</v>
      </c>
    </row>
    <row r="1541" spans="3:3" x14ac:dyDescent="0.25">
      <c r="C1541" s="50" t="s">
        <v>1836</v>
      </c>
    </row>
    <row r="1542" spans="3:3" x14ac:dyDescent="0.25">
      <c r="C1542" s="50" t="s">
        <v>1837</v>
      </c>
    </row>
    <row r="1543" spans="3:3" x14ac:dyDescent="0.25">
      <c r="C1543" s="50" t="s">
        <v>1838</v>
      </c>
    </row>
    <row r="1544" spans="3:3" x14ac:dyDescent="0.25">
      <c r="C1544" s="50" t="s">
        <v>1839</v>
      </c>
    </row>
    <row r="1545" spans="3:3" x14ac:dyDescent="0.25">
      <c r="C1545" s="50" t="s">
        <v>1840</v>
      </c>
    </row>
    <row r="1546" spans="3:3" x14ac:dyDescent="0.25">
      <c r="C1546" s="50" t="s">
        <v>1841</v>
      </c>
    </row>
    <row r="1547" spans="3:3" x14ac:dyDescent="0.25">
      <c r="C1547" s="50" t="s">
        <v>1842</v>
      </c>
    </row>
    <row r="1548" spans="3:3" x14ac:dyDescent="0.25">
      <c r="C1548" s="50" t="s">
        <v>1843</v>
      </c>
    </row>
    <row r="1549" spans="3:3" x14ac:dyDescent="0.25">
      <c r="C1549" s="50" t="s">
        <v>1844</v>
      </c>
    </row>
    <row r="1550" spans="3:3" x14ac:dyDescent="0.25">
      <c r="C1550" s="50" t="s">
        <v>1845</v>
      </c>
    </row>
    <row r="1551" spans="3:3" x14ac:dyDescent="0.25">
      <c r="C1551" s="50" t="s">
        <v>1846</v>
      </c>
    </row>
    <row r="1552" spans="3:3" x14ac:dyDescent="0.25">
      <c r="C1552" s="50" t="s">
        <v>1847</v>
      </c>
    </row>
    <row r="1553" spans="3:3" x14ac:dyDescent="0.25">
      <c r="C1553" s="50" t="s">
        <v>1848</v>
      </c>
    </row>
    <row r="1554" spans="3:3" x14ac:dyDescent="0.25">
      <c r="C1554" s="50" t="s">
        <v>1849</v>
      </c>
    </row>
    <row r="1555" spans="3:3" x14ac:dyDescent="0.25">
      <c r="C1555" s="50" t="s">
        <v>1850</v>
      </c>
    </row>
    <row r="1556" spans="3:3" x14ac:dyDescent="0.25">
      <c r="C1556" s="50" t="s">
        <v>1851</v>
      </c>
    </row>
    <row r="1557" spans="3:3" x14ac:dyDescent="0.25">
      <c r="C1557" s="50" t="s">
        <v>1852</v>
      </c>
    </row>
    <row r="1558" spans="3:3" x14ac:dyDescent="0.25">
      <c r="C1558" s="50" t="s">
        <v>1853</v>
      </c>
    </row>
    <row r="1559" spans="3:3" x14ac:dyDescent="0.25">
      <c r="C1559" s="50" t="s">
        <v>1854</v>
      </c>
    </row>
    <row r="1560" spans="3:3" x14ac:dyDescent="0.25">
      <c r="C1560" s="50" t="s">
        <v>1855</v>
      </c>
    </row>
    <row r="1561" spans="3:3" x14ac:dyDescent="0.25">
      <c r="C1561" s="50" t="s">
        <v>1856</v>
      </c>
    </row>
    <row r="1562" spans="3:3" x14ac:dyDescent="0.25">
      <c r="C1562" s="50" t="s">
        <v>1857</v>
      </c>
    </row>
    <row r="1563" spans="3:3" x14ac:dyDescent="0.25">
      <c r="C1563" s="50" t="s">
        <v>1858</v>
      </c>
    </row>
    <row r="1564" spans="3:3" x14ac:dyDescent="0.25">
      <c r="C1564" s="50" t="s">
        <v>1859</v>
      </c>
    </row>
    <row r="1565" spans="3:3" x14ac:dyDescent="0.25">
      <c r="C1565" s="50" t="s">
        <v>1860</v>
      </c>
    </row>
    <row r="1566" spans="3:3" x14ac:dyDescent="0.25">
      <c r="C1566" s="50" t="s">
        <v>1861</v>
      </c>
    </row>
    <row r="1567" spans="3:3" x14ac:dyDescent="0.25">
      <c r="C1567" s="50" t="s">
        <v>1862</v>
      </c>
    </row>
    <row r="1568" spans="3:3" x14ac:dyDescent="0.25">
      <c r="C1568" s="50" t="s">
        <v>1863</v>
      </c>
    </row>
    <row r="1569" spans="3:3" x14ac:dyDescent="0.25">
      <c r="C1569" s="50" t="s">
        <v>1864</v>
      </c>
    </row>
    <row r="1570" spans="3:3" x14ac:dyDescent="0.25">
      <c r="C1570" s="50" t="s">
        <v>1865</v>
      </c>
    </row>
    <row r="1571" spans="3:3" x14ac:dyDescent="0.25">
      <c r="C1571" s="50" t="s">
        <v>1866</v>
      </c>
    </row>
    <row r="1572" spans="3:3" x14ac:dyDescent="0.25">
      <c r="C1572" s="50" t="s">
        <v>1867</v>
      </c>
    </row>
    <row r="1573" spans="3:3" x14ac:dyDescent="0.25">
      <c r="C1573" s="50" t="s">
        <v>1868</v>
      </c>
    </row>
    <row r="1574" spans="3:3" x14ac:dyDescent="0.25">
      <c r="C1574" s="50" t="s">
        <v>1869</v>
      </c>
    </row>
    <row r="1575" spans="3:3" x14ac:dyDescent="0.25">
      <c r="C1575" s="50" t="s">
        <v>1870</v>
      </c>
    </row>
    <row r="1576" spans="3:3" x14ac:dyDescent="0.25">
      <c r="C1576" s="50" t="s">
        <v>1871</v>
      </c>
    </row>
    <row r="1577" spans="3:3" x14ac:dyDescent="0.25">
      <c r="C1577" s="50" t="s">
        <v>1872</v>
      </c>
    </row>
    <row r="1578" spans="3:3" x14ac:dyDescent="0.25">
      <c r="C1578" s="50" t="s">
        <v>1873</v>
      </c>
    </row>
    <row r="1579" spans="3:3" x14ac:dyDescent="0.25">
      <c r="C1579" s="50" t="s">
        <v>1874</v>
      </c>
    </row>
    <row r="1580" spans="3:3" x14ac:dyDescent="0.25">
      <c r="C1580" s="50" t="s">
        <v>1875</v>
      </c>
    </row>
    <row r="1581" spans="3:3" x14ac:dyDescent="0.25">
      <c r="C1581" s="50" t="s">
        <v>1876</v>
      </c>
    </row>
    <row r="1582" spans="3:3" x14ac:dyDescent="0.25">
      <c r="C1582" s="50" t="s">
        <v>1877</v>
      </c>
    </row>
    <row r="1583" spans="3:3" x14ac:dyDescent="0.25">
      <c r="C1583" s="50" t="s">
        <v>1878</v>
      </c>
    </row>
    <row r="1584" spans="3:3" x14ac:dyDescent="0.25">
      <c r="C1584" s="50" t="s">
        <v>1879</v>
      </c>
    </row>
    <row r="1585" spans="3:3" x14ac:dyDescent="0.25">
      <c r="C1585" s="50" t="s">
        <v>1880</v>
      </c>
    </row>
    <row r="1586" spans="3:3" x14ac:dyDescent="0.25">
      <c r="C1586" s="50" t="s">
        <v>1881</v>
      </c>
    </row>
    <row r="1587" spans="3:3" x14ac:dyDescent="0.25">
      <c r="C1587" s="50" t="s">
        <v>1882</v>
      </c>
    </row>
    <row r="1588" spans="3:3" x14ac:dyDescent="0.25">
      <c r="C1588" s="50" t="s">
        <v>1883</v>
      </c>
    </row>
    <row r="1589" spans="3:3" x14ac:dyDescent="0.25">
      <c r="C1589" s="50" t="s">
        <v>1884</v>
      </c>
    </row>
    <row r="1590" spans="3:3" x14ac:dyDescent="0.25">
      <c r="C1590" s="50" t="s">
        <v>1885</v>
      </c>
    </row>
    <row r="1591" spans="3:3" x14ac:dyDescent="0.25">
      <c r="C1591" s="50" t="s">
        <v>1886</v>
      </c>
    </row>
    <row r="1592" spans="3:3" x14ac:dyDescent="0.25">
      <c r="C1592" s="50" t="s">
        <v>1887</v>
      </c>
    </row>
    <row r="1593" spans="3:3" x14ac:dyDescent="0.25">
      <c r="C1593" s="50" t="s">
        <v>1888</v>
      </c>
    </row>
    <row r="1594" spans="3:3" x14ac:dyDescent="0.25">
      <c r="C1594" s="50" t="s">
        <v>1889</v>
      </c>
    </row>
    <row r="1595" spans="3:3" x14ac:dyDescent="0.25">
      <c r="C1595" s="50" t="s">
        <v>1890</v>
      </c>
    </row>
    <row r="1596" spans="3:3" x14ac:dyDescent="0.25">
      <c r="C1596" s="50" t="s">
        <v>1891</v>
      </c>
    </row>
    <row r="1597" spans="3:3" x14ac:dyDescent="0.25">
      <c r="C1597" s="50" t="s">
        <v>1892</v>
      </c>
    </row>
    <row r="1598" spans="3:3" x14ac:dyDescent="0.25">
      <c r="C1598" s="50" t="s">
        <v>1893</v>
      </c>
    </row>
    <row r="1599" spans="3:3" x14ac:dyDescent="0.25">
      <c r="C1599" s="50" t="s">
        <v>1894</v>
      </c>
    </row>
    <row r="1600" spans="3:3" x14ac:dyDescent="0.25">
      <c r="C1600" s="50" t="s">
        <v>1895</v>
      </c>
    </row>
    <row r="1601" spans="3:3" x14ac:dyDescent="0.25">
      <c r="C1601" s="50" t="s">
        <v>1896</v>
      </c>
    </row>
    <row r="1602" spans="3:3" x14ac:dyDescent="0.25">
      <c r="C1602" s="50" t="s">
        <v>1897</v>
      </c>
    </row>
    <row r="1603" spans="3:3" x14ac:dyDescent="0.25">
      <c r="C1603" s="50" t="s">
        <v>1898</v>
      </c>
    </row>
    <row r="1604" spans="3:3" x14ac:dyDescent="0.25">
      <c r="C1604" s="50" t="s">
        <v>1899</v>
      </c>
    </row>
    <row r="1605" spans="3:3" x14ac:dyDescent="0.25">
      <c r="C1605" s="50" t="s">
        <v>1900</v>
      </c>
    </row>
    <row r="1606" spans="3:3" x14ac:dyDescent="0.25">
      <c r="C1606" s="50" t="s">
        <v>1901</v>
      </c>
    </row>
    <row r="1607" spans="3:3" x14ac:dyDescent="0.25">
      <c r="C1607" s="50" t="s">
        <v>1902</v>
      </c>
    </row>
    <row r="1608" spans="3:3" x14ac:dyDescent="0.25">
      <c r="C1608" s="50" t="s">
        <v>1903</v>
      </c>
    </row>
    <row r="1609" spans="3:3" x14ac:dyDescent="0.25">
      <c r="C1609" s="50" t="s">
        <v>1904</v>
      </c>
    </row>
    <row r="1610" spans="3:3" x14ac:dyDescent="0.25">
      <c r="C1610" s="50" t="s">
        <v>1905</v>
      </c>
    </row>
    <row r="1611" spans="3:3" x14ac:dyDescent="0.25">
      <c r="C1611" s="50" t="s">
        <v>1906</v>
      </c>
    </row>
    <row r="1612" spans="3:3" x14ac:dyDescent="0.25">
      <c r="C1612" s="50" t="s">
        <v>1907</v>
      </c>
    </row>
    <row r="1613" spans="3:3" x14ac:dyDescent="0.25">
      <c r="C1613" s="50" t="s">
        <v>1908</v>
      </c>
    </row>
    <row r="1614" spans="3:3" x14ac:dyDescent="0.25">
      <c r="C1614" s="50" t="s">
        <v>1909</v>
      </c>
    </row>
    <row r="1615" spans="3:3" x14ac:dyDescent="0.25">
      <c r="C1615" s="50" t="s">
        <v>1910</v>
      </c>
    </row>
    <row r="1616" spans="3:3" x14ac:dyDescent="0.25">
      <c r="C1616" s="50" t="s">
        <v>1911</v>
      </c>
    </row>
    <row r="1617" spans="3:3" x14ac:dyDescent="0.25">
      <c r="C1617" s="50" t="s">
        <v>1912</v>
      </c>
    </row>
    <row r="1618" spans="3:3" x14ac:dyDescent="0.25">
      <c r="C1618" s="50" t="s">
        <v>1913</v>
      </c>
    </row>
    <row r="1619" spans="3:3" x14ac:dyDescent="0.25">
      <c r="C1619" s="50" t="s">
        <v>1914</v>
      </c>
    </row>
    <row r="1620" spans="3:3" x14ac:dyDescent="0.25">
      <c r="C1620" s="50" t="s">
        <v>1915</v>
      </c>
    </row>
    <row r="1621" spans="3:3" x14ac:dyDescent="0.25">
      <c r="C1621" s="50" t="s">
        <v>1916</v>
      </c>
    </row>
    <row r="1622" spans="3:3" x14ac:dyDescent="0.25">
      <c r="C1622" s="50" t="s">
        <v>1917</v>
      </c>
    </row>
    <row r="1623" spans="3:3" x14ac:dyDescent="0.25">
      <c r="C1623" s="50" t="s">
        <v>1918</v>
      </c>
    </row>
    <row r="1624" spans="3:3" x14ac:dyDescent="0.25">
      <c r="C1624" s="50" t="s">
        <v>1919</v>
      </c>
    </row>
    <row r="1625" spans="3:3" x14ac:dyDescent="0.25">
      <c r="C1625" s="50" t="s">
        <v>1920</v>
      </c>
    </row>
    <row r="1626" spans="3:3" x14ac:dyDescent="0.25">
      <c r="C1626" s="50" t="s">
        <v>1921</v>
      </c>
    </row>
    <row r="1627" spans="3:3" x14ac:dyDescent="0.25">
      <c r="C1627" s="50" t="s">
        <v>1922</v>
      </c>
    </row>
    <row r="1628" spans="3:3" x14ac:dyDescent="0.25">
      <c r="C1628" s="50" t="s">
        <v>1923</v>
      </c>
    </row>
    <row r="1629" spans="3:3" x14ac:dyDescent="0.25">
      <c r="C1629" s="50" t="s">
        <v>1924</v>
      </c>
    </row>
    <row r="1630" spans="3:3" x14ac:dyDescent="0.25">
      <c r="C1630" s="50" t="s">
        <v>1925</v>
      </c>
    </row>
    <row r="1631" spans="3:3" x14ac:dyDescent="0.25">
      <c r="C1631" s="50" t="s">
        <v>1926</v>
      </c>
    </row>
    <row r="1632" spans="3:3" x14ac:dyDescent="0.25">
      <c r="C1632" s="50" t="s">
        <v>1927</v>
      </c>
    </row>
    <row r="1633" spans="3:3" x14ac:dyDescent="0.25">
      <c r="C1633" s="50" t="s">
        <v>1928</v>
      </c>
    </row>
    <row r="1634" spans="3:3" x14ac:dyDescent="0.25">
      <c r="C1634" s="50" t="s">
        <v>1929</v>
      </c>
    </row>
    <row r="1635" spans="3:3" x14ac:dyDescent="0.25">
      <c r="C1635" s="50" t="s">
        <v>1930</v>
      </c>
    </row>
    <row r="1636" spans="3:3" x14ac:dyDescent="0.25">
      <c r="C1636" s="50" t="s">
        <v>1931</v>
      </c>
    </row>
    <row r="1637" spans="3:3" x14ac:dyDescent="0.25">
      <c r="C1637" s="50" t="s">
        <v>1932</v>
      </c>
    </row>
    <row r="1638" spans="3:3" x14ac:dyDescent="0.25">
      <c r="C1638" s="50" t="s">
        <v>1933</v>
      </c>
    </row>
    <row r="1639" spans="3:3" x14ac:dyDescent="0.25">
      <c r="C1639" s="50" t="s">
        <v>1934</v>
      </c>
    </row>
    <row r="1640" spans="3:3" x14ac:dyDescent="0.25">
      <c r="C1640" s="50" t="s">
        <v>1935</v>
      </c>
    </row>
    <row r="1641" spans="3:3" x14ac:dyDescent="0.25">
      <c r="C1641" s="50" t="s">
        <v>1936</v>
      </c>
    </row>
    <row r="1642" spans="3:3" x14ac:dyDescent="0.25">
      <c r="C1642" s="50" t="s">
        <v>1937</v>
      </c>
    </row>
    <row r="1643" spans="3:3" x14ac:dyDescent="0.25">
      <c r="C1643" s="50" t="s">
        <v>1938</v>
      </c>
    </row>
    <row r="1644" spans="3:3" x14ac:dyDescent="0.25">
      <c r="C1644" s="50" t="s">
        <v>1939</v>
      </c>
    </row>
    <row r="1645" spans="3:3" x14ac:dyDescent="0.25">
      <c r="C1645" s="50" t="s">
        <v>1940</v>
      </c>
    </row>
    <row r="1646" spans="3:3" x14ac:dyDescent="0.25">
      <c r="C1646" s="50" t="s">
        <v>1941</v>
      </c>
    </row>
    <row r="1647" spans="3:3" x14ac:dyDescent="0.25">
      <c r="C1647" s="50" t="s">
        <v>1942</v>
      </c>
    </row>
    <row r="1648" spans="3:3" x14ac:dyDescent="0.25">
      <c r="C1648" s="50" t="s">
        <v>1943</v>
      </c>
    </row>
    <row r="1649" spans="3:3" x14ac:dyDescent="0.25">
      <c r="C1649" s="50" t="s">
        <v>1944</v>
      </c>
    </row>
    <row r="1650" spans="3:3" x14ac:dyDescent="0.25">
      <c r="C1650" s="50" t="s">
        <v>1945</v>
      </c>
    </row>
    <row r="1651" spans="3:3" x14ac:dyDescent="0.25">
      <c r="C1651" s="50" t="s">
        <v>1946</v>
      </c>
    </row>
    <row r="1652" spans="3:3" x14ac:dyDescent="0.25">
      <c r="C1652" s="50" t="s">
        <v>1947</v>
      </c>
    </row>
    <row r="1653" spans="3:3" x14ac:dyDescent="0.25">
      <c r="C1653" s="50" t="s">
        <v>1948</v>
      </c>
    </row>
    <row r="1654" spans="3:3" x14ac:dyDescent="0.25">
      <c r="C1654" s="50" t="s">
        <v>1949</v>
      </c>
    </row>
    <row r="1655" spans="3:3" x14ac:dyDescent="0.25">
      <c r="C1655" s="50" t="s">
        <v>1950</v>
      </c>
    </row>
    <row r="1656" spans="3:3" x14ac:dyDescent="0.25">
      <c r="C1656" s="50" t="s">
        <v>1951</v>
      </c>
    </row>
    <row r="1657" spans="3:3" x14ac:dyDescent="0.25">
      <c r="C1657" s="50" t="s">
        <v>1952</v>
      </c>
    </row>
    <row r="1658" spans="3:3" x14ac:dyDescent="0.25">
      <c r="C1658" s="50" t="s">
        <v>1953</v>
      </c>
    </row>
    <row r="1659" spans="3:3" x14ac:dyDescent="0.25">
      <c r="C1659" s="50" t="s">
        <v>1954</v>
      </c>
    </row>
    <row r="1660" spans="3:3" x14ac:dyDescent="0.25">
      <c r="C1660" s="50" t="s">
        <v>1955</v>
      </c>
    </row>
    <row r="1661" spans="3:3" x14ac:dyDescent="0.25">
      <c r="C1661" s="50" t="s">
        <v>1956</v>
      </c>
    </row>
    <row r="1662" spans="3:3" x14ac:dyDescent="0.25">
      <c r="C1662" s="50" t="s">
        <v>1957</v>
      </c>
    </row>
    <row r="1663" spans="3:3" x14ac:dyDescent="0.25">
      <c r="C1663" s="50" t="s">
        <v>1958</v>
      </c>
    </row>
    <row r="1664" spans="3:3" x14ac:dyDescent="0.25">
      <c r="C1664" s="50" t="s">
        <v>1959</v>
      </c>
    </row>
    <row r="1665" spans="3:3" x14ac:dyDescent="0.25">
      <c r="C1665" s="50" t="s">
        <v>1960</v>
      </c>
    </row>
    <row r="1666" spans="3:3" x14ac:dyDescent="0.25">
      <c r="C1666" s="50" t="s">
        <v>1961</v>
      </c>
    </row>
    <row r="1667" spans="3:3" x14ac:dyDescent="0.25">
      <c r="C1667" s="50" t="s">
        <v>1962</v>
      </c>
    </row>
    <row r="1668" spans="3:3" x14ac:dyDescent="0.25">
      <c r="C1668" s="50" t="s">
        <v>1963</v>
      </c>
    </row>
    <row r="1669" spans="3:3" x14ac:dyDescent="0.25">
      <c r="C1669" s="50" t="s">
        <v>1964</v>
      </c>
    </row>
    <row r="1670" spans="3:3" x14ac:dyDescent="0.25">
      <c r="C1670" s="50" t="s">
        <v>1965</v>
      </c>
    </row>
    <row r="1671" spans="3:3" x14ac:dyDescent="0.25">
      <c r="C1671" s="50" t="s">
        <v>1966</v>
      </c>
    </row>
    <row r="1672" spans="3:3" x14ac:dyDescent="0.25">
      <c r="C1672" s="50" t="s">
        <v>1967</v>
      </c>
    </row>
    <row r="1673" spans="3:3" x14ac:dyDescent="0.25">
      <c r="C1673" s="50" t="s">
        <v>1968</v>
      </c>
    </row>
    <row r="1674" spans="3:3" x14ac:dyDescent="0.25">
      <c r="C1674" s="50" t="s">
        <v>1969</v>
      </c>
    </row>
    <row r="1675" spans="3:3" x14ac:dyDescent="0.25">
      <c r="C1675" s="50" t="s">
        <v>1970</v>
      </c>
    </row>
    <row r="1676" spans="3:3" x14ac:dyDescent="0.25">
      <c r="C1676" s="50" t="s">
        <v>1971</v>
      </c>
    </row>
    <row r="1677" spans="3:3" x14ac:dyDescent="0.25">
      <c r="C1677" s="50" t="s">
        <v>1972</v>
      </c>
    </row>
    <row r="1678" spans="3:3" x14ac:dyDescent="0.25">
      <c r="C1678" s="50" t="s">
        <v>1973</v>
      </c>
    </row>
    <row r="1679" spans="3:3" x14ac:dyDescent="0.25">
      <c r="C1679" s="50" t="s">
        <v>1974</v>
      </c>
    </row>
    <row r="1680" spans="3:3" x14ac:dyDescent="0.25">
      <c r="C1680" s="50" t="s">
        <v>1975</v>
      </c>
    </row>
    <row r="1681" spans="3:3" x14ac:dyDescent="0.25">
      <c r="C1681" s="50" t="s">
        <v>1976</v>
      </c>
    </row>
    <row r="1682" spans="3:3" x14ac:dyDescent="0.25">
      <c r="C1682" s="50" t="s">
        <v>1977</v>
      </c>
    </row>
    <row r="1683" spans="3:3" x14ac:dyDescent="0.25">
      <c r="C1683" s="50" t="s">
        <v>1978</v>
      </c>
    </row>
    <row r="1684" spans="3:3" x14ac:dyDescent="0.25">
      <c r="C1684" s="50" t="s">
        <v>1979</v>
      </c>
    </row>
    <row r="1685" spans="3:3" x14ac:dyDescent="0.25">
      <c r="C1685" s="50" t="s">
        <v>1980</v>
      </c>
    </row>
    <row r="1686" spans="3:3" x14ac:dyDescent="0.25">
      <c r="C1686" s="50" t="s">
        <v>1981</v>
      </c>
    </row>
    <row r="1687" spans="3:3" x14ac:dyDescent="0.25">
      <c r="C1687" s="50" t="s">
        <v>1982</v>
      </c>
    </row>
    <row r="1688" spans="3:3" x14ac:dyDescent="0.25">
      <c r="C1688" s="50" t="s">
        <v>1983</v>
      </c>
    </row>
    <row r="1689" spans="3:3" x14ac:dyDescent="0.25">
      <c r="C1689" s="50" t="s">
        <v>1984</v>
      </c>
    </row>
    <row r="1690" spans="3:3" x14ac:dyDescent="0.25">
      <c r="C1690" s="50" t="s">
        <v>1985</v>
      </c>
    </row>
    <row r="1691" spans="3:3" x14ac:dyDescent="0.25">
      <c r="C1691" s="50" t="s">
        <v>1986</v>
      </c>
    </row>
    <row r="1692" spans="3:3" x14ac:dyDescent="0.25">
      <c r="C1692" s="50" t="s">
        <v>1987</v>
      </c>
    </row>
    <row r="1693" spans="3:3" x14ac:dyDescent="0.25">
      <c r="C1693" s="50" t="s">
        <v>1988</v>
      </c>
    </row>
    <row r="1694" spans="3:3" x14ac:dyDescent="0.25">
      <c r="C1694" s="50" t="s">
        <v>1989</v>
      </c>
    </row>
    <row r="1695" spans="3:3" x14ac:dyDescent="0.25">
      <c r="C1695" s="50" t="s">
        <v>1990</v>
      </c>
    </row>
    <row r="1696" spans="3:3" x14ac:dyDescent="0.25">
      <c r="C1696" s="50" t="s">
        <v>1991</v>
      </c>
    </row>
    <row r="1697" spans="3:3" x14ac:dyDescent="0.25">
      <c r="C1697" s="50" t="s">
        <v>1992</v>
      </c>
    </row>
    <row r="1698" spans="3:3" x14ac:dyDescent="0.25">
      <c r="C1698" s="50" t="s">
        <v>1993</v>
      </c>
    </row>
    <row r="1699" spans="3:3" x14ac:dyDescent="0.25">
      <c r="C1699" s="50" t="s">
        <v>1994</v>
      </c>
    </row>
    <row r="1700" spans="3:3" x14ac:dyDescent="0.25">
      <c r="C1700" s="50" t="s">
        <v>1995</v>
      </c>
    </row>
    <row r="1701" spans="3:3" x14ac:dyDescent="0.25">
      <c r="C1701" s="50" t="s">
        <v>1996</v>
      </c>
    </row>
    <row r="1702" spans="3:3" x14ac:dyDescent="0.25">
      <c r="C1702" s="50" t="s">
        <v>1997</v>
      </c>
    </row>
    <row r="1703" spans="3:3" x14ac:dyDescent="0.25">
      <c r="C1703" s="50" t="s">
        <v>1998</v>
      </c>
    </row>
    <row r="1704" spans="3:3" x14ac:dyDescent="0.25">
      <c r="C1704" s="50" t="s">
        <v>1999</v>
      </c>
    </row>
    <row r="1705" spans="3:3" x14ac:dyDescent="0.25">
      <c r="C1705" s="50" t="s">
        <v>2000</v>
      </c>
    </row>
    <row r="1706" spans="3:3" x14ac:dyDescent="0.25">
      <c r="C1706" s="50" t="s">
        <v>2001</v>
      </c>
    </row>
    <row r="1707" spans="3:3" x14ac:dyDescent="0.25">
      <c r="C1707" s="50" t="s">
        <v>2002</v>
      </c>
    </row>
    <row r="1708" spans="3:3" x14ac:dyDescent="0.25">
      <c r="C1708" s="50" t="s">
        <v>2003</v>
      </c>
    </row>
    <row r="1709" spans="3:3" x14ac:dyDescent="0.25">
      <c r="C1709" s="50" t="s">
        <v>2004</v>
      </c>
    </row>
    <row r="1710" spans="3:3" x14ac:dyDescent="0.25">
      <c r="C1710" s="50" t="s">
        <v>2005</v>
      </c>
    </row>
    <row r="1711" spans="3:3" x14ac:dyDescent="0.25">
      <c r="C1711" s="50" t="s">
        <v>2006</v>
      </c>
    </row>
    <row r="1712" spans="3:3" x14ac:dyDescent="0.25">
      <c r="C1712" s="50" t="s">
        <v>2007</v>
      </c>
    </row>
    <row r="1713" spans="3:3" x14ac:dyDescent="0.25">
      <c r="C1713" s="50" t="s">
        <v>2008</v>
      </c>
    </row>
    <row r="1714" spans="3:3" x14ac:dyDescent="0.25">
      <c r="C1714" s="50" t="s">
        <v>2009</v>
      </c>
    </row>
    <row r="1715" spans="3:3" x14ac:dyDescent="0.25">
      <c r="C1715" s="50" t="s">
        <v>2010</v>
      </c>
    </row>
    <row r="1716" spans="3:3" x14ac:dyDescent="0.25">
      <c r="C1716" s="50" t="s">
        <v>2011</v>
      </c>
    </row>
    <row r="1717" spans="3:3" x14ac:dyDescent="0.25">
      <c r="C1717" s="50" t="s">
        <v>2012</v>
      </c>
    </row>
    <row r="1718" spans="3:3" x14ac:dyDescent="0.25">
      <c r="C1718" s="50" t="s">
        <v>2013</v>
      </c>
    </row>
    <row r="1719" spans="3:3" x14ac:dyDescent="0.25">
      <c r="C1719" s="50" t="s">
        <v>2014</v>
      </c>
    </row>
    <row r="1720" spans="3:3" x14ac:dyDescent="0.25">
      <c r="C1720" s="50" t="s">
        <v>2015</v>
      </c>
    </row>
    <row r="1721" spans="3:3" x14ac:dyDescent="0.25">
      <c r="C1721" s="50" t="s">
        <v>2016</v>
      </c>
    </row>
    <row r="1722" spans="3:3" x14ac:dyDescent="0.25">
      <c r="C1722" s="50" t="s">
        <v>2017</v>
      </c>
    </row>
    <row r="1723" spans="3:3" x14ac:dyDescent="0.25">
      <c r="C1723" s="50" t="s">
        <v>2018</v>
      </c>
    </row>
    <row r="1724" spans="3:3" x14ac:dyDescent="0.25">
      <c r="C1724" s="50" t="s">
        <v>2019</v>
      </c>
    </row>
    <row r="1725" spans="3:3" x14ac:dyDescent="0.25">
      <c r="C1725" s="50" t="s">
        <v>2020</v>
      </c>
    </row>
    <row r="1726" spans="3:3" x14ac:dyDescent="0.25">
      <c r="C1726" s="50" t="s">
        <v>2021</v>
      </c>
    </row>
    <row r="1727" spans="3:3" x14ac:dyDescent="0.25">
      <c r="C1727" s="50" t="s">
        <v>2022</v>
      </c>
    </row>
    <row r="1728" spans="3:3" x14ac:dyDescent="0.25">
      <c r="C1728" s="50" t="s">
        <v>2023</v>
      </c>
    </row>
    <row r="1729" spans="3:3" x14ac:dyDescent="0.25">
      <c r="C1729" s="50" t="s">
        <v>2024</v>
      </c>
    </row>
    <row r="1730" spans="3:3" x14ac:dyDescent="0.25">
      <c r="C1730" s="50" t="s">
        <v>2025</v>
      </c>
    </row>
    <row r="1731" spans="3:3" x14ac:dyDescent="0.25">
      <c r="C1731" s="50" t="s">
        <v>2026</v>
      </c>
    </row>
    <row r="1732" spans="3:3" x14ac:dyDescent="0.25">
      <c r="C1732" s="50" t="s">
        <v>2027</v>
      </c>
    </row>
    <row r="1733" spans="3:3" x14ac:dyDescent="0.25">
      <c r="C1733" s="50" t="s">
        <v>2028</v>
      </c>
    </row>
    <row r="1734" spans="3:3" x14ac:dyDescent="0.25">
      <c r="C1734" s="50" t="s">
        <v>2029</v>
      </c>
    </row>
    <row r="1735" spans="3:3" x14ac:dyDescent="0.25">
      <c r="C1735" s="50" t="s">
        <v>2030</v>
      </c>
    </row>
    <row r="1736" spans="3:3" x14ac:dyDescent="0.25">
      <c r="C1736" s="50" t="s">
        <v>2031</v>
      </c>
    </row>
    <row r="1737" spans="3:3" x14ac:dyDescent="0.25">
      <c r="C1737" s="50" t="s">
        <v>2032</v>
      </c>
    </row>
    <row r="1738" spans="3:3" x14ac:dyDescent="0.25">
      <c r="C1738" s="50" t="s">
        <v>2033</v>
      </c>
    </row>
    <row r="1739" spans="3:3" x14ac:dyDescent="0.25">
      <c r="C1739" s="50" t="s">
        <v>2034</v>
      </c>
    </row>
    <row r="1740" spans="3:3" x14ac:dyDescent="0.25">
      <c r="C1740" s="50" t="s">
        <v>2035</v>
      </c>
    </row>
    <row r="1741" spans="3:3" x14ac:dyDescent="0.25">
      <c r="C1741" s="50" t="s">
        <v>2036</v>
      </c>
    </row>
    <row r="1742" spans="3:3" x14ac:dyDescent="0.25">
      <c r="C1742" s="50" t="s">
        <v>2037</v>
      </c>
    </row>
    <row r="1743" spans="3:3" x14ac:dyDescent="0.25">
      <c r="C1743" s="50" t="s">
        <v>2038</v>
      </c>
    </row>
    <row r="1744" spans="3:3" x14ac:dyDescent="0.25">
      <c r="C1744" s="50" t="s">
        <v>2039</v>
      </c>
    </row>
    <row r="1745" spans="3:3" x14ac:dyDescent="0.25">
      <c r="C1745" s="50" t="s">
        <v>2040</v>
      </c>
    </row>
    <row r="1746" spans="3:3" x14ac:dyDescent="0.25">
      <c r="C1746" s="50" t="s">
        <v>2041</v>
      </c>
    </row>
    <row r="1747" spans="3:3" x14ac:dyDescent="0.25">
      <c r="C1747" s="50" t="s">
        <v>2042</v>
      </c>
    </row>
    <row r="1748" spans="3:3" x14ac:dyDescent="0.25">
      <c r="C1748" s="50" t="s">
        <v>2043</v>
      </c>
    </row>
    <row r="1749" spans="3:3" x14ac:dyDescent="0.25">
      <c r="C1749" s="50" t="s">
        <v>2044</v>
      </c>
    </row>
    <row r="1750" spans="3:3" x14ac:dyDescent="0.25">
      <c r="C1750" s="50" t="s">
        <v>2045</v>
      </c>
    </row>
    <row r="1751" spans="3:3" x14ac:dyDescent="0.25">
      <c r="C1751" s="50" t="s">
        <v>2046</v>
      </c>
    </row>
    <row r="1752" spans="3:3" x14ac:dyDescent="0.25">
      <c r="C1752" s="50" t="s">
        <v>2047</v>
      </c>
    </row>
    <row r="1753" spans="3:3" x14ac:dyDescent="0.25">
      <c r="C1753" s="50" t="s">
        <v>2048</v>
      </c>
    </row>
    <row r="1754" spans="3:3" x14ac:dyDescent="0.25">
      <c r="C1754" s="50" t="s">
        <v>2049</v>
      </c>
    </row>
    <row r="1755" spans="3:3" x14ac:dyDescent="0.25">
      <c r="C1755" s="50" t="s">
        <v>2050</v>
      </c>
    </row>
    <row r="1756" spans="3:3" x14ac:dyDescent="0.25">
      <c r="C1756" s="50" t="s">
        <v>2051</v>
      </c>
    </row>
    <row r="1757" spans="3:3" x14ac:dyDescent="0.25">
      <c r="C1757" s="50" t="s">
        <v>2052</v>
      </c>
    </row>
    <row r="1758" spans="3:3" x14ac:dyDescent="0.25">
      <c r="C1758" s="50" t="s">
        <v>2053</v>
      </c>
    </row>
    <row r="1759" spans="3:3" x14ac:dyDescent="0.25">
      <c r="C1759" s="50" t="s">
        <v>2054</v>
      </c>
    </row>
    <row r="1760" spans="3:3" x14ac:dyDescent="0.25">
      <c r="C1760" s="50" t="s">
        <v>2055</v>
      </c>
    </row>
    <row r="1761" spans="3:3" x14ac:dyDescent="0.25">
      <c r="C1761" s="50" t="s">
        <v>2056</v>
      </c>
    </row>
    <row r="1762" spans="3:3" x14ac:dyDescent="0.25">
      <c r="C1762" s="50" t="s">
        <v>2057</v>
      </c>
    </row>
    <row r="1763" spans="3:3" x14ac:dyDescent="0.25">
      <c r="C1763" s="50" t="s">
        <v>2058</v>
      </c>
    </row>
    <row r="1764" spans="3:3" x14ac:dyDescent="0.25">
      <c r="C1764" s="50" t="s">
        <v>2059</v>
      </c>
    </row>
    <row r="1765" spans="3:3" x14ac:dyDescent="0.25">
      <c r="C1765" s="50" t="s">
        <v>2060</v>
      </c>
    </row>
    <row r="1766" spans="3:3" x14ac:dyDescent="0.25">
      <c r="C1766" s="50" t="s">
        <v>2061</v>
      </c>
    </row>
    <row r="1767" spans="3:3" x14ac:dyDescent="0.25">
      <c r="C1767" s="50" t="s">
        <v>2062</v>
      </c>
    </row>
    <row r="1768" spans="3:3" x14ac:dyDescent="0.25">
      <c r="C1768" s="50" t="s">
        <v>2063</v>
      </c>
    </row>
    <row r="1769" spans="3:3" x14ac:dyDescent="0.25">
      <c r="C1769" s="50" t="s">
        <v>2064</v>
      </c>
    </row>
    <row r="1770" spans="3:3" x14ac:dyDescent="0.25">
      <c r="C1770" s="50" t="s">
        <v>2065</v>
      </c>
    </row>
    <row r="1771" spans="3:3" x14ac:dyDescent="0.25">
      <c r="C1771" s="50" t="s">
        <v>2066</v>
      </c>
    </row>
    <row r="1772" spans="3:3" x14ac:dyDescent="0.25">
      <c r="C1772" s="50" t="s">
        <v>2067</v>
      </c>
    </row>
    <row r="1773" spans="3:3" x14ac:dyDescent="0.25">
      <c r="C1773" s="50" t="s">
        <v>2068</v>
      </c>
    </row>
    <row r="1774" spans="3:3" x14ac:dyDescent="0.25">
      <c r="C1774" s="50" t="s">
        <v>2069</v>
      </c>
    </row>
    <row r="1775" spans="3:3" x14ac:dyDescent="0.25">
      <c r="C1775" s="50" t="s">
        <v>2070</v>
      </c>
    </row>
    <row r="1776" spans="3:3" x14ac:dyDescent="0.25">
      <c r="C1776" s="50" t="s">
        <v>2071</v>
      </c>
    </row>
    <row r="1777" spans="3:3" x14ac:dyDescent="0.25">
      <c r="C1777" s="50" t="s">
        <v>2072</v>
      </c>
    </row>
    <row r="1778" spans="3:3" x14ac:dyDescent="0.25">
      <c r="C1778" s="50" t="s">
        <v>2073</v>
      </c>
    </row>
    <row r="1779" spans="3:3" x14ac:dyDescent="0.25">
      <c r="C1779" s="50" t="s">
        <v>2074</v>
      </c>
    </row>
    <row r="1780" spans="3:3" x14ac:dyDescent="0.25">
      <c r="C1780" s="50" t="s">
        <v>2075</v>
      </c>
    </row>
    <row r="1781" spans="3:3" x14ac:dyDescent="0.25">
      <c r="C1781" s="50" t="s">
        <v>2076</v>
      </c>
    </row>
    <row r="1782" spans="3:3" x14ac:dyDescent="0.25">
      <c r="C1782" s="50" t="s">
        <v>2077</v>
      </c>
    </row>
    <row r="1783" spans="3:3" x14ac:dyDescent="0.25">
      <c r="C1783" s="50" t="s">
        <v>2078</v>
      </c>
    </row>
    <row r="1784" spans="3:3" x14ac:dyDescent="0.25">
      <c r="C1784" s="50" t="s">
        <v>2079</v>
      </c>
    </row>
    <row r="1785" spans="3:3" x14ac:dyDescent="0.25">
      <c r="C1785" s="50" t="s">
        <v>2080</v>
      </c>
    </row>
    <row r="1786" spans="3:3" x14ac:dyDescent="0.25">
      <c r="C1786" s="50" t="s">
        <v>2081</v>
      </c>
    </row>
    <row r="1787" spans="3:3" x14ac:dyDescent="0.25">
      <c r="C1787" s="50" t="s">
        <v>2082</v>
      </c>
    </row>
    <row r="1788" spans="3:3" x14ac:dyDescent="0.25">
      <c r="C1788" s="50" t="s">
        <v>2083</v>
      </c>
    </row>
    <row r="1789" spans="3:3" x14ac:dyDescent="0.25">
      <c r="C1789" s="50" t="s">
        <v>2084</v>
      </c>
    </row>
    <row r="1790" spans="3:3" x14ac:dyDescent="0.25">
      <c r="C1790" s="50" t="s">
        <v>2085</v>
      </c>
    </row>
    <row r="1791" spans="3:3" x14ac:dyDescent="0.25">
      <c r="C1791" s="50" t="s">
        <v>2086</v>
      </c>
    </row>
    <row r="1792" spans="3:3" x14ac:dyDescent="0.25">
      <c r="C1792" s="50" t="s">
        <v>2087</v>
      </c>
    </row>
    <row r="1793" spans="3:3" x14ac:dyDescent="0.25">
      <c r="C1793" s="50" t="s">
        <v>2088</v>
      </c>
    </row>
    <row r="1794" spans="3:3" x14ac:dyDescent="0.25">
      <c r="C1794" s="50" t="s">
        <v>2089</v>
      </c>
    </row>
    <row r="1795" spans="3:3" x14ac:dyDescent="0.25">
      <c r="C1795" s="50" t="s">
        <v>2090</v>
      </c>
    </row>
    <row r="1796" spans="3:3" x14ac:dyDescent="0.25">
      <c r="C1796" s="50" t="s">
        <v>2091</v>
      </c>
    </row>
    <row r="1797" spans="3:3" x14ac:dyDescent="0.25">
      <c r="C1797" s="50" t="s">
        <v>2092</v>
      </c>
    </row>
    <row r="1798" spans="3:3" x14ac:dyDescent="0.25">
      <c r="C1798" s="50" t="s">
        <v>2093</v>
      </c>
    </row>
    <row r="1799" spans="3:3" x14ac:dyDescent="0.25">
      <c r="C1799" s="50" t="s">
        <v>2094</v>
      </c>
    </row>
    <row r="1800" spans="3:3" x14ac:dyDescent="0.25">
      <c r="C1800" s="50" t="s">
        <v>2095</v>
      </c>
    </row>
    <row r="1801" spans="3:3" x14ac:dyDescent="0.25">
      <c r="C1801" s="50" t="s">
        <v>2096</v>
      </c>
    </row>
    <row r="1802" spans="3:3" x14ac:dyDescent="0.25">
      <c r="C1802" s="50" t="s">
        <v>2097</v>
      </c>
    </row>
    <row r="1803" spans="3:3" x14ac:dyDescent="0.25">
      <c r="C1803" s="50" t="s">
        <v>2098</v>
      </c>
    </row>
    <row r="1804" spans="3:3" x14ac:dyDescent="0.25">
      <c r="C1804" s="50" t="s">
        <v>2099</v>
      </c>
    </row>
    <row r="1805" spans="3:3" x14ac:dyDescent="0.25">
      <c r="C1805" s="50" t="s">
        <v>2100</v>
      </c>
    </row>
    <row r="1806" spans="3:3" x14ac:dyDescent="0.25">
      <c r="C1806" s="50" t="s">
        <v>2101</v>
      </c>
    </row>
    <row r="1807" spans="3:3" x14ac:dyDescent="0.25">
      <c r="C1807" s="50" t="s">
        <v>2102</v>
      </c>
    </row>
    <row r="1808" spans="3:3" x14ac:dyDescent="0.25">
      <c r="C1808" s="50" t="s">
        <v>2103</v>
      </c>
    </row>
    <row r="1809" spans="3:3" x14ac:dyDescent="0.25">
      <c r="C1809" s="50" t="s">
        <v>2104</v>
      </c>
    </row>
    <row r="1810" spans="3:3" x14ac:dyDescent="0.25">
      <c r="C1810" s="50" t="s">
        <v>2105</v>
      </c>
    </row>
    <row r="1811" spans="3:3" x14ac:dyDescent="0.25">
      <c r="C1811" s="50" t="s">
        <v>2106</v>
      </c>
    </row>
    <row r="1812" spans="3:3" x14ac:dyDescent="0.25">
      <c r="C1812" s="50" t="s">
        <v>2107</v>
      </c>
    </row>
    <row r="1813" spans="3:3" x14ac:dyDescent="0.25">
      <c r="C1813" s="50" t="s">
        <v>2108</v>
      </c>
    </row>
    <row r="1814" spans="3:3" x14ac:dyDescent="0.25">
      <c r="C1814" s="50" t="s">
        <v>2109</v>
      </c>
    </row>
    <row r="1815" spans="3:3" x14ac:dyDescent="0.25">
      <c r="C1815" s="50" t="s">
        <v>2110</v>
      </c>
    </row>
    <row r="1816" spans="3:3" x14ac:dyDescent="0.25">
      <c r="C1816" s="50" t="s">
        <v>2111</v>
      </c>
    </row>
    <row r="1817" spans="3:3" x14ac:dyDescent="0.25">
      <c r="C1817" s="50" t="s">
        <v>2112</v>
      </c>
    </row>
    <row r="1818" spans="3:3" x14ac:dyDescent="0.25">
      <c r="C1818" s="50" t="s">
        <v>2113</v>
      </c>
    </row>
    <row r="1819" spans="3:3" x14ac:dyDescent="0.25">
      <c r="C1819" s="50" t="s">
        <v>2114</v>
      </c>
    </row>
    <row r="1820" spans="3:3" x14ac:dyDescent="0.25">
      <c r="C1820" s="50" t="s">
        <v>2115</v>
      </c>
    </row>
    <row r="1821" spans="3:3" x14ac:dyDescent="0.25">
      <c r="C1821" s="50" t="s">
        <v>2116</v>
      </c>
    </row>
    <row r="1822" spans="3:3" x14ac:dyDescent="0.25">
      <c r="C1822" s="50" t="s">
        <v>2117</v>
      </c>
    </row>
    <row r="1823" spans="3:3" x14ac:dyDescent="0.25">
      <c r="C1823" s="50" t="s">
        <v>2118</v>
      </c>
    </row>
    <row r="1824" spans="3:3" x14ac:dyDescent="0.25">
      <c r="C1824" s="50" t="s">
        <v>2119</v>
      </c>
    </row>
    <row r="1825" spans="3:3" x14ac:dyDescent="0.25">
      <c r="C1825" s="50" t="s">
        <v>2120</v>
      </c>
    </row>
    <row r="1826" spans="3:3" x14ac:dyDescent="0.25">
      <c r="C1826" s="50" t="s">
        <v>2121</v>
      </c>
    </row>
    <row r="1827" spans="3:3" x14ac:dyDescent="0.25">
      <c r="C1827" s="50" t="s">
        <v>2122</v>
      </c>
    </row>
    <row r="1828" spans="3:3" x14ac:dyDescent="0.25">
      <c r="C1828" s="50" t="s">
        <v>2123</v>
      </c>
    </row>
    <row r="1829" spans="3:3" x14ac:dyDescent="0.25">
      <c r="C1829" s="50" t="s">
        <v>2124</v>
      </c>
    </row>
    <row r="1830" spans="3:3" x14ac:dyDescent="0.25">
      <c r="C1830" s="50" t="s">
        <v>2125</v>
      </c>
    </row>
    <row r="1831" spans="3:3" x14ac:dyDescent="0.25">
      <c r="C1831" s="50" t="s">
        <v>2126</v>
      </c>
    </row>
    <row r="1832" spans="3:3" x14ac:dyDescent="0.25">
      <c r="C1832" s="50" t="s">
        <v>2127</v>
      </c>
    </row>
    <row r="1833" spans="3:3" x14ac:dyDescent="0.25">
      <c r="C1833" s="50" t="s">
        <v>2128</v>
      </c>
    </row>
    <row r="1834" spans="3:3" x14ac:dyDescent="0.25">
      <c r="C1834" s="50" t="s">
        <v>2129</v>
      </c>
    </row>
    <row r="1835" spans="3:3" x14ac:dyDescent="0.25">
      <c r="C1835" s="50" t="s">
        <v>2130</v>
      </c>
    </row>
    <row r="1836" spans="3:3" x14ac:dyDescent="0.25">
      <c r="C1836" s="50" t="s">
        <v>2131</v>
      </c>
    </row>
    <row r="1837" spans="3:3" x14ac:dyDescent="0.25">
      <c r="C1837" s="50" t="s">
        <v>2132</v>
      </c>
    </row>
    <row r="1838" spans="3:3" x14ac:dyDescent="0.25">
      <c r="C1838" s="50" t="s">
        <v>2133</v>
      </c>
    </row>
    <row r="1839" spans="3:3" x14ac:dyDescent="0.25">
      <c r="C1839" s="50" t="s">
        <v>2134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pane ySplit="1" topLeftCell="A2" activePane="bottomLeft" state="frozen"/>
      <selection pane="bottomLeft" activeCell="B14" sqref="B14"/>
    </sheetView>
  </sheetViews>
  <sheetFormatPr defaultColWidth="8.85546875" defaultRowHeight="15" x14ac:dyDescent="0.25"/>
  <cols>
    <col min="1" max="1" width="30.42578125" bestFit="1" customWidth="1"/>
    <col min="2" max="2" width="14.42578125" customWidth="1"/>
    <col min="3" max="3" width="22.85546875" customWidth="1"/>
    <col min="4" max="4" width="18.42578125" bestFit="1" customWidth="1"/>
    <col min="5" max="5" width="21.42578125" customWidth="1"/>
    <col min="7" max="7" width="25.42578125" bestFit="1" customWidth="1"/>
    <col min="8" max="10" width="10.140625" bestFit="1" customWidth="1"/>
  </cols>
  <sheetData>
    <row r="1" spans="1:11" x14ac:dyDescent="0.25">
      <c r="A1" s="29" t="s">
        <v>0</v>
      </c>
      <c r="B1" s="29" t="s">
        <v>53</v>
      </c>
      <c r="C1" s="29" t="s">
        <v>13</v>
      </c>
      <c r="D1" s="29" t="s">
        <v>14</v>
      </c>
      <c r="E1" s="29" t="s">
        <v>15</v>
      </c>
      <c r="G1" s="3" t="s">
        <v>2204</v>
      </c>
      <c r="H1" s="3" t="s">
        <v>53</v>
      </c>
      <c r="I1" s="3" t="s">
        <v>13</v>
      </c>
      <c r="J1" s="3" t="s">
        <v>14</v>
      </c>
      <c r="K1" s="3" t="s">
        <v>15</v>
      </c>
    </row>
    <row r="2" spans="1:11" x14ac:dyDescent="0.25">
      <c r="A2" s="3" t="s">
        <v>8</v>
      </c>
      <c r="B2" s="4">
        <f>SUM(C2:E2)</f>
        <v>6221742</v>
      </c>
      <c r="C2" s="4">
        <v>2086265</v>
      </c>
      <c r="D2" s="4">
        <f>3941330-D3</f>
        <v>3941330</v>
      </c>
      <c r="E2" s="4">
        <v>194147</v>
      </c>
      <c r="G2" s="3"/>
      <c r="H2" s="4">
        <v>0</v>
      </c>
      <c r="I2" s="4"/>
      <c r="J2" s="4"/>
      <c r="K2" s="4"/>
    </row>
    <row r="3" spans="1:11" x14ac:dyDescent="0.25">
      <c r="A3" s="3" t="s">
        <v>12</v>
      </c>
      <c r="B3" s="4">
        <f t="shared" ref="B3:B13" si="0">SUM(C3:E3)</f>
        <v>3779331</v>
      </c>
      <c r="C3" s="4">
        <v>3774287</v>
      </c>
      <c r="D3" s="28"/>
      <c r="E3" s="4">
        <v>5044</v>
      </c>
      <c r="G3" s="3"/>
      <c r="H3" s="4">
        <v>0</v>
      </c>
      <c r="I3" s="4"/>
      <c r="J3" s="4"/>
      <c r="K3" s="4"/>
    </row>
    <row r="4" spans="1:11" x14ac:dyDescent="0.25">
      <c r="A4" s="3" t="s">
        <v>3</v>
      </c>
      <c r="B4" s="4">
        <f t="shared" si="0"/>
        <v>2999942</v>
      </c>
      <c r="C4" s="27">
        <v>2999907</v>
      </c>
      <c r="D4" s="28"/>
      <c r="E4" s="4">
        <v>35</v>
      </c>
      <c r="G4" s="3" t="s">
        <v>3</v>
      </c>
      <c r="H4" s="4">
        <v>32445603</v>
      </c>
      <c r="I4" s="4">
        <v>17126578</v>
      </c>
      <c r="J4" s="4">
        <v>13451810</v>
      </c>
      <c r="K4" s="4">
        <v>1867215</v>
      </c>
    </row>
    <row r="5" spans="1:11" x14ac:dyDescent="0.25">
      <c r="A5" s="3" t="s">
        <v>1</v>
      </c>
      <c r="B5" s="4">
        <f t="shared" si="0"/>
        <v>604733</v>
      </c>
      <c r="C5" s="4">
        <v>604666</v>
      </c>
      <c r="D5" s="28"/>
      <c r="E5" s="4">
        <v>67</v>
      </c>
      <c r="G5" s="3"/>
      <c r="H5" s="4">
        <v>0</v>
      </c>
      <c r="I5" s="4"/>
      <c r="J5" s="4"/>
      <c r="K5" s="4"/>
    </row>
    <row r="6" spans="1:11" x14ac:dyDescent="0.25">
      <c r="A6" s="3" t="s">
        <v>6</v>
      </c>
      <c r="B6" s="4">
        <f t="shared" si="0"/>
        <v>207655</v>
      </c>
      <c r="C6" s="27">
        <v>148499</v>
      </c>
      <c r="D6" s="4">
        <v>59156</v>
      </c>
      <c r="E6" s="28"/>
      <c r="G6" s="3" t="s">
        <v>6</v>
      </c>
      <c r="H6" s="4">
        <v>1177575</v>
      </c>
      <c r="I6" s="4">
        <v>789791</v>
      </c>
      <c r="J6" s="4">
        <v>31799</v>
      </c>
      <c r="K6" s="4">
        <v>69794</v>
      </c>
    </row>
    <row r="7" spans="1:11" x14ac:dyDescent="0.25">
      <c r="A7" s="3" t="s">
        <v>2</v>
      </c>
      <c r="B7" s="4">
        <f t="shared" si="0"/>
        <v>67752</v>
      </c>
      <c r="C7" s="4">
        <v>47278</v>
      </c>
      <c r="D7" s="4">
        <v>20472</v>
      </c>
      <c r="E7" s="4">
        <v>2</v>
      </c>
      <c r="G7" s="3" t="s">
        <v>2</v>
      </c>
      <c r="H7" s="4">
        <v>9682731</v>
      </c>
      <c r="I7" s="4">
        <v>8222596</v>
      </c>
      <c r="J7" s="4">
        <v>1361868</v>
      </c>
      <c r="K7" s="4">
        <v>98267</v>
      </c>
    </row>
    <row r="8" spans="1:11" x14ac:dyDescent="0.25">
      <c r="A8" s="3" t="s">
        <v>9</v>
      </c>
      <c r="B8" s="4">
        <f t="shared" si="0"/>
        <v>12667</v>
      </c>
      <c r="C8" s="4">
        <v>9107</v>
      </c>
      <c r="D8" s="4">
        <v>3560</v>
      </c>
      <c r="E8" s="28"/>
      <c r="G8" s="3" t="s">
        <v>9</v>
      </c>
      <c r="H8" s="4">
        <v>210373</v>
      </c>
      <c r="I8" s="4">
        <v>121755</v>
      </c>
      <c r="J8" s="4">
        <v>84378</v>
      </c>
      <c r="K8" s="4">
        <v>424</v>
      </c>
    </row>
    <row r="9" spans="1:11" x14ac:dyDescent="0.25">
      <c r="A9" s="3" t="s">
        <v>4</v>
      </c>
      <c r="B9" s="4">
        <f t="shared" si="0"/>
        <v>1026</v>
      </c>
      <c r="C9" s="4">
        <v>1024</v>
      </c>
      <c r="D9" s="28"/>
      <c r="E9" s="4">
        <v>2</v>
      </c>
      <c r="G9" s="3"/>
      <c r="H9" s="4">
        <v>0</v>
      </c>
      <c r="I9" s="4"/>
      <c r="J9" s="4"/>
      <c r="K9" s="4"/>
    </row>
    <row r="10" spans="1:11" x14ac:dyDescent="0.25">
      <c r="A10" s="3" t="s">
        <v>7</v>
      </c>
      <c r="B10" s="4">
        <f t="shared" si="0"/>
        <v>15</v>
      </c>
      <c r="C10" s="4">
        <v>15</v>
      </c>
      <c r="D10" s="28"/>
      <c r="E10" s="28"/>
      <c r="G10" s="3"/>
      <c r="H10" s="4">
        <v>0</v>
      </c>
      <c r="I10" s="4"/>
      <c r="J10" s="4"/>
      <c r="K10" s="4"/>
    </row>
    <row r="11" spans="1:11" x14ac:dyDescent="0.25">
      <c r="A11" s="3" t="s">
        <v>10</v>
      </c>
      <c r="B11" s="4">
        <f t="shared" si="0"/>
        <v>21</v>
      </c>
      <c r="C11" s="4">
        <v>21</v>
      </c>
      <c r="D11" s="28"/>
      <c r="E11" s="28"/>
      <c r="G11" s="3"/>
      <c r="H11" s="4">
        <v>0</v>
      </c>
      <c r="I11" s="4"/>
      <c r="J11" s="4"/>
      <c r="K11" s="4"/>
    </row>
    <row r="12" spans="1:11" x14ac:dyDescent="0.25">
      <c r="A12" s="3" t="s">
        <v>5</v>
      </c>
      <c r="B12" s="4">
        <f t="shared" si="0"/>
        <v>15</v>
      </c>
      <c r="C12" s="4">
        <v>14</v>
      </c>
      <c r="D12" s="4">
        <v>1</v>
      </c>
      <c r="E12" s="28"/>
      <c r="G12" s="3" t="s">
        <v>5</v>
      </c>
      <c r="H12" s="4">
        <v>2</v>
      </c>
      <c r="I12" s="4">
        <v>2</v>
      </c>
      <c r="J12" s="4"/>
      <c r="K12" s="4"/>
    </row>
    <row r="13" spans="1:11" x14ac:dyDescent="0.25">
      <c r="A13" s="3" t="s">
        <v>11</v>
      </c>
      <c r="B13" s="4">
        <f t="shared" si="0"/>
        <v>2</v>
      </c>
      <c r="C13" s="4">
        <v>2</v>
      </c>
      <c r="D13" s="28"/>
      <c r="E13" s="28"/>
      <c r="G13" s="3" t="s">
        <v>11</v>
      </c>
      <c r="H13" s="4">
        <v>0</v>
      </c>
      <c r="I13" s="4"/>
      <c r="J13" s="4"/>
      <c r="K13" s="4"/>
    </row>
    <row r="14" spans="1:11" x14ac:dyDescent="0.25">
      <c r="A14" s="97" t="s">
        <v>2206</v>
      </c>
      <c r="B14" s="98">
        <f>SUM(B2:B13)</f>
        <v>13894901</v>
      </c>
      <c r="C14" s="98">
        <f t="shared" ref="C14:D14" si="1">SUM(C2:C13)</f>
        <v>9671085</v>
      </c>
      <c r="D14" s="98">
        <f t="shared" si="1"/>
        <v>4024519</v>
      </c>
      <c r="E14" s="98">
        <f>SUM(E2:E13)</f>
        <v>199297</v>
      </c>
      <c r="G14" s="3" t="s">
        <v>2205</v>
      </c>
      <c r="H14" s="4">
        <v>44613</v>
      </c>
      <c r="I14" s="4">
        <v>342646</v>
      </c>
      <c r="J14" s="4">
        <v>94324</v>
      </c>
      <c r="K14" s="4">
        <v>916</v>
      </c>
    </row>
    <row r="15" spans="1:11" x14ac:dyDescent="0.25">
      <c r="G15" s="3"/>
      <c r="H15" s="4">
        <v>0</v>
      </c>
      <c r="I15" s="4"/>
      <c r="J15" s="4"/>
      <c r="K15" s="4"/>
    </row>
    <row r="16" spans="1:11" x14ac:dyDescent="0.25">
      <c r="G16" s="97" t="s">
        <v>2206</v>
      </c>
      <c r="H16" s="98">
        <v>43962414</v>
      </c>
      <c r="I16" s="98">
        <v>26603368</v>
      </c>
      <c r="J16" s="98">
        <v>15310370</v>
      </c>
      <c r="K16" s="98">
        <v>2048676</v>
      </c>
    </row>
    <row r="17" spans="1:5" x14ac:dyDescent="0.25">
      <c r="A17" s="3" t="s">
        <v>2207</v>
      </c>
      <c r="B17" s="4">
        <v>10509652</v>
      </c>
      <c r="C17" s="4">
        <v>6369081</v>
      </c>
      <c r="D17" s="4">
        <v>3941330</v>
      </c>
      <c r="E17" s="4">
        <v>199241</v>
      </c>
    </row>
    <row r="18" spans="1:5" x14ac:dyDescent="0.25">
      <c r="A18" s="3" t="s">
        <v>2208</v>
      </c>
      <c r="B18" s="4">
        <v>3207059</v>
      </c>
      <c r="C18" s="4">
        <v>3207003</v>
      </c>
      <c r="D18" s="4"/>
      <c r="E18" s="4">
        <v>56</v>
      </c>
    </row>
    <row r="19" spans="1:5" x14ac:dyDescent="0.25">
      <c r="A19" s="3" t="s">
        <v>2209</v>
      </c>
      <c r="B19" s="4">
        <v>9062</v>
      </c>
      <c r="C19" s="4">
        <v>9062</v>
      </c>
      <c r="D19" s="4"/>
      <c r="E19" s="4"/>
    </row>
    <row r="20" spans="1:5" x14ac:dyDescent="0.25">
      <c r="A20" s="3" t="s">
        <v>2210</v>
      </c>
      <c r="B20" s="4">
        <v>62351</v>
      </c>
      <c r="C20" s="4">
        <v>62351</v>
      </c>
      <c r="D20" s="4"/>
      <c r="E20" s="4"/>
    </row>
    <row r="21" spans="1:5" x14ac:dyDescent="0.25">
      <c r="A21" s="3" t="s">
        <v>2211</v>
      </c>
      <c r="B21" s="4">
        <v>106815</v>
      </c>
      <c r="C21" s="4">
        <v>23588</v>
      </c>
      <c r="D21" s="4">
        <v>83227</v>
      </c>
      <c r="E21" s="4"/>
    </row>
    <row r="22" spans="1:5" x14ac:dyDescent="0.25">
      <c r="A22" s="97" t="s">
        <v>2206</v>
      </c>
      <c r="B22" s="98">
        <v>13894939</v>
      </c>
      <c r="C22" s="98">
        <v>9671085</v>
      </c>
      <c r="D22" s="98">
        <v>4024557</v>
      </c>
      <c r="E22" s="98">
        <v>199297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22"/>
  <sheetViews>
    <sheetView topLeftCell="A4" zoomScale="90" zoomScaleNormal="90" workbookViewId="0">
      <selection activeCell="H170" sqref="H170"/>
    </sheetView>
  </sheetViews>
  <sheetFormatPr defaultColWidth="8.85546875" defaultRowHeight="15" x14ac:dyDescent="0.25"/>
  <cols>
    <col min="1" max="1" width="7.140625" bestFit="1" customWidth="1"/>
    <col min="2" max="2" width="7.140625" customWidth="1"/>
    <col min="3" max="3" width="32.7109375" customWidth="1"/>
    <col min="4" max="4" width="22.7109375" customWidth="1"/>
    <col min="5" max="5" width="40.42578125" style="2" bestFit="1" customWidth="1"/>
    <col min="6" max="6" width="24" bestFit="1" customWidth="1"/>
    <col min="7" max="8" width="16" customWidth="1"/>
    <col min="9" max="9" width="18.85546875" bestFit="1" customWidth="1"/>
    <col min="10" max="10" width="8.140625" customWidth="1"/>
    <col min="11" max="11" width="69.42578125" customWidth="1"/>
    <col min="12" max="12" width="16.42578125" bestFit="1" customWidth="1"/>
    <col min="13" max="13" width="19.42578125" customWidth="1"/>
  </cols>
  <sheetData>
    <row r="1" spans="1:11" ht="15.75" thickBot="1" x14ac:dyDescent="0.3">
      <c r="C1" s="84" t="s">
        <v>2174</v>
      </c>
      <c r="D1" s="422" t="s">
        <v>2377</v>
      </c>
      <c r="E1" s="423"/>
      <c r="F1" s="423"/>
      <c r="G1" s="423"/>
      <c r="H1" s="423"/>
      <c r="I1" s="423"/>
      <c r="J1" s="423"/>
      <c r="K1" s="248" t="s">
        <v>2300</v>
      </c>
    </row>
    <row r="2" spans="1:11" ht="15.75" thickBot="1" x14ac:dyDescent="0.3">
      <c r="D2" s="80" t="s">
        <v>23</v>
      </c>
      <c r="E2" s="81" t="s">
        <v>36</v>
      </c>
      <c r="F2" s="82" t="s">
        <v>21</v>
      </c>
      <c r="G2" s="82" t="s">
        <v>13</v>
      </c>
      <c r="H2" s="82" t="s">
        <v>14</v>
      </c>
      <c r="I2" s="82" t="s">
        <v>15</v>
      </c>
      <c r="J2" s="83" t="s">
        <v>29</v>
      </c>
    </row>
    <row r="3" spans="1:11" ht="15.75" customHeight="1" thickBot="1" x14ac:dyDescent="0.3">
      <c r="A3" s="424" t="s">
        <v>2136</v>
      </c>
      <c r="B3" s="339" t="s">
        <v>2391</v>
      </c>
      <c r="C3" s="58" t="s">
        <v>54</v>
      </c>
      <c r="D3" s="5" t="s">
        <v>24</v>
      </c>
      <c r="E3" s="48"/>
      <c r="F3" s="35">
        <f>SUM(G3:J3)</f>
        <v>8892038</v>
      </c>
      <c r="G3" s="181">
        <v>4867489</v>
      </c>
      <c r="H3" s="182">
        <v>4024549</v>
      </c>
      <c r="I3" s="77">
        <v>0</v>
      </c>
      <c r="J3" s="256">
        <v>0</v>
      </c>
      <c r="K3" s="244"/>
    </row>
    <row r="4" spans="1:11" ht="54" customHeight="1" thickBot="1" x14ac:dyDescent="0.3">
      <c r="A4" s="425"/>
      <c r="B4" s="340" t="s">
        <v>2392</v>
      </c>
      <c r="C4" s="59" t="s">
        <v>40</v>
      </c>
      <c r="D4" s="31" t="s">
        <v>33</v>
      </c>
      <c r="E4" s="32" t="s">
        <v>42</v>
      </c>
      <c r="F4" s="33">
        <f>SUM(G4:J4)</f>
        <v>1467259</v>
      </c>
      <c r="G4" s="333">
        <v>750807</v>
      </c>
      <c r="H4" s="181">
        <v>716452</v>
      </c>
      <c r="I4" s="77">
        <v>0</v>
      </c>
      <c r="J4" s="34"/>
      <c r="K4" s="244"/>
    </row>
    <row r="5" spans="1:11" ht="17.25" customHeight="1" thickBot="1" x14ac:dyDescent="0.3">
      <c r="A5" s="425"/>
      <c r="B5" s="340"/>
      <c r="C5" s="261"/>
      <c r="D5" s="66" t="s">
        <v>2376</v>
      </c>
      <c r="E5" s="67"/>
      <c r="F5" s="262"/>
      <c r="G5" s="262"/>
      <c r="H5" s="262"/>
      <c r="I5" s="68"/>
      <c r="J5" s="68"/>
      <c r="K5" t="s">
        <v>2386</v>
      </c>
    </row>
    <row r="6" spans="1:11" ht="60" customHeight="1" thickBot="1" x14ac:dyDescent="0.3">
      <c r="A6" s="425"/>
      <c r="B6" s="340" t="s">
        <v>2393</v>
      </c>
      <c r="C6" s="60" t="s">
        <v>41</v>
      </c>
      <c r="D6" s="11" t="s">
        <v>33</v>
      </c>
      <c r="E6" s="12" t="s">
        <v>43</v>
      </c>
      <c r="F6" s="13">
        <f>SUM(G6:I6)</f>
        <v>681885</v>
      </c>
      <c r="G6" s="181">
        <v>373262</v>
      </c>
      <c r="H6" s="328">
        <v>308623</v>
      </c>
      <c r="I6" s="77">
        <v>0</v>
      </c>
      <c r="J6" s="15"/>
      <c r="K6" s="328">
        <f>G6*H3/G3</f>
        <v>308621.38750349515</v>
      </c>
    </row>
    <row r="7" spans="1:11" ht="45" x14ac:dyDescent="0.25">
      <c r="A7" s="425"/>
      <c r="B7" s="340"/>
      <c r="C7" s="61" t="s">
        <v>50</v>
      </c>
      <c r="D7" s="3"/>
      <c r="E7" s="7" t="s">
        <v>51</v>
      </c>
      <c r="F7" s="8"/>
      <c r="G7" s="184">
        <f>G6/G4</f>
        <v>0.49714773570305021</v>
      </c>
      <c r="H7" s="4"/>
      <c r="I7" s="4"/>
      <c r="J7" s="21"/>
    </row>
    <row r="8" spans="1:11" ht="15.75" thickBot="1" x14ac:dyDescent="0.3">
      <c r="A8" s="425"/>
      <c r="B8" s="340"/>
      <c r="C8" s="62" t="s">
        <v>52</v>
      </c>
      <c r="D8" s="18"/>
      <c r="E8" s="49"/>
      <c r="F8" s="18"/>
      <c r="G8" s="92">
        <f>G6/G3</f>
        <v>7.6684713617226466E-2</v>
      </c>
      <c r="H8" s="18"/>
      <c r="I8" s="18"/>
      <c r="J8" s="19"/>
    </row>
    <row r="9" spans="1:11" ht="14.25" customHeight="1" thickBot="1" x14ac:dyDescent="0.3">
      <c r="A9" s="425"/>
      <c r="B9" s="340"/>
      <c r="C9" s="66"/>
      <c r="D9" s="66"/>
      <c r="E9" s="67"/>
      <c r="F9" s="68"/>
      <c r="G9" s="68"/>
      <c r="H9" s="68"/>
      <c r="I9" s="68"/>
      <c r="J9" s="68"/>
    </row>
    <row r="10" spans="1:11" ht="30" customHeight="1" x14ac:dyDescent="0.25">
      <c r="A10" s="425"/>
      <c r="B10" s="340" t="s">
        <v>2394</v>
      </c>
      <c r="C10" s="63" t="s">
        <v>44</v>
      </c>
      <c r="D10" s="13"/>
      <c r="E10" s="12" t="s">
        <v>45</v>
      </c>
      <c r="F10" s="13">
        <f>F4</f>
        <v>1467259</v>
      </c>
      <c r="G10" s="13">
        <f>G4</f>
        <v>750807</v>
      </c>
      <c r="H10" s="13">
        <f>H4</f>
        <v>716452</v>
      </c>
      <c r="I10" s="13">
        <f>I4</f>
        <v>0</v>
      </c>
      <c r="J10" s="15">
        <f>J4</f>
        <v>0</v>
      </c>
    </row>
    <row r="11" spans="1:11" ht="15.75" thickBot="1" x14ac:dyDescent="0.3">
      <c r="A11" s="425"/>
      <c r="B11" s="340"/>
      <c r="C11" s="64" t="s">
        <v>49</v>
      </c>
      <c r="D11" s="4"/>
      <c r="E11" s="44"/>
      <c r="F11" s="184">
        <f>F10/F3</f>
        <v>0.16500817922730424</v>
      </c>
      <c r="G11" s="184">
        <f>G10/G3</f>
        <v>0.15424934704526297</v>
      </c>
      <c r="H11" s="184">
        <f t="shared" ref="H11:I11" si="0">H10/H3</f>
        <v>0.17802044402987763</v>
      </c>
      <c r="I11" s="184" t="e">
        <f t="shared" si="0"/>
        <v>#DIV/0!</v>
      </c>
      <c r="J11" s="23"/>
      <c r="K11" t="s">
        <v>2386</v>
      </c>
    </row>
    <row r="12" spans="1:11" ht="45" x14ac:dyDescent="0.25">
      <c r="A12" s="425"/>
      <c r="B12" s="340" t="s">
        <v>2395</v>
      </c>
      <c r="C12" s="65" t="s">
        <v>46</v>
      </c>
      <c r="D12" s="3"/>
      <c r="E12" s="44" t="s">
        <v>47</v>
      </c>
      <c r="F12" s="4">
        <f>F10-F6</f>
        <v>785374</v>
      </c>
      <c r="G12" s="4">
        <f>G10-G6</f>
        <v>377545</v>
      </c>
      <c r="H12" s="185">
        <v>360269</v>
      </c>
      <c r="I12" s="4">
        <f>I10-I6</f>
        <v>0</v>
      </c>
      <c r="J12" s="21">
        <f>J10-J6</f>
        <v>0</v>
      </c>
      <c r="K12" s="185">
        <f>G12*H10/G10</f>
        <v>360269.51046007831</v>
      </c>
    </row>
    <row r="13" spans="1:11" ht="15.75" thickBot="1" x14ac:dyDescent="0.3">
      <c r="A13" s="426"/>
      <c r="B13" s="341"/>
      <c r="C13" s="62" t="s">
        <v>48</v>
      </c>
      <c r="D13" s="16"/>
      <c r="E13" s="46"/>
      <c r="F13" s="16"/>
      <c r="G13" s="17">
        <f>G12/G3</f>
        <v>7.7564633428036503E-2</v>
      </c>
      <c r="H13" s="16"/>
      <c r="I13" s="16"/>
      <c r="J13" s="25"/>
    </row>
    <row r="14" spans="1:11" ht="30.75" customHeight="1" x14ac:dyDescent="0.25">
      <c r="A14" s="85"/>
      <c r="B14" s="85"/>
      <c r="C14" s="427" t="s">
        <v>2183</v>
      </c>
      <c r="D14" s="427"/>
      <c r="E14" s="427"/>
      <c r="F14" s="427"/>
      <c r="G14" s="427"/>
      <c r="H14" s="427"/>
      <c r="I14" s="427"/>
      <c r="J14" s="427"/>
    </row>
    <row r="15" spans="1:11" x14ac:dyDescent="0.25">
      <c r="A15" s="56"/>
      <c r="B15" s="56"/>
      <c r="C15" s="56"/>
      <c r="G15" s="57"/>
    </row>
    <row r="16" spans="1:11" ht="15.75" thickBot="1" x14ac:dyDescent="0.3">
      <c r="A16" s="56"/>
      <c r="B16" s="56"/>
      <c r="C16" s="87" t="s">
        <v>2174</v>
      </c>
      <c r="D16" s="96" t="s">
        <v>2187</v>
      </c>
      <c r="E16" s="88"/>
      <c r="F16" s="87"/>
      <c r="G16" s="89"/>
      <c r="H16" s="87"/>
      <c r="I16" s="87"/>
      <c r="J16" s="87"/>
    </row>
    <row r="17" spans="1:13" ht="15.75" thickBot="1" x14ac:dyDescent="0.3">
      <c r="A17" s="56"/>
      <c r="B17" s="56"/>
      <c r="C17" s="56"/>
      <c r="D17" s="80" t="s">
        <v>23</v>
      </c>
      <c r="E17" s="81" t="s">
        <v>36</v>
      </c>
      <c r="F17" s="82" t="s">
        <v>21</v>
      </c>
      <c r="G17" s="82" t="s">
        <v>13</v>
      </c>
      <c r="H17" s="82" t="s">
        <v>14</v>
      </c>
      <c r="I17" s="82" t="s">
        <v>15</v>
      </c>
      <c r="J17" s="83" t="s">
        <v>29</v>
      </c>
    </row>
    <row r="18" spans="1:13" ht="15.75" thickBot="1" x14ac:dyDescent="0.3">
      <c r="A18" s="428" t="s">
        <v>2137</v>
      </c>
      <c r="B18" s="342" t="s">
        <v>2396</v>
      </c>
      <c r="C18" s="40" t="s">
        <v>2142</v>
      </c>
      <c r="D18" s="5" t="s">
        <v>24</v>
      </c>
      <c r="E18" s="48"/>
      <c r="F18" s="35">
        <f>SUM(G18:J18)</f>
        <v>35064</v>
      </c>
      <c r="G18" s="181">
        <v>19231</v>
      </c>
      <c r="H18" s="182">
        <v>15833</v>
      </c>
      <c r="I18" s="77">
        <v>0</v>
      </c>
      <c r="J18" s="256">
        <v>0</v>
      </c>
      <c r="K18" s="244"/>
    </row>
    <row r="19" spans="1:13" ht="30.75" thickBot="1" x14ac:dyDescent="0.3">
      <c r="A19" s="429"/>
      <c r="B19" s="343" t="s">
        <v>2397</v>
      </c>
      <c r="C19" s="30" t="s">
        <v>2143</v>
      </c>
      <c r="D19" s="31" t="s">
        <v>33</v>
      </c>
      <c r="E19" s="32" t="s">
        <v>2144</v>
      </c>
      <c r="F19" s="33">
        <f>SUM(G19:J19)</f>
        <v>2124</v>
      </c>
      <c r="G19" s="181">
        <v>1483</v>
      </c>
      <c r="H19" s="181">
        <v>641</v>
      </c>
      <c r="I19" s="77">
        <v>0</v>
      </c>
      <c r="J19" s="34"/>
      <c r="K19" s="244"/>
      <c r="M19" s="243"/>
    </row>
    <row r="20" spans="1:13" ht="15.75" thickBot="1" x14ac:dyDescent="0.3">
      <c r="A20" s="429"/>
      <c r="B20" s="343"/>
      <c r="C20" s="69"/>
      <c r="D20" s="66"/>
      <c r="E20" s="67"/>
      <c r="F20" s="68"/>
      <c r="G20" s="68"/>
      <c r="H20" s="68"/>
      <c r="I20" s="68"/>
      <c r="J20" s="68"/>
      <c r="K20" t="s">
        <v>2386</v>
      </c>
    </row>
    <row r="21" spans="1:13" ht="45.75" thickBot="1" x14ac:dyDescent="0.3">
      <c r="A21" s="429"/>
      <c r="B21" s="343" t="s">
        <v>2398</v>
      </c>
      <c r="C21" s="41" t="s">
        <v>2145</v>
      </c>
      <c r="D21" s="11" t="s">
        <v>33</v>
      </c>
      <c r="E21" s="12" t="s">
        <v>2146</v>
      </c>
      <c r="F21" s="13">
        <f>SUM(G21:I21)</f>
        <v>1477</v>
      </c>
      <c r="G21" s="181">
        <v>810</v>
      </c>
      <c r="H21" s="328">
        <v>667</v>
      </c>
      <c r="I21" s="77">
        <v>0</v>
      </c>
      <c r="J21" s="15"/>
      <c r="K21" s="328">
        <f>G21*H18/G18</f>
        <v>666.87795746451047</v>
      </c>
    </row>
    <row r="22" spans="1:13" ht="45" x14ac:dyDescent="0.25">
      <c r="A22" s="429"/>
      <c r="B22" s="343"/>
      <c r="C22" s="42" t="s">
        <v>2141</v>
      </c>
      <c r="D22" s="3"/>
      <c r="E22" s="7" t="s">
        <v>2147</v>
      </c>
      <c r="F22" s="8"/>
      <c r="G22" s="184">
        <f>G21/G19</f>
        <v>0.54619015509103164</v>
      </c>
      <c r="H22" s="4"/>
      <c r="I22" s="4"/>
      <c r="J22" s="21"/>
    </row>
    <row r="23" spans="1:13" ht="15.75" thickBot="1" x14ac:dyDescent="0.3">
      <c r="A23" s="429"/>
      <c r="B23" s="343"/>
      <c r="C23" s="43" t="s">
        <v>52</v>
      </c>
      <c r="D23" s="18"/>
      <c r="E23" s="49"/>
      <c r="F23" s="18"/>
      <c r="G23" s="92">
        <f>G21/G18</f>
        <v>4.2119494566065209E-2</v>
      </c>
      <c r="H23" s="18"/>
      <c r="I23" s="18"/>
      <c r="J23" s="19"/>
    </row>
    <row r="24" spans="1:13" ht="15.75" thickBot="1" x14ac:dyDescent="0.3">
      <c r="A24" s="429"/>
      <c r="B24" s="343"/>
      <c r="C24" s="69"/>
      <c r="D24" s="66"/>
      <c r="E24" s="67"/>
      <c r="F24" s="68"/>
      <c r="G24" s="68"/>
      <c r="H24" s="68"/>
      <c r="I24" s="68"/>
      <c r="J24" s="68"/>
    </row>
    <row r="25" spans="1:13" ht="30" x14ac:dyDescent="0.25">
      <c r="A25" s="429"/>
      <c r="B25" s="343" t="s">
        <v>2399</v>
      </c>
      <c r="C25" s="10" t="s">
        <v>44</v>
      </c>
      <c r="D25" s="13"/>
      <c r="E25" s="12" t="s">
        <v>2184</v>
      </c>
      <c r="F25" s="13">
        <f>SUM(G25:J25)</f>
        <v>2124</v>
      </c>
      <c r="G25" s="13">
        <f>G19</f>
        <v>1483</v>
      </c>
      <c r="H25" s="13">
        <f t="shared" ref="H25:J25" si="1">H19</f>
        <v>641</v>
      </c>
      <c r="I25" s="13"/>
      <c r="J25" s="15">
        <f t="shared" si="1"/>
        <v>0</v>
      </c>
    </row>
    <row r="26" spans="1:13" ht="15.75" thickBot="1" x14ac:dyDescent="0.3">
      <c r="A26" s="429"/>
      <c r="B26" s="343"/>
      <c r="C26" s="20" t="s">
        <v>49</v>
      </c>
      <c r="D26" s="4"/>
      <c r="E26" s="44"/>
      <c r="F26" s="184">
        <f>F25/F18</f>
        <v>6.0574948665297744E-2</v>
      </c>
      <c r="G26" s="184">
        <f>G25/G18</f>
        <v>7.7115074619104565E-2</v>
      </c>
      <c r="H26" s="184">
        <f t="shared" ref="H26:I26" si="2">H25/H18</f>
        <v>4.0485062843428281E-2</v>
      </c>
      <c r="I26" s="184" t="e">
        <f t="shared" si="2"/>
        <v>#DIV/0!</v>
      </c>
      <c r="J26" s="23"/>
      <c r="K26" t="s">
        <v>2386</v>
      </c>
    </row>
    <row r="27" spans="1:13" ht="60" x14ac:dyDescent="0.25">
      <c r="A27" s="429"/>
      <c r="B27" s="343" t="s">
        <v>2400</v>
      </c>
      <c r="C27" s="24" t="s">
        <v>46</v>
      </c>
      <c r="D27" s="3"/>
      <c r="E27" s="12" t="s">
        <v>56</v>
      </c>
      <c r="F27" s="4">
        <f>F25-F21</f>
        <v>647</v>
      </c>
      <c r="G27" s="4">
        <f>G25-G21</f>
        <v>673</v>
      </c>
      <c r="H27" s="185">
        <v>291</v>
      </c>
      <c r="I27" s="4">
        <f>I25-I21</f>
        <v>0</v>
      </c>
      <c r="J27" s="21">
        <f>J25-J21</f>
        <v>0</v>
      </c>
      <c r="K27" s="185">
        <f>G27*H25/G25</f>
        <v>290.8921105866487</v>
      </c>
    </row>
    <row r="28" spans="1:13" ht="15.75" thickBot="1" x14ac:dyDescent="0.3">
      <c r="A28" s="430"/>
      <c r="B28" s="344"/>
      <c r="C28" s="43" t="s">
        <v>48</v>
      </c>
      <c r="D28" s="16"/>
      <c r="E28" s="46"/>
      <c r="F28" s="16"/>
      <c r="G28" s="17">
        <f>G27/G18</f>
        <v>3.4995580053039363E-2</v>
      </c>
      <c r="H28" s="16"/>
      <c r="I28" s="16"/>
      <c r="J28" s="25"/>
    </row>
    <row r="29" spans="1:13" x14ac:dyDescent="0.25">
      <c r="A29" s="56"/>
      <c r="B29" s="56"/>
      <c r="C29" s="431" t="s">
        <v>2173</v>
      </c>
      <c r="D29" s="431"/>
      <c r="E29" s="431"/>
      <c r="F29" s="431"/>
      <c r="G29" s="431"/>
      <c r="H29" s="431"/>
      <c r="I29" s="431"/>
      <c r="J29" s="431"/>
    </row>
    <row r="30" spans="1:13" x14ac:dyDescent="0.25">
      <c r="A30" s="56"/>
      <c r="B30" s="56"/>
      <c r="C30" s="90"/>
      <c r="D30" s="90"/>
      <c r="E30" s="90"/>
      <c r="F30" s="90"/>
      <c r="G30" s="90"/>
      <c r="H30" s="90"/>
      <c r="I30" s="90"/>
      <c r="J30" s="90"/>
    </row>
    <row r="31" spans="1:13" x14ac:dyDescent="0.25">
      <c r="A31" s="56"/>
      <c r="B31" s="56"/>
      <c r="C31" s="90"/>
      <c r="D31" s="90"/>
      <c r="E31" s="90"/>
      <c r="F31" s="90"/>
      <c r="G31" s="90"/>
      <c r="H31" s="90"/>
      <c r="I31" s="90"/>
      <c r="J31" s="90"/>
    </row>
    <row r="32" spans="1:13" ht="15.75" thickBot="1" x14ac:dyDescent="0.3">
      <c r="A32" s="56"/>
      <c r="B32" s="56"/>
      <c r="C32" s="87" t="s">
        <v>2174</v>
      </c>
      <c r="D32" s="96" t="s">
        <v>2189</v>
      </c>
      <c r="E32" s="88"/>
      <c r="F32" s="87"/>
      <c r="G32" s="89"/>
      <c r="H32" s="87"/>
      <c r="I32" s="87"/>
      <c r="J32" s="87"/>
    </row>
    <row r="33" spans="1:13" ht="15.75" thickBot="1" x14ac:dyDescent="0.3">
      <c r="A33" s="56"/>
      <c r="B33" s="56"/>
      <c r="C33" s="56"/>
      <c r="D33" s="80" t="s">
        <v>23</v>
      </c>
      <c r="E33" s="81" t="s">
        <v>36</v>
      </c>
      <c r="F33" s="82" t="s">
        <v>21</v>
      </c>
      <c r="G33" s="82" t="s">
        <v>13</v>
      </c>
      <c r="H33" s="82" t="s">
        <v>14</v>
      </c>
      <c r="I33" s="82" t="s">
        <v>15</v>
      </c>
      <c r="J33" s="83" t="s">
        <v>29</v>
      </c>
    </row>
    <row r="34" spans="1:13" ht="15.75" customHeight="1" thickBot="1" x14ac:dyDescent="0.3">
      <c r="A34" s="438" t="s">
        <v>2138</v>
      </c>
      <c r="B34" s="345" t="s">
        <v>2401</v>
      </c>
      <c r="C34" s="78" t="s">
        <v>2148</v>
      </c>
      <c r="D34" s="71" t="s">
        <v>24</v>
      </c>
      <c r="E34" s="72"/>
      <c r="F34" s="35">
        <f>SUM(G34:J34)</f>
        <v>1218289</v>
      </c>
      <c r="G34" s="181">
        <v>1006982</v>
      </c>
      <c r="H34" s="182">
        <v>211307</v>
      </c>
      <c r="I34" s="77">
        <v>0</v>
      </c>
      <c r="J34" s="256"/>
      <c r="K34" s="244"/>
    </row>
    <row r="35" spans="1:13" ht="30.75" customHeight="1" thickBot="1" x14ac:dyDescent="0.3">
      <c r="A35" s="439"/>
      <c r="B35" s="345" t="s">
        <v>2402</v>
      </c>
      <c r="C35" s="58" t="s">
        <v>2149</v>
      </c>
      <c r="D35" s="5" t="s">
        <v>33</v>
      </c>
      <c r="E35" s="47" t="s">
        <v>2150</v>
      </c>
      <c r="F35" s="33">
        <f>SUM(G35:J35)</f>
        <v>16444</v>
      </c>
      <c r="G35" s="181">
        <v>8535</v>
      </c>
      <c r="H35" s="181">
        <v>7909</v>
      </c>
      <c r="I35" s="77">
        <v>0</v>
      </c>
      <c r="J35" s="34"/>
      <c r="K35" s="244"/>
      <c r="M35" s="243"/>
    </row>
    <row r="36" spans="1:13" ht="15.75" customHeight="1" thickBot="1" x14ac:dyDescent="0.3">
      <c r="A36" s="439"/>
      <c r="B36" s="345"/>
      <c r="C36" s="66"/>
      <c r="D36" s="66"/>
      <c r="E36" s="67"/>
      <c r="F36" s="68"/>
      <c r="G36" s="68"/>
      <c r="H36" s="68"/>
      <c r="I36" s="68"/>
      <c r="J36" s="68"/>
      <c r="K36" t="s">
        <v>2386</v>
      </c>
    </row>
    <row r="37" spans="1:13" ht="45.75" thickBot="1" x14ac:dyDescent="0.3">
      <c r="A37" s="439"/>
      <c r="B37" s="345" t="s">
        <v>2403</v>
      </c>
      <c r="C37" s="60" t="s">
        <v>2151</v>
      </c>
      <c r="D37" s="11" t="s">
        <v>33</v>
      </c>
      <c r="E37" s="12" t="s">
        <v>2152</v>
      </c>
      <c r="F37" s="13">
        <f>SUM(G37:I37)</f>
        <v>4300</v>
      </c>
      <c r="G37" s="181">
        <v>3554</v>
      </c>
      <c r="H37" s="328">
        <v>746</v>
      </c>
      <c r="I37" s="77">
        <v>0</v>
      </c>
      <c r="J37" s="15"/>
      <c r="K37" s="328">
        <f>G37*H34/G34</f>
        <v>745.77805561569119</v>
      </c>
    </row>
    <row r="38" spans="1:13" ht="45" x14ac:dyDescent="0.25">
      <c r="A38" s="439"/>
      <c r="B38" s="345"/>
      <c r="C38" s="61" t="s">
        <v>2141</v>
      </c>
      <c r="D38" s="3"/>
      <c r="E38" s="7" t="s">
        <v>2153</v>
      </c>
      <c r="F38" s="8"/>
      <c r="G38" s="184">
        <f t="shared" ref="G38" si="3">G37/G35</f>
        <v>0.41640304628002345</v>
      </c>
      <c r="H38" s="4"/>
      <c r="I38" s="4"/>
      <c r="J38" s="21"/>
    </row>
    <row r="39" spans="1:13" ht="15.75" customHeight="1" thickBot="1" x14ac:dyDescent="0.3">
      <c r="A39" s="439"/>
      <c r="B39" s="345"/>
      <c r="C39" s="62" t="s">
        <v>52</v>
      </c>
      <c r="D39" s="18"/>
      <c r="E39" s="49"/>
      <c r="F39" s="18"/>
      <c r="G39" s="92">
        <f>G37/G34</f>
        <v>3.5293580222883823E-3</v>
      </c>
      <c r="H39" s="18"/>
      <c r="I39" s="18"/>
      <c r="J39" s="19"/>
    </row>
    <row r="40" spans="1:13" ht="15.75" customHeight="1" thickBot="1" x14ac:dyDescent="0.3">
      <c r="A40" s="439"/>
      <c r="B40" s="345"/>
      <c r="C40" s="66"/>
      <c r="D40" s="66"/>
      <c r="E40" s="67"/>
      <c r="F40" s="68"/>
      <c r="G40" s="68"/>
      <c r="H40" s="68"/>
      <c r="I40" s="68"/>
      <c r="J40" s="68"/>
    </row>
    <row r="41" spans="1:13" ht="75" customHeight="1" x14ac:dyDescent="0.25">
      <c r="A41" s="439"/>
      <c r="B41" s="345" t="s">
        <v>2404</v>
      </c>
      <c r="C41" s="63" t="s">
        <v>44</v>
      </c>
      <c r="D41" s="13"/>
      <c r="E41" s="12" t="s">
        <v>2185</v>
      </c>
      <c r="F41" s="13">
        <f>SUM(G41:J41)</f>
        <v>16444</v>
      </c>
      <c r="G41" s="13">
        <f>G35</f>
        <v>8535</v>
      </c>
      <c r="H41" s="13">
        <f t="shared" ref="H41:J41" si="4">H35</f>
        <v>7909</v>
      </c>
      <c r="I41" s="13">
        <f t="shared" si="4"/>
        <v>0</v>
      </c>
      <c r="J41" s="15">
        <f t="shared" si="4"/>
        <v>0</v>
      </c>
    </row>
    <row r="42" spans="1:13" ht="15.75" customHeight="1" thickBot="1" x14ac:dyDescent="0.3">
      <c r="A42" s="439"/>
      <c r="B42" s="345"/>
      <c r="C42" s="64" t="s">
        <v>49</v>
      </c>
      <c r="D42" s="4"/>
      <c r="E42" s="44"/>
      <c r="F42" s="184">
        <f>F41/F34</f>
        <v>1.34976183811887E-2</v>
      </c>
      <c r="G42" s="184">
        <f>G41/G34</f>
        <v>8.4758218121078633E-3</v>
      </c>
      <c r="H42" s="184">
        <f>H41/H34</f>
        <v>3.7428954081029024E-2</v>
      </c>
      <c r="I42" s="184"/>
      <c r="J42" s="23"/>
      <c r="K42" t="s">
        <v>2386</v>
      </c>
    </row>
    <row r="43" spans="1:13" ht="60" x14ac:dyDescent="0.25">
      <c r="A43" s="439"/>
      <c r="B43" s="345" t="s">
        <v>2405</v>
      </c>
      <c r="C43" s="65" t="s">
        <v>46</v>
      </c>
      <c r="D43" s="3"/>
      <c r="E43" s="12" t="s">
        <v>57</v>
      </c>
      <c r="F43" s="4">
        <f>F41-F37</f>
        <v>12144</v>
      </c>
      <c r="G43" s="4">
        <f>G41-G37</f>
        <v>4981</v>
      </c>
      <c r="H43" s="185">
        <v>4616</v>
      </c>
      <c r="I43" s="4">
        <f>I41-I37</f>
        <v>0</v>
      </c>
      <c r="J43" s="21">
        <f>J41-J37</f>
        <v>0</v>
      </c>
      <c r="K43" s="185">
        <f>G43*H41/G41</f>
        <v>4615.6683069712944</v>
      </c>
    </row>
    <row r="44" spans="1:13" ht="15.75" customHeight="1" thickBot="1" x14ac:dyDescent="0.3">
      <c r="A44" s="440"/>
      <c r="B44" s="345"/>
      <c r="C44" s="62" t="s">
        <v>48</v>
      </c>
      <c r="D44" s="16"/>
      <c r="E44" s="46"/>
      <c r="F44" s="16"/>
      <c r="G44" s="17">
        <f>G43/G34</f>
        <v>4.9464637898194806E-3</v>
      </c>
      <c r="H44" s="16"/>
      <c r="I44" s="16"/>
      <c r="J44" s="25"/>
    </row>
    <row r="45" spans="1:13" ht="15" customHeight="1" x14ac:dyDescent="0.25">
      <c r="A45" s="56"/>
      <c r="B45" s="56"/>
      <c r="C45" s="431" t="s">
        <v>2176</v>
      </c>
      <c r="D45" s="431"/>
      <c r="E45" s="431"/>
      <c r="F45" s="431"/>
      <c r="G45" s="431"/>
      <c r="H45" s="431"/>
      <c r="I45" s="431"/>
      <c r="J45" s="431"/>
    </row>
    <row r="46" spans="1:13" ht="55.5" customHeight="1" x14ac:dyDescent="0.25">
      <c r="A46" s="56"/>
      <c r="B46" s="56"/>
      <c r="C46" s="441" t="s">
        <v>2177</v>
      </c>
      <c r="D46" s="441"/>
      <c r="E46" s="441"/>
      <c r="F46" s="441"/>
      <c r="G46" s="441"/>
      <c r="H46" s="441"/>
      <c r="I46" s="441"/>
      <c r="J46" s="441"/>
    </row>
    <row r="47" spans="1:13" x14ac:dyDescent="0.25">
      <c r="A47" s="56"/>
      <c r="B47" s="56"/>
      <c r="C47" s="56"/>
      <c r="G47" s="57"/>
    </row>
    <row r="48" spans="1:13" ht="15.75" thickBot="1" x14ac:dyDescent="0.3">
      <c r="A48" s="56"/>
      <c r="B48" s="56"/>
      <c r="C48" s="87" t="s">
        <v>2174</v>
      </c>
      <c r="D48" s="96" t="s">
        <v>2188</v>
      </c>
      <c r="E48" s="88"/>
      <c r="F48" s="87"/>
      <c r="G48" s="89"/>
      <c r="H48" s="87"/>
      <c r="I48" s="87"/>
      <c r="J48" s="87"/>
    </row>
    <row r="49" spans="1:13" ht="15.75" thickBot="1" x14ac:dyDescent="0.3">
      <c r="A49" s="56"/>
      <c r="B49" s="56"/>
      <c r="C49" s="56"/>
      <c r="D49" s="80" t="s">
        <v>23</v>
      </c>
      <c r="E49" s="81" t="s">
        <v>36</v>
      </c>
      <c r="F49" s="82" t="s">
        <v>21</v>
      </c>
      <c r="G49" s="82" t="s">
        <v>13</v>
      </c>
      <c r="H49" s="82" t="s">
        <v>14</v>
      </c>
      <c r="I49" s="82" t="s">
        <v>15</v>
      </c>
      <c r="J49" s="83" t="s">
        <v>29</v>
      </c>
    </row>
    <row r="50" spans="1:13" ht="15.75" customHeight="1" thickBot="1" x14ac:dyDescent="0.3">
      <c r="A50" s="432" t="s">
        <v>2171</v>
      </c>
      <c r="B50" s="342" t="s">
        <v>2406</v>
      </c>
      <c r="C50" s="5" t="s">
        <v>2155</v>
      </c>
      <c r="D50" s="5" t="s">
        <v>24</v>
      </c>
      <c r="E50" s="48"/>
      <c r="F50" s="35">
        <f>SUM(G50:J50)</f>
        <v>116283</v>
      </c>
      <c r="G50" s="181">
        <v>92913</v>
      </c>
      <c r="H50" s="182">
        <v>23370</v>
      </c>
      <c r="I50" s="77">
        <v>0</v>
      </c>
      <c r="J50" s="183">
        <v>0</v>
      </c>
      <c r="K50" s="244"/>
    </row>
    <row r="51" spans="1:13" ht="30.75" thickBot="1" x14ac:dyDescent="0.3">
      <c r="A51" s="433"/>
      <c r="B51" s="346" t="s">
        <v>2407</v>
      </c>
      <c r="C51" s="30" t="s">
        <v>2156</v>
      </c>
      <c r="D51" s="31" t="s">
        <v>33</v>
      </c>
      <c r="E51" s="32" t="s">
        <v>2154</v>
      </c>
      <c r="F51" s="33">
        <f>SUM(G51:J51)</f>
        <v>70815</v>
      </c>
      <c r="G51" s="181">
        <v>26969</v>
      </c>
      <c r="H51" s="181">
        <v>43846</v>
      </c>
      <c r="I51" s="77">
        <v>0</v>
      </c>
      <c r="J51" s="34"/>
      <c r="K51" s="244"/>
      <c r="M51" s="243"/>
    </row>
    <row r="52" spans="1:13" ht="15.75" thickBot="1" x14ac:dyDescent="0.3">
      <c r="A52" s="433"/>
      <c r="B52" s="343"/>
      <c r="C52" s="66"/>
      <c r="D52" s="66"/>
      <c r="E52" s="67"/>
      <c r="F52" s="68"/>
      <c r="G52" s="68"/>
      <c r="H52" s="68"/>
      <c r="I52" s="68"/>
      <c r="J52" s="68"/>
      <c r="K52" t="s">
        <v>2386</v>
      </c>
    </row>
    <row r="53" spans="1:13" ht="45.75" thickBot="1" x14ac:dyDescent="0.3">
      <c r="A53" s="433"/>
      <c r="B53" s="346" t="s">
        <v>2408</v>
      </c>
      <c r="C53" s="41" t="s">
        <v>2157</v>
      </c>
      <c r="D53" s="11" t="s">
        <v>33</v>
      </c>
      <c r="E53" s="12" t="s">
        <v>2159</v>
      </c>
      <c r="F53" s="13">
        <f>SUM(G53:I53)</f>
        <v>16754</v>
      </c>
      <c r="G53" s="181">
        <v>13387</v>
      </c>
      <c r="H53" s="328">
        <v>3367</v>
      </c>
      <c r="I53" s="77">
        <v>0</v>
      </c>
      <c r="J53" s="15"/>
      <c r="K53" s="328">
        <f>G53*H50/G50</f>
        <v>3367.1734848729457</v>
      </c>
    </row>
    <row r="54" spans="1:13" ht="45" x14ac:dyDescent="0.25">
      <c r="A54" s="433"/>
      <c r="B54" s="346"/>
      <c r="C54" s="42" t="s">
        <v>2158</v>
      </c>
      <c r="D54" s="3"/>
      <c r="E54" s="7" t="s">
        <v>2160</v>
      </c>
      <c r="F54" s="8"/>
      <c r="G54" s="184">
        <f t="shared" ref="G54:I54" si="5">G53/G51</f>
        <v>0.49638473803255589</v>
      </c>
      <c r="H54" s="4"/>
      <c r="I54" s="4" t="e">
        <f t="shared" si="5"/>
        <v>#DIV/0!</v>
      </c>
      <c r="J54" s="21"/>
    </row>
    <row r="55" spans="1:13" ht="15.75" thickBot="1" x14ac:dyDescent="0.3">
      <c r="A55" s="433"/>
      <c r="B55" s="346"/>
      <c r="C55" s="43" t="s">
        <v>52</v>
      </c>
      <c r="D55" s="18"/>
      <c r="E55" s="49"/>
      <c r="F55" s="18"/>
      <c r="G55" s="92">
        <f>G53/G50</f>
        <v>0.14408102203136267</v>
      </c>
      <c r="H55" s="18"/>
      <c r="I55" s="18"/>
      <c r="J55" s="19"/>
    </row>
    <row r="56" spans="1:13" ht="15.75" thickBot="1" x14ac:dyDescent="0.3">
      <c r="A56" s="433"/>
      <c r="B56" s="343"/>
      <c r="C56" s="66"/>
      <c r="D56" s="66"/>
      <c r="E56" s="67"/>
      <c r="F56" s="68"/>
      <c r="G56" s="68"/>
      <c r="H56" s="68"/>
      <c r="I56" s="68"/>
      <c r="J56" s="68"/>
    </row>
    <row r="57" spans="1:13" ht="45" x14ac:dyDescent="0.25">
      <c r="A57" s="433"/>
      <c r="B57" s="346" t="s">
        <v>2409</v>
      </c>
      <c r="C57" s="10" t="s">
        <v>44</v>
      </c>
      <c r="D57" s="13"/>
      <c r="E57" s="12" t="s">
        <v>2186</v>
      </c>
      <c r="F57" s="13">
        <f>SUM(G57:J57)</f>
        <v>70815</v>
      </c>
      <c r="G57" s="13">
        <f>G51</f>
        <v>26969</v>
      </c>
      <c r="H57" s="13">
        <f t="shared" ref="H57:J57" si="6">H51</f>
        <v>43846</v>
      </c>
      <c r="I57" s="13">
        <f t="shared" si="6"/>
        <v>0</v>
      </c>
      <c r="J57" s="15">
        <f t="shared" si="6"/>
        <v>0</v>
      </c>
    </row>
    <row r="58" spans="1:13" ht="15.75" thickBot="1" x14ac:dyDescent="0.3">
      <c r="A58" s="433"/>
      <c r="B58" s="346"/>
      <c r="C58" s="20" t="s">
        <v>49</v>
      </c>
      <c r="D58" s="4"/>
      <c r="E58" s="44"/>
      <c r="F58" s="184">
        <f>F57/F50</f>
        <v>0.60898841619153277</v>
      </c>
      <c r="G58" s="184">
        <f>G57/G50</f>
        <v>0.29026078159138119</v>
      </c>
      <c r="H58" s="184">
        <f t="shared" ref="H58:I58" si="7">H57/H50</f>
        <v>1.8761660248181429</v>
      </c>
      <c r="I58" s="184" t="e">
        <f t="shared" si="7"/>
        <v>#DIV/0!</v>
      </c>
      <c r="J58" s="23"/>
      <c r="K58" t="s">
        <v>2386</v>
      </c>
    </row>
    <row r="59" spans="1:13" ht="60" x14ac:dyDescent="0.25">
      <c r="A59" s="433"/>
      <c r="B59" s="346" t="s">
        <v>2410</v>
      </c>
      <c r="C59" s="24" t="s">
        <v>46</v>
      </c>
      <c r="D59" s="3"/>
      <c r="E59" s="12" t="s">
        <v>2161</v>
      </c>
      <c r="F59" s="4">
        <f>F57-F53</f>
        <v>54061</v>
      </c>
      <c r="G59" s="4">
        <f>G57-G53</f>
        <v>13582</v>
      </c>
      <c r="H59" s="185">
        <v>22082</v>
      </c>
      <c r="I59" s="4">
        <f t="shared" ref="I59:J59" si="8">I57-I53</f>
        <v>0</v>
      </c>
      <c r="J59" s="21">
        <f t="shared" si="8"/>
        <v>0</v>
      </c>
      <c r="K59" s="185">
        <f>G59*H57/G57</f>
        <v>22081.514776224554</v>
      </c>
    </row>
    <row r="60" spans="1:13" ht="15.75" thickBot="1" x14ac:dyDescent="0.3">
      <c r="A60" s="434"/>
      <c r="B60" s="347"/>
      <c r="C60" s="43" t="s">
        <v>48</v>
      </c>
      <c r="D60" s="16"/>
      <c r="E60" s="46"/>
      <c r="F60" s="16"/>
      <c r="G60" s="17">
        <f>G59/G50</f>
        <v>0.14617975956001852</v>
      </c>
      <c r="H60" s="16"/>
      <c r="I60" s="16"/>
      <c r="J60" s="25"/>
    </row>
    <row r="61" spans="1:13" x14ac:dyDescent="0.25">
      <c r="A61" s="56"/>
      <c r="B61" s="56"/>
      <c r="C61" s="431" t="s">
        <v>2178</v>
      </c>
      <c r="D61" s="431"/>
      <c r="E61" s="431"/>
      <c r="F61" s="431"/>
      <c r="G61" s="431"/>
      <c r="H61" s="431"/>
      <c r="I61" s="431"/>
      <c r="J61" s="431"/>
    </row>
    <row r="62" spans="1:13" ht="15.75" thickBot="1" x14ac:dyDescent="0.3">
      <c r="A62" s="56"/>
      <c r="B62" s="56"/>
      <c r="C62" s="56"/>
      <c r="G62" s="57"/>
    </row>
    <row r="63" spans="1:13" s="268" customFormat="1" ht="15.75" thickBot="1" x14ac:dyDescent="0.3">
      <c r="A63" s="263"/>
      <c r="B63" s="263"/>
      <c r="C63" s="263"/>
      <c r="D63" s="264" t="s">
        <v>23</v>
      </c>
      <c r="E63" s="265" t="s">
        <v>36</v>
      </c>
      <c r="F63" s="266" t="s">
        <v>21</v>
      </c>
      <c r="G63" s="266" t="s">
        <v>13</v>
      </c>
      <c r="H63" s="266" t="s">
        <v>14</v>
      </c>
      <c r="I63" s="266" t="s">
        <v>15</v>
      </c>
      <c r="J63" s="267" t="s">
        <v>29</v>
      </c>
    </row>
    <row r="64" spans="1:13" s="268" customFormat="1" ht="15.75" customHeight="1" thickBot="1" x14ac:dyDescent="0.3">
      <c r="A64" s="442" t="s">
        <v>2139</v>
      </c>
      <c r="B64" s="348"/>
      <c r="C64" s="266" t="s">
        <v>2162</v>
      </c>
      <c r="D64" s="266" t="s">
        <v>24</v>
      </c>
      <c r="E64" s="269"/>
      <c r="F64" s="270">
        <f>SUM(G64:J64)</f>
        <v>10292397</v>
      </c>
      <c r="G64" s="271">
        <f>G3+G18+G34+G50+G80</f>
        <v>6008454</v>
      </c>
      <c r="H64" s="272">
        <f t="shared" ref="H64" si="9">H3+H18+H34+H50+H80</f>
        <v>4283943</v>
      </c>
      <c r="I64" s="273">
        <v>0</v>
      </c>
      <c r="J64" s="274">
        <f>J3+J18+J34+J50</f>
        <v>0</v>
      </c>
      <c r="K64" s="275"/>
    </row>
    <row r="65" spans="1:13" s="268" customFormat="1" ht="30.75" thickBot="1" x14ac:dyDescent="0.3">
      <c r="A65" s="443"/>
      <c r="B65" s="349"/>
      <c r="C65" s="276" t="s">
        <v>2163</v>
      </c>
      <c r="D65" s="277" t="s">
        <v>33</v>
      </c>
      <c r="E65" s="278" t="s">
        <v>2164</v>
      </c>
      <c r="F65" s="279">
        <f>SUM(G65:J65)</f>
        <v>1558403.3075690279</v>
      </c>
      <c r="G65" s="271">
        <f>G4+G19+G35+G51+G81</f>
        <v>789046</v>
      </c>
      <c r="H65" s="271">
        <f>H4+H19+H35+H51+H81</f>
        <v>769357.30756902788</v>
      </c>
      <c r="I65" s="273">
        <v>0</v>
      </c>
      <c r="J65" s="280">
        <f>J4+J19+J35+J51+J81</f>
        <v>0</v>
      </c>
      <c r="K65" s="275"/>
      <c r="M65" s="281"/>
    </row>
    <row r="66" spans="1:13" s="268" customFormat="1" ht="15.75" thickBot="1" x14ac:dyDescent="0.3">
      <c r="A66" s="443"/>
      <c r="B66" s="350"/>
      <c r="E66" s="282"/>
      <c r="F66" s="283"/>
      <c r="G66" s="283"/>
      <c r="H66" s="283"/>
      <c r="I66" s="283"/>
      <c r="J66" s="283"/>
    </row>
    <row r="67" spans="1:13" s="268" customFormat="1" ht="45.75" thickBot="1" x14ac:dyDescent="0.3">
      <c r="A67" s="443"/>
      <c r="B67" s="349"/>
      <c r="C67" s="284" t="s">
        <v>2151</v>
      </c>
      <c r="D67" s="285" t="s">
        <v>33</v>
      </c>
      <c r="E67" s="286" t="s">
        <v>2165</v>
      </c>
      <c r="F67" s="287">
        <f>SUM(G67:I67)</f>
        <v>391530</v>
      </c>
      <c r="G67" s="271">
        <f>G6+G21+G37+G53+G83</f>
        <v>391530</v>
      </c>
      <c r="H67" s="288" t="s">
        <v>8</v>
      </c>
      <c r="I67" s="273">
        <v>0</v>
      </c>
      <c r="J67" s="289">
        <f>J6+J21+J37+J53</f>
        <v>0</v>
      </c>
    </row>
    <row r="68" spans="1:13" s="268" customFormat="1" ht="45" x14ac:dyDescent="0.25">
      <c r="A68" s="443"/>
      <c r="B68" s="349"/>
      <c r="C68" s="290" t="s">
        <v>2141</v>
      </c>
      <c r="D68" s="29"/>
      <c r="E68" s="291" t="s">
        <v>2166</v>
      </c>
      <c r="F68" s="292"/>
      <c r="G68" s="293">
        <f>G67/G65</f>
        <v>0.49620681177016296</v>
      </c>
      <c r="H68" s="294"/>
      <c r="I68" s="294"/>
      <c r="J68" s="295"/>
    </row>
    <row r="69" spans="1:13" s="268" customFormat="1" ht="15.75" thickBot="1" x14ac:dyDescent="0.3">
      <c r="A69" s="443"/>
      <c r="B69" s="349"/>
      <c r="C69" s="296" t="s">
        <v>52</v>
      </c>
      <c r="D69" s="297"/>
      <c r="E69" s="298"/>
      <c r="F69" s="297"/>
      <c r="G69" s="299">
        <f>G67/G64</f>
        <v>6.5163185072233218E-2</v>
      </c>
      <c r="H69" s="297"/>
      <c r="I69" s="297"/>
      <c r="J69" s="300"/>
    </row>
    <row r="70" spans="1:13" s="268" customFormat="1" ht="15.75" thickBot="1" x14ac:dyDescent="0.3">
      <c r="A70" s="443"/>
      <c r="B70" s="350"/>
      <c r="E70" s="282"/>
      <c r="F70" s="283"/>
      <c r="G70" s="283"/>
      <c r="H70" s="283"/>
      <c r="I70" s="283"/>
      <c r="J70" s="283"/>
    </row>
    <row r="71" spans="1:13" s="268" customFormat="1" ht="45" customHeight="1" x14ac:dyDescent="0.25">
      <c r="A71" s="443"/>
      <c r="B71" s="349"/>
      <c r="C71" s="301" t="s">
        <v>44</v>
      </c>
      <c r="D71" s="287"/>
      <c r="E71" s="286" t="s">
        <v>2167</v>
      </c>
      <c r="F71" s="287">
        <f>SUM(G71:J71)</f>
        <v>1558396.3075690279</v>
      </c>
      <c r="G71" s="287">
        <f>G41+G25+G10+G57+G87</f>
        <v>789039</v>
      </c>
      <c r="H71" s="287">
        <f>H41+H25+H10+H57+H87</f>
        <v>769357.30756902788</v>
      </c>
      <c r="I71" s="287">
        <f>I41+I25+I10+I57+I87</f>
        <v>0</v>
      </c>
      <c r="J71" s="289">
        <f>J41+J25+J10+J57+J87</f>
        <v>0</v>
      </c>
    </row>
    <row r="72" spans="1:13" s="268" customFormat="1" ht="15.75" thickBot="1" x14ac:dyDescent="0.3">
      <c r="A72" s="443"/>
      <c r="B72" s="349"/>
      <c r="C72" s="302" t="s">
        <v>49</v>
      </c>
      <c r="D72" s="294"/>
      <c r="E72" s="303"/>
      <c r="F72" s="293">
        <f>F71/F64</f>
        <v>0.15141237824085368</v>
      </c>
      <c r="G72" s="293">
        <f>G71/G64</f>
        <v>0.13132146805151543</v>
      </c>
      <c r="H72" s="293">
        <f t="shared" ref="H72:I72" si="10">H71/H64</f>
        <v>0.17959093003082158</v>
      </c>
      <c r="I72" s="293" t="e">
        <f t="shared" si="10"/>
        <v>#DIV/0!</v>
      </c>
      <c r="J72" s="304"/>
    </row>
    <row r="73" spans="1:13" s="268" customFormat="1" ht="60" x14ac:dyDescent="0.25">
      <c r="A73" s="443"/>
      <c r="B73" s="349"/>
      <c r="C73" s="305" t="s">
        <v>46</v>
      </c>
      <c r="D73" s="29"/>
      <c r="E73" s="286" t="s">
        <v>2140</v>
      </c>
      <c r="F73" s="294">
        <f>F71-F67</f>
        <v>1166866.3075690279</v>
      </c>
      <c r="G73" s="294">
        <f>G43+G27+G12+G59+G89</f>
        <v>397509</v>
      </c>
      <c r="H73" s="306">
        <f>G73*H71/G71</f>
        <v>387593.58406169619</v>
      </c>
      <c r="I73" s="294">
        <f>I43+I27+I12+I59</f>
        <v>0</v>
      </c>
      <c r="J73" s="295">
        <f>J43+J27+J12+J59</f>
        <v>0</v>
      </c>
    </row>
    <row r="74" spans="1:13" s="268" customFormat="1" ht="15.75" thickBot="1" x14ac:dyDescent="0.3">
      <c r="A74" s="444"/>
      <c r="B74" s="351"/>
      <c r="C74" s="296" t="s">
        <v>48</v>
      </c>
      <c r="D74" s="307"/>
      <c r="E74" s="308"/>
      <c r="F74" s="307"/>
      <c r="G74" s="309">
        <f>G73/G64</f>
        <v>6.6158282979282196E-2</v>
      </c>
      <c r="H74" s="307"/>
      <c r="I74" s="307"/>
      <c r="J74" s="310"/>
    </row>
    <row r="78" spans="1:13" ht="15.75" thickBot="1" x14ac:dyDescent="0.3">
      <c r="A78" s="56"/>
      <c r="B78" s="56"/>
      <c r="C78" s="87" t="s">
        <v>2174</v>
      </c>
      <c r="D78" s="96" t="s">
        <v>2190</v>
      </c>
      <c r="E78" s="88"/>
      <c r="F78" s="87"/>
      <c r="G78" s="89"/>
      <c r="H78" s="87"/>
      <c r="I78" s="87"/>
      <c r="J78" s="87"/>
    </row>
    <row r="79" spans="1:13" ht="15.75" thickBot="1" x14ac:dyDescent="0.3">
      <c r="A79" s="56"/>
      <c r="B79" s="56"/>
      <c r="C79" s="56"/>
      <c r="D79" s="80" t="s">
        <v>23</v>
      </c>
      <c r="E79" s="81" t="s">
        <v>36</v>
      </c>
      <c r="F79" s="82" t="s">
        <v>21</v>
      </c>
      <c r="G79" s="82" t="s">
        <v>13</v>
      </c>
      <c r="H79" s="82" t="s">
        <v>14</v>
      </c>
      <c r="I79" s="82" t="s">
        <v>15</v>
      </c>
      <c r="J79" s="83" t="s">
        <v>29</v>
      </c>
    </row>
    <row r="80" spans="1:13" ht="15.75" thickBot="1" x14ac:dyDescent="0.3">
      <c r="A80" s="432" t="s">
        <v>2191</v>
      </c>
      <c r="B80" s="342" t="s">
        <v>2411</v>
      </c>
      <c r="C80" s="5" t="s">
        <v>2192</v>
      </c>
      <c r="D80" s="5" t="s">
        <v>24</v>
      </c>
      <c r="E80" s="48"/>
      <c r="F80" s="35">
        <f>SUM(G80:J80)</f>
        <v>30723</v>
      </c>
      <c r="G80" s="181">
        <v>21839</v>
      </c>
      <c r="H80" s="182">
        <v>8884</v>
      </c>
      <c r="I80" s="77">
        <v>0</v>
      </c>
      <c r="J80" s="256">
        <v>0</v>
      </c>
      <c r="K80" s="244"/>
    </row>
    <row r="81" spans="1:10" ht="30.75" thickBot="1" x14ac:dyDescent="0.3">
      <c r="A81" s="433"/>
      <c r="B81" s="346" t="s">
        <v>2412</v>
      </c>
      <c r="C81" s="30" t="s">
        <v>2193</v>
      </c>
      <c r="D81" s="31" t="s">
        <v>33</v>
      </c>
      <c r="E81" s="32" t="s">
        <v>2197</v>
      </c>
      <c r="F81" s="33">
        <f>SUM(G81:J81)</f>
        <v>1761.3075690278858</v>
      </c>
      <c r="G81" s="181">
        <v>1252</v>
      </c>
      <c r="H81" s="181">
        <f>G81*H80/G80</f>
        <v>509.3075690278859</v>
      </c>
      <c r="I81" s="77">
        <v>0</v>
      </c>
      <c r="J81" s="34"/>
    </row>
    <row r="82" spans="1:10" ht="15.75" thickBot="1" x14ac:dyDescent="0.3">
      <c r="A82" s="433"/>
      <c r="B82" s="343"/>
      <c r="C82" s="66"/>
      <c r="D82" s="66"/>
      <c r="E82" s="67"/>
      <c r="F82" s="68"/>
      <c r="G82" s="68"/>
      <c r="H82" s="68"/>
      <c r="I82" s="68"/>
      <c r="J82" s="68"/>
    </row>
    <row r="83" spans="1:10" ht="30.75" thickBot="1" x14ac:dyDescent="0.3">
      <c r="A83" s="433"/>
      <c r="B83" s="346" t="s">
        <v>2413</v>
      </c>
      <c r="C83" s="41" t="s">
        <v>2194</v>
      </c>
      <c r="D83" s="11" t="s">
        <v>33</v>
      </c>
      <c r="E83" s="12" t="s">
        <v>2198</v>
      </c>
      <c r="F83" s="13">
        <f>SUM(G83:I83)</f>
        <v>727.31310957461426</v>
      </c>
      <c r="G83" s="181">
        <v>517</v>
      </c>
      <c r="H83" s="328">
        <f>G83*H80/G80</f>
        <v>210.31310957461423</v>
      </c>
      <c r="I83" s="77">
        <v>0</v>
      </c>
      <c r="J83" s="15"/>
    </row>
    <row r="84" spans="1:10" ht="45" x14ac:dyDescent="0.25">
      <c r="A84" s="433"/>
      <c r="B84" s="346"/>
      <c r="C84" s="42" t="s">
        <v>2195</v>
      </c>
      <c r="D84" s="3"/>
      <c r="E84" s="7" t="s">
        <v>2199</v>
      </c>
      <c r="F84" s="8"/>
      <c r="G84" s="184">
        <f t="shared" ref="G84" si="11">G83/G81</f>
        <v>0.41293929712460065</v>
      </c>
      <c r="H84" s="4"/>
      <c r="I84" s="4" t="e">
        <f t="shared" ref="I84" si="12">I83/I81</f>
        <v>#DIV/0!</v>
      </c>
      <c r="J84" s="21"/>
    </row>
    <row r="85" spans="1:10" ht="30.75" thickBot="1" x14ac:dyDescent="0.3">
      <c r="A85" s="433"/>
      <c r="B85" s="346"/>
      <c r="C85" s="43" t="s">
        <v>2196</v>
      </c>
      <c r="D85" s="18"/>
      <c r="E85" s="49"/>
      <c r="F85" s="18"/>
      <c r="G85" s="92">
        <f>G83/G80</f>
        <v>2.3673245111955676E-2</v>
      </c>
      <c r="H85" s="18"/>
      <c r="I85" s="18"/>
      <c r="J85" s="19"/>
    </row>
    <row r="86" spans="1:10" ht="15.75" thickBot="1" x14ac:dyDescent="0.3">
      <c r="A86" s="433"/>
      <c r="B86" s="343"/>
      <c r="C86" s="66"/>
      <c r="D86" s="66"/>
      <c r="E86" s="67"/>
      <c r="F86" s="68"/>
      <c r="G86" s="68"/>
      <c r="H86" s="68"/>
      <c r="I86" s="68"/>
      <c r="J86" s="68"/>
    </row>
    <row r="87" spans="1:10" ht="45" x14ac:dyDescent="0.25">
      <c r="A87" s="433"/>
      <c r="B87" s="346" t="s">
        <v>2414</v>
      </c>
      <c r="C87" s="10" t="s">
        <v>44</v>
      </c>
      <c r="D87" s="13"/>
      <c r="E87" s="12" t="s">
        <v>2200</v>
      </c>
      <c r="F87" s="13">
        <f>SUM(G87:J87)</f>
        <v>1754.3075690278858</v>
      </c>
      <c r="G87" s="13">
        <v>1245</v>
      </c>
      <c r="H87" s="13">
        <f>H81</f>
        <v>509.3075690278859</v>
      </c>
      <c r="I87" s="13">
        <f t="shared" ref="I87:J87" si="13">I81</f>
        <v>0</v>
      </c>
      <c r="J87" s="15">
        <f t="shared" si="13"/>
        <v>0</v>
      </c>
    </row>
    <row r="88" spans="1:10" ht="15.75" thickBot="1" x14ac:dyDescent="0.3">
      <c r="A88" s="433"/>
      <c r="B88" s="346"/>
      <c r="C88" s="20" t="s">
        <v>49</v>
      </c>
      <c r="D88" s="4"/>
      <c r="E88" s="44"/>
      <c r="F88" s="184">
        <f>F87/F80</f>
        <v>5.7100789930276528E-2</v>
      </c>
      <c r="G88" s="184">
        <f>G87/G80</f>
        <v>5.7008104766701775E-2</v>
      </c>
      <c r="H88" s="184">
        <f t="shared" ref="H88:I88" si="14">H87/H80</f>
        <v>5.7328632263382022E-2</v>
      </c>
      <c r="I88" s="184" t="e">
        <f t="shared" si="14"/>
        <v>#DIV/0!</v>
      </c>
      <c r="J88" s="23"/>
    </row>
    <row r="89" spans="1:10" ht="60" x14ac:dyDescent="0.25">
      <c r="A89" s="433"/>
      <c r="B89" s="346" t="s">
        <v>2415</v>
      </c>
      <c r="C89" s="24" t="s">
        <v>46</v>
      </c>
      <c r="D89" s="3"/>
      <c r="E89" s="12" t="s">
        <v>2201</v>
      </c>
      <c r="F89" s="4">
        <f>F87-F83</f>
        <v>1026.9944594532717</v>
      </c>
      <c r="G89" s="4">
        <f>G87-G83</f>
        <v>728</v>
      </c>
      <c r="H89" s="185">
        <f>G89*H87/G87</f>
        <v>297.81197610626583</v>
      </c>
      <c r="I89" s="4">
        <f t="shared" ref="I89:J89" si="15">I87-I83</f>
        <v>0</v>
      </c>
      <c r="J89" s="21">
        <f t="shared" si="15"/>
        <v>0</v>
      </c>
    </row>
    <row r="90" spans="1:10" ht="15.75" thickBot="1" x14ac:dyDescent="0.3">
      <c r="A90" s="434"/>
      <c r="B90" s="347"/>
      <c r="C90" s="43" t="s">
        <v>48</v>
      </c>
      <c r="D90" s="16"/>
      <c r="E90" s="46"/>
      <c r="F90" s="16"/>
      <c r="G90" s="17">
        <f>G89/G80</f>
        <v>3.3334859654746099E-2</v>
      </c>
      <c r="H90" s="16"/>
      <c r="I90" s="16"/>
      <c r="J90" s="25"/>
    </row>
    <row r="92" spans="1:10" ht="15.75" thickBot="1" x14ac:dyDescent="0.3"/>
    <row r="93" spans="1:10" ht="15.75" thickBot="1" x14ac:dyDescent="0.3">
      <c r="A93" s="435" t="s">
        <v>2224</v>
      </c>
      <c r="B93" s="338"/>
      <c r="C93" t="s">
        <v>16</v>
      </c>
      <c r="D93" s="80" t="s">
        <v>23</v>
      </c>
      <c r="E93" s="81" t="s">
        <v>36</v>
      </c>
      <c r="F93" s="82" t="s">
        <v>21</v>
      </c>
      <c r="G93" s="82" t="s">
        <v>13</v>
      </c>
      <c r="H93" s="82" t="s">
        <v>14</v>
      </c>
      <c r="I93" s="82" t="s">
        <v>15</v>
      </c>
      <c r="J93" s="83" t="s">
        <v>29</v>
      </c>
    </row>
    <row r="94" spans="1:10" ht="39.75" customHeight="1" thickBot="1" x14ac:dyDescent="0.3">
      <c r="A94" s="436"/>
      <c r="B94" s="338"/>
      <c r="C94" s="87" t="s">
        <v>2174</v>
      </c>
      <c r="D94" s="409" t="s">
        <v>2248</v>
      </c>
      <c r="E94" s="409"/>
      <c r="F94" s="409"/>
      <c r="G94" s="409"/>
      <c r="H94" s="409"/>
      <c r="I94" s="409"/>
      <c r="J94" s="409"/>
    </row>
    <row r="95" spans="1:10" ht="15.75" thickBot="1" x14ac:dyDescent="0.3">
      <c r="A95" s="436"/>
      <c r="B95" s="352" t="s">
        <v>2416</v>
      </c>
      <c r="C95" s="65" t="s">
        <v>2225</v>
      </c>
      <c r="D95" s="3" t="s">
        <v>33</v>
      </c>
      <c r="E95" s="104"/>
      <c r="F95" s="4">
        <f>SUM(G95:H95)</f>
        <v>2304976</v>
      </c>
      <c r="G95" s="181">
        <v>1240588</v>
      </c>
      <c r="H95" s="181">
        <v>1064388</v>
      </c>
      <c r="I95" s="4"/>
      <c r="J95" s="4"/>
    </row>
    <row r="96" spans="1:10" ht="15.75" thickBot="1" x14ac:dyDescent="0.3">
      <c r="A96" s="436"/>
      <c r="B96" s="352" t="s">
        <v>2417</v>
      </c>
      <c r="C96" s="65" t="s">
        <v>2223</v>
      </c>
      <c r="D96" s="3" t="s">
        <v>33</v>
      </c>
      <c r="E96" s="104"/>
      <c r="F96" s="4">
        <f>SUM(G96:J96)</f>
        <v>661369</v>
      </c>
      <c r="G96" s="181">
        <v>352667</v>
      </c>
      <c r="H96" s="181">
        <v>308702</v>
      </c>
      <c r="I96" s="77">
        <v>0</v>
      </c>
      <c r="J96" s="255">
        <v>0</v>
      </c>
    </row>
    <row r="97" spans="1:11" ht="15.75" thickBot="1" x14ac:dyDescent="0.3">
      <c r="A97" s="436"/>
      <c r="B97" s="352"/>
      <c r="C97" s="366" t="s">
        <v>2520</v>
      </c>
      <c r="D97" s="3"/>
      <c r="E97" s="104"/>
      <c r="F97" s="4"/>
      <c r="G97" s="365"/>
      <c r="H97" s="365"/>
      <c r="I97" s="4"/>
      <c r="J97" s="4"/>
      <c r="K97" t="s">
        <v>2390</v>
      </c>
    </row>
    <row r="98" spans="1:11" ht="15.75" thickBot="1" x14ac:dyDescent="0.3">
      <c r="A98" s="437"/>
      <c r="B98" s="352" t="s">
        <v>2418</v>
      </c>
      <c r="C98" s="65" t="s">
        <v>2380</v>
      </c>
      <c r="D98" s="3"/>
      <c r="E98" s="44"/>
      <c r="F98" s="4">
        <f>SUM(G98:J98)</f>
        <v>1643630</v>
      </c>
      <c r="G98" s="181">
        <v>887944</v>
      </c>
      <c r="H98" s="181">
        <v>755686</v>
      </c>
      <c r="I98" s="77">
        <v>0</v>
      </c>
      <c r="J98" s="255">
        <v>0</v>
      </c>
    </row>
    <row r="99" spans="1:11" ht="15.75" thickBot="1" x14ac:dyDescent="0.3">
      <c r="C99" s="366" t="s">
        <v>2521</v>
      </c>
      <c r="G99" s="364"/>
      <c r="H99" s="364"/>
    </row>
    <row r="100" spans="1:11" x14ac:dyDescent="0.25">
      <c r="D100" s="105" t="s">
        <v>23</v>
      </c>
      <c r="E100" s="106" t="s">
        <v>36</v>
      </c>
      <c r="F100" s="107" t="s">
        <v>21</v>
      </c>
      <c r="G100" s="107" t="s">
        <v>13</v>
      </c>
      <c r="H100" s="107" t="s">
        <v>14</v>
      </c>
      <c r="I100" s="107" t="s">
        <v>15</v>
      </c>
      <c r="J100" s="108" t="s">
        <v>29</v>
      </c>
    </row>
    <row r="101" spans="1:11" ht="15.75" thickBot="1" x14ac:dyDescent="0.3">
      <c r="C101" s="109" t="s">
        <v>2229</v>
      </c>
      <c r="D101" s="109" t="s">
        <v>2228</v>
      </c>
      <c r="E101" s="110"/>
      <c r="F101" s="109"/>
      <c r="G101" s="109"/>
      <c r="H101" s="109"/>
      <c r="I101" s="109"/>
      <c r="J101" s="109"/>
    </row>
    <row r="102" spans="1:11" ht="15.75" thickBot="1" x14ac:dyDescent="0.3">
      <c r="B102" s="87" t="s">
        <v>2419</v>
      </c>
      <c r="C102" s="3" t="s">
        <v>2227</v>
      </c>
      <c r="D102" s="3" t="s">
        <v>33</v>
      </c>
      <c r="E102" s="44"/>
      <c r="F102" s="4">
        <f>SUM(G102:J102)</f>
        <v>5565994</v>
      </c>
      <c r="G102" s="181">
        <v>3408033</v>
      </c>
      <c r="H102" s="181">
        <v>2157961</v>
      </c>
      <c r="I102" s="77">
        <v>0</v>
      </c>
      <c r="J102" s="255">
        <v>0</v>
      </c>
    </row>
    <row r="103" spans="1:11" x14ac:dyDescent="0.25">
      <c r="B103" s="87"/>
      <c r="C103" s="3"/>
      <c r="D103" s="3"/>
      <c r="E103" s="44"/>
      <c r="F103" s="3"/>
      <c r="G103" s="3"/>
      <c r="H103" s="3"/>
      <c r="I103" s="3"/>
      <c r="J103" s="3"/>
    </row>
    <row r="104" spans="1:11" ht="15.75" thickBot="1" x14ac:dyDescent="0.3">
      <c r="B104" s="87"/>
      <c r="C104" s="112" t="s">
        <v>2230</v>
      </c>
      <c r="D104" s="84" t="s">
        <v>2232</v>
      </c>
      <c r="E104" s="113"/>
      <c r="F104" s="112"/>
      <c r="G104" s="112"/>
      <c r="H104" s="112"/>
      <c r="I104" s="112"/>
      <c r="J104" s="3"/>
    </row>
    <row r="105" spans="1:11" ht="15.75" thickBot="1" x14ac:dyDescent="0.3">
      <c r="B105" s="87" t="s">
        <v>2420</v>
      </c>
      <c r="C105" s="3" t="s">
        <v>2233</v>
      </c>
      <c r="D105" s="249" t="s">
        <v>2366</v>
      </c>
      <c r="E105" s="44" t="s">
        <v>2231</v>
      </c>
      <c r="F105" s="4">
        <f>SUM(G105:J105)</f>
        <v>3356162</v>
      </c>
      <c r="G105" s="181">
        <v>2251534</v>
      </c>
      <c r="H105" s="181">
        <v>1104628</v>
      </c>
      <c r="I105" s="77">
        <v>0</v>
      </c>
      <c r="J105" s="255">
        <v>0</v>
      </c>
      <c r="K105" s="144"/>
    </row>
    <row r="106" spans="1:11" ht="15.75" thickBot="1" x14ac:dyDescent="0.3">
      <c r="B106" s="87"/>
    </row>
    <row r="107" spans="1:11" ht="15.75" thickBot="1" x14ac:dyDescent="0.3">
      <c r="B107" s="87"/>
      <c r="C107" s="112" t="s">
        <v>2234</v>
      </c>
      <c r="D107" s="114" t="s">
        <v>2238</v>
      </c>
      <c r="E107" s="113"/>
      <c r="F107" s="82" t="s">
        <v>21</v>
      </c>
      <c r="G107" s="82" t="s">
        <v>13</v>
      </c>
      <c r="H107" s="82" t="s">
        <v>14</v>
      </c>
      <c r="I107" s="82" t="s">
        <v>15</v>
      </c>
      <c r="J107" s="83" t="s">
        <v>29</v>
      </c>
    </row>
    <row r="108" spans="1:11" ht="15.75" thickBot="1" x14ac:dyDescent="0.3">
      <c r="B108" s="87" t="s">
        <v>2421</v>
      </c>
      <c r="C108" s="3" t="s">
        <v>2235</v>
      </c>
      <c r="D108" s="3" t="s">
        <v>33</v>
      </c>
      <c r="E108" s="44"/>
      <c r="F108" s="4">
        <f>SUM(G108:I108)</f>
        <v>701943</v>
      </c>
      <c r="G108" s="181">
        <v>341150</v>
      </c>
      <c r="H108" s="181">
        <v>360793</v>
      </c>
      <c r="I108" s="77">
        <v>0</v>
      </c>
      <c r="J108" s="4"/>
    </row>
    <row r="109" spans="1:11" ht="15.75" thickBot="1" x14ac:dyDescent="0.3">
      <c r="B109" s="87" t="s">
        <v>2422</v>
      </c>
      <c r="C109" s="3" t="s">
        <v>2236</v>
      </c>
      <c r="D109" s="3" t="s">
        <v>33</v>
      </c>
      <c r="E109" s="44"/>
      <c r="F109" s="4">
        <f>SUM(G109:I109)</f>
        <v>1758627</v>
      </c>
      <c r="G109" s="319">
        <v>1044537</v>
      </c>
      <c r="H109" s="319">
        <v>714090</v>
      </c>
      <c r="I109" s="77">
        <v>0</v>
      </c>
      <c r="J109" s="4"/>
    </row>
    <row r="110" spans="1:11" x14ac:dyDescent="0.25">
      <c r="B110" s="87" t="s">
        <v>2423</v>
      </c>
      <c r="C110" s="3" t="s">
        <v>2237</v>
      </c>
      <c r="D110" s="3" t="s">
        <v>33</v>
      </c>
      <c r="E110" s="44"/>
      <c r="F110" s="4">
        <f>SUM(F108:F109)</f>
        <v>2460570</v>
      </c>
      <c r="G110" s="4">
        <f>SUM(G108:G109)</f>
        <v>1385687</v>
      </c>
      <c r="H110" s="4">
        <f t="shared" ref="H110:J110" si="16">SUM(H108:H109)</f>
        <v>1074883</v>
      </c>
      <c r="I110" s="4">
        <f t="shared" si="16"/>
        <v>0</v>
      </c>
      <c r="J110" s="4">
        <f t="shared" si="16"/>
        <v>0</v>
      </c>
    </row>
    <row r="114" spans="1:11" ht="15.75" thickBot="1" x14ac:dyDescent="0.3"/>
    <row r="115" spans="1:11" ht="15.75" thickBot="1" x14ac:dyDescent="0.3">
      <c r="C115" s="10"/>
      <c r="D115" s="80" t="s">
        <v>23</v>
      </c>
      <c r="E115" s="81" t="s">
        <v>36</v>
      </c>
      <c r="F115" s="82" t="s">
        <v>21</v>
      </c>
      <c r="G115" s="82" t="s">
        <v>2182</v>
      </c>
      <c r="H115" s="82" t="s">
        <v>2181</v>
      </c>
      <c r="I115" s="82" t="s">
        <v>2180</v>
      </c>
      <c r="J115" s="83" t="s">
        <v>2179</v>
      </c>
    </row>
    <row r="116" spans="1:11" ht="15.75" thickBot="1" x14ac:dyDescent="0.3">
      <c r="B116" s="353" t="s">
        <v>2424</v>
      </c>
      <c r="C116" s="187" t="s">
        <v>2212</v>
      </c>
      <c r="D116" s="3" t="s">
        <v>31</v>
      </c>
      <c r="E116" s="44"/>
      <c r="F116" s="4">
        <f t="shared" ref="F116:F124" si="17">SUM(G116:J116)</f>
        <v>21479820</v>
      </c>
      <c r="G116" s="181">
        <f>14472407</f>
        <v>14472407</v>
      </c>
      <c r="H116" s="181">
        <v>7007413</v>
      </c>
      <c r="I116" s="253" t="s">
        <v>8</v>
      </c>
      <c r="J116" s="26"/>
    </row>
    <row r="117" spans="1:11" ht="45.75" thickBot="1" x14ac:dyDescent="0.3">
      <c r="B117" s="353" t="s">
        <v>2425</v>
      </c>
      <c r="C117" s="187" t="s">
        <v>2215</v>
      </c>
      <c r="D117" s="3" t="s">
        <v>31</v>
      </c>
      <c r="E117" s="44"/>
      <c r="F117" s="4">
        <f t="shared" si="17"/>
        <v>4767440</v>
      </c>
      <c r="G117" s="181">
        <f>2153669+1526606</f>
        <v>3680275</v>
      </c>
      <c r="H117" s="181">
        <v>1087165</v>
      </c>
      <c r="I117" s="253" t="s">
        <v>8</v>
      </c>
      <c r="J117" s="26"/>
      <c r="K117" s="2" t="s">
        <v>2516</v>
      </c>
    </row>
    <row r="118" spans="1:11" ht="15.75" thickBot="1" x14ac:dyDescent="0.3">
      <c r="B118" s="353" t="s">
        <v>2426</v>
      </c>
      <c r="C118" s="187" t="s">
        <v>2213</v>
      </c>
      <c r="D118" s="3" t="s">
        <v>22</v>
      </c>
      <c r="E118" s="44" t="s">
        <v>2203</v>
      </c>
      <c r="F118" s="4">
        <f>SUM(G118:J118)</f>
        <v>1278686</v>
      </c>
      <c r="G118" s="185">
        <f>G119</f>
        <v>900976</v>
      </c>
      <c r="H118" s="181">
        <f>255650+122060</f>
        <v>377710</v>
      </c>
      <c r="I118" s="253" t="s">
        <v>8</v>
      </c>
      <c r="J118" s="156"/>
    </row>
    <row r="119" spans="1:11" ht="30.75" thickBot="1" x14ac:dyDescent="0.3">
      <c r="B119" s="353" t="s">
        <v>2427</v>
      </c>
      <c r="C119" s="187" t="s">
        <v>2214</v>
      </c>
      <c r="D119" s="3" t="s">
        <v>22</v>
      </c>
      <c r="E119" s="44" t="s">
        <v>2202</v>
      </c>
      <c r="F119" s="4">
        <f>SUM(G119:J119)</f>
        <v>1106357</v>
      </c>
      <c r="G119" s="181">
        <f>753660+147316</f>
        <v>900976</v>
      </c>
      <c r="H119" s="181">
        <f>145572+59809</f>
        <v>205381</v>
      </c>
      <c r="I119" s="253" t="s">
        <v>8</v>
      </c>
      <c r="J119" s="21"/>
      <c r="K119" s="334" t="s">
        <v>2515</v>
      </c>
    </row>
    <row r="120" spans="1:11" ht="15.75" thickBot="1" x14ac:dyDescent="0.3">
      <c r="B120" s="353" t="s">
        <v>2428</v>
      </c>
      <c r="C120" s="187" t="s">
        <v>2280</v>
      </c>
      <c r="D120" s="3"/>
      <c r="E120" s="44"/>
      <c r="F120" s="4">
        <f t="shared" ref="F120:F121" si="18">SUM(G120:J120)</f>
        <v>16682822</v>
      </c>
      <c r="G120" s="181">
        <v>10762132</v>
      </c>
      <c r="H120" s="181">
        <f>3441947+2478743</f>
        <v>5920690</v>
      </c>
      <c r="I120" s="253" t="s">
        <v>8</v>
      </c>
      <c r="J120" s="21"/>
    </row>
    <row r="121" spans="1:11" ht="15.75" thickBot="1" x14ac:dyDescent="0.3">
      <c r="B121" s="353" t="s">
        <v>2429</v>
      </c>
      <c r="C121" s="187" t="s">
        <v>2281</v>
      </c>
      <c r="D121" s="3" t="s">
        <v>22</v>
      </c>
      <c r="E121" s="44"/>
      <c r="F121" s="4">
        <f t="shared" si="18"/>
        <v>2843116</v>
      </c>
      <c r="G121" s="181">
        <v>1970905</v>
      </c>
      <c r="H121" s="181">
        <v>872211</v>
      </c>
      <c r="I121" s="253" t="s">
        <v>8</v>
      </c>
      <c r="J121" s="21"/>
      <c r="K121" s="144" t="s">
        <v>2387</v>
      </c>
    </row>
    <row r="122" spans="1:11" ht="15.75" thickBot="1" x14ac:dyDescent="0.3">
      <c r="B122" s="353"/>
      <c r="C122" s="24" t="s">
        <v>26</v>
      </c>
      <c r="D122" s="3" t="s">
        <v>55</v>
      </c>
      <c r="E122" s="44" t="s">
        <v>25</v>
      </c>
      <c r="F122" s="4">
        <f>SUM(G122:J122)</f>
        <v>10284383</v>
      </c>
      <c r="G122" s="181">
        <v>6017591</v>
      </c>
      <c r="H122" s="181">
        <v>4266792</v>
      </c>
      <c r="I122" s="253" t="s">
        <v>8</v>
      </c>
      <c r="J122" s="26"/>
    </row>
    <row r="123" spans="1:11" ht="30.75" thickBot="1" x14ac:dyDescent="0.3">
      <c r="B123" s="353" t="s">
        <v>2430</v>
      </c>
      <c r="C123" s="187" t="s">
        <v>27</v>
      </c>
      <c r="D123" s="3" t="s">
        <v>32</v>
      </c>
      <c r="E123" s="44" t="s">
        <v>35</v>
      </c>
      <c r="F123" s="4">
        <f t="shared" si="17"/>
        <v>3949473</v>
      </c>
      <c r="G123" s="181">
        <v>2871881</v>
      </c>
      <c r="H123" s="181">
        <v>1077592</v>
      </c>
      <c r="I123" s="253" t="s">
        <v>8</v>
      </c>
      <c r="J123" s="21"/>
      <c r="K123" t="s">
        <v>2388</v>
      </c>
    </row>
    <row r="124" spans="1:11" ht="45.75" thickBot="1" x14ac:dyDescent="0.3">
      <c r="B124" s="353" t="s">
        <v>2431</v>
      </c>
      <c r="C124" s="3" t="s">
        <v>27</v>
      </c>
      <c r="D124" s="3" t="s">
        <v>28</v>
      </c>
      <c r="E124" s="45" t="s">
        <v>2239</v>
      </c>
      <c r="F124" s="4">
        <f t="shared" si="17"/>
        <v>4409098</v>
      </c>
      <c r="G124" s="181">
        <v>3328287</v>
      </c>
      <c r="H124" s="181">
        <v>1080811</v>
      </c>
      <c r="I124" s="77">
        <v>0</v>
      </c>
      <c r="J124" s="21">
        <v>0</v>
      </c>
    </row>
    <row r="125" spans="1:11" ht="15.75" thickBot="1" x14ac:dyDescent="0.3">
      <c r="A125" t="s">
        <v>2378</v>
      </c>
      <c r="B125" s="353" t="s">
        <v>2551</v>
      </c>
      <c r="C125" s="374" t="s">
        <v>27</v>
      </c>
      <c r="D125" s="374" t="s">
        <v>32</v>
      </c>
      <c r="E125" s="45" t="s">
        <v>2550</v>
      </c>
      <c r="F125" s="4">
        <f t="shared" ref="F125" si="19">SUM(G125:J125)</f>
        <v>4408771</v>
      </c>
      <c r="G125" s="382">
        <f>G123</f>
        <v>2871881</v>
      </c>
      <c r="H125" s="382">
        <v>1536890</v>
      </c>
      <c r="I125" s="77">
        <v>0</v>
      </c>
      <c r="J125" s="21">
        <v>0</v>
      </c>
    </row>
    <row r="126" spans="1:11" ht="15.75" thickBot="1" x14ac:dyDescent="0.3">
      <c r="B126" s="353" t="s">
        <v>2552</v>
      </c>
      <c r="C126" s="376" t="s">
        <v>2553</v>
      </c>
      <c r="D126" s="377" t="s">
        <v>2554</v>
      </c>
      <c r="E126" s="378"/>
      <c r="F126" s="379"/>
      <c r="G126" s="381">
        <f>G105/G125</f>
        <v>0.78399279078764061</v>
      </c>
      <c r="H126" s="381">
        <f>H105/H125</f>
        <v>0.71874239535685702</v>
      </c>
      <c r="I126" s="33"/>
      <c r="J126" s="380"/>
    </row>
    <row r="127" spans="1:11" ht="15.75" thickBot="1" x14ac:dyDescent="0.3">
      <c r="B127" s="353"/>
      <c r="C127" s="79" t="s">
        <v>38</v>
      </c>
      <c r="D127" s="16" t="s">
        <v>33</v>
      </c>
      <c r="E127" s="46" t="s">
        <v>39</v>
      </c>
      <c r="F127" s="18"/>
      <c r="G127" s="18"/>
      <c r="H127" s="18"/>
      <c r="I127" s="18"/>
      <c r="J127" s="19"/>
    </row>
    <row r="128" spans="1:11" x14ac:dyDescent="0.25">
      <c r="B128" s="353"/>
      <c r="C128" s="122" t="s">
        <v>2263</v>
      </c>
      <c r="D128" s="3"/>
      <c r="E128" s="44"/>
      <c r="F128" s="107" t="s">
        <v>21</v>
      </c>
      <c r="G128" s="107" t="s">
        <v>2182</v>
      </c>
      <c r="H128" s="107" t="s">
        <v>2181</v>
      </c>
      <c r="I128" s="107" t="s">
        <v>2180</v>
      </c>
      <c r="J128" s="108" t="s">
        <v>2179</v>
      </c>
    </row>
    <row r="129" spans="2:14" x14ac:dyDescent="0.25">
      <c r="B129" s="353" t="s">
        <v>2432</v>
      </c>
      <c r="C129" s="123" t="s">
        <v>2260</v>
      </c>
      <c r="D129" s="3" t="s">
        <v>22</v>
      </c>
      <c r="E129" s="44" t="s">
        <v>2261</v>
      </c>
      <c r="F129" s="4">
        <f>F117</f>
        <v>4767440</v>
      </c>
      <c r="G129" s="4">
        <f>G117</f>
        <v>3680275</v>
      </c>
      <c r="H129" s="4">
        <f>H117</f>
        <v>1087165</v>
      </c>
      <c r="I129" s="4" t="str">
        <f>I117</f>
        <v>N/A</v>
      </c>
      <c r="J129" s="4">
        <f>J117</f>
        <v>0</v>
      </c>
    </row>
    <row r="130" spans="2:14" x14ac:dyDescent="0.25">
      <c r="B130" s="353" t="s">
        <v>2433</v>
      </c>
      <c r="C130" s="123" t="s">
        <v>2262</v>
      </c>
      <c r="D130" s="3" t="s">
        <v>33</v>
      </c>
      <c r="E130" s="44"/>
      <c r="F130" s="4">
        <f>SUM(G130:J130)</f>
        <v>1369636</v>
      </c>
      <c r="G130" s="4">
        <f>G18+G34+G50</f>
        <v>1119126</v>
      </c>
      <c r="H130" s="4">
        <f>H18+H34+H50</f>
        <v>250510</v>
      </c>
      <c r="I130" s="4">
        <f>I18+I34+I50</f>
        <v>0</v>
      </c>
      <c r="J130" s="4">
        <f>J18+J34+J50</f>
        <v>0</v>
      </c>
    </row>
    <row r="131" spans="2:14" x14ac:dyDescent="0.25">
      <c r="B131" s="353" t="s">
        <v>2434</v>
      </c>
      <c r="C131" s="124" t="s">
        <v>2267</v>
      </c>
      <c r="D131" s="3" t="s">
        <v>33</v>
      </c>
      <c r="E131" s="44"/>
      <c r="F131" s="4">
        <f>SUM(G131:J131)</f>
        <v>8922761</v>
      </c>
      <c r="G131" s="4">
        <f>G3+G80</f>
        <v>4889328</v>
      </c>
      <c r="H131" s="4">
        <f>H3+H80</f>
        <v>4033433</v>
      </c>
      <c r="I131" s="4">
        <f>I3+I80</f>
        <v>0</v>
      </c>
      <c r="J131" s="4">
        <f>J3+J80</f>
        <v>0</v>
      </c>
      <c r="M131" s="186"/>
      <c r="N131" s="1"/>
    </row>
    <row r="132" spans="2:14" x14ac:dyDescent="0.25">
      <c r="B132" s="353"/>
    </row>
    <row r="133" spans="2:14" x14ac:dyDescent="0.25">
      <c r="B133" s="353" t="s">
        <v>2435</v>
      </c>
      <c r="C133" s="122" t="s">
        <v>2264</v>
      </c>
      <c r="D133" s="3" t="s">
        <v>2261</v>
      </c>
      <c r="E133" s="247" t="s">
        <v>2364</v>
      </c>
      <c r="F133" s="4">
        <f>IF(SUM(F129:F131)&gt;F116,F116,SUM(F129:F131))</f>
        <v>15059837</v>
      </c>
      <c r="G133" s="4">
        <f>IF(SUM(G129:G131)&gt;G116,G116,SUM(G129:G131))</f>
        <v>9688729</v>
      </c>
      <c r="H133" s="4">
        <f>IF(SUM(H129:H131)&gt;H116,H116,SUM(H129:H131))</f>
        <v>5371108</v>
      </c>
      <c r="I133" s="4">
        <f>IF(SUM(I129:I131)&gt;I116,I116,SUM(I129:I131))</f>
        <v>0</v>
      </c>
      <c r="J133" s="4">
        <f>IF(SUM(J129:J131)&gt;J116,J116,SUM(J129:J131))</f>
        <v>0</v>
      </c>
    </row>
    <row r="134" spans="2:14" ht="15.75" thickBot="1" x14ac:dyDescent="0.3">
      <c r="B134" s="353"/>
    </row>
    <row r="135" spans="2:14" x14ac:dyDescent="0.25">
      <c r="B135" s="353"/>
      <c r="C135" s="122" t="s">
        <v>2265</v>
      </c>
      <c r="D135" s="3"/>
      <c r="E135" s="3"/>
      <c r="F135" s="107" t="s">
        <v>21</v>
      </c>
      <c r="G135" s="107" t="s">
        <v>2182</v>
      </c>
      <c r="H135" s="107" t="s">
        <v>2181</v>
      </c>
      <c r="I135" s="107" t="s">
        <v>2180</v>
      </c>
      <c r="J135" s="108" t="s">
        <v>2179</v>
      </c>
    </row>
    <row r="136" spans="2:14" x14ac:dyDescent="0.25">
      <c r="B136" s="353" t="s">
        <v>2436</v>
      </c>
      <c r="C136" s="124" t="s">
        <v>2282</v>
      </c>
      <c r="D136" s="3" t="s">
        <v>2283</v>
      </c>
      <c r="E136" s="3"/>
      <c r="F136" s="4">
        <f>F133-F142</f>
        <v>11110364</v>
      </c>
      <c r="G136" s="4">
        <f>G133-G142</f>
        <v>6816848</v>
      </c>
      <c r="H136" s="4">
        <f>H133-H142</f>
        <v>4293516</v>
      </c>
      <c r="I136" s="4" t="e">
        <f t="shared" ref="I136:J136" si="20">I133-I142</f>
        <v>#VALUE!</v>
      </c>
      <c r="J136" s="4">
        <f t="shared" si="20"/>
        <v>0</v>
      </c>
    </row>
    <row r="137" spans="2:14" ht="15.75" thickBot="1" x14ac:dyDescent="0.3">
      <c r="B137" s="353"/>
      <c r="E137"/>
      <c r="F137" s="147"/>
      <c r="G137" s="147"/>
      <c r="H137" s="147"/>
    </row>
    <row r="138" spans="2:14" x14ac:dyDescent="0.25">
      <c r="B138" s="353"/>
      <c r="C138" s="419" t="s">
        <v>2240</v>
      </c>
      <c r="D138" s="3"/>
      <c r="E138" s="3"/>
      <c r="F138" s="107" t="s">
        <v>2241</v>
      </c>
      <c r="G138" s="107" t="s">
        <v>2182</v>
      </c>
      <c r="H138" s="107" t="s">
        <v>2181</v>
      </c>
    </row>
    <row r="139" spans="2:14" ht="15.75" thickBot="1" x14ac:dyDescent="0.3">
      <c r="B139" s="353" t="s">
        <v>2437</v>
      </c>
      <c r="C139" s="419"/>
      <c r="D139" s="249" t="s">
        <v>2365</v>
      </c>
      <c r="E139" s="44"/>
      <c r="F139" s="127">
        <f>SUM(G139:H139)</f>
        <v>2209832</v>
      </c>
      <c r="G139" s="39">
        <v>1156499</v>
      </c>
      <c r="H139" s="39">
        <v>1053333</v>
      </c>
    </row>
    <row r="140" spans="2:14" x14ac:dyDescent="0.25">
      <c r="B140" s="353"/>
      <c r="C140" s="419"/>
      <c r="D140" s="3"/>
      <c r="E140" s="44"/>
      <c r="F140" s="107" t="s">
        <v>21</v>
      </c>
      <c r="G140" s="107" t="s">
        <v>2182</v>
      </c>
      <c r="H140" s="107" t="s">
        <v>2181</v>
      </c>
      <c r="I140" s="107" t="s">
        <v>2180</v>
      </c>
      <c r="J140" s="108" t="s">
        <v>2179</v>
      </c>
    </row>
    <row r="141" spans="2:14" x14ac:dyDescent="0.25">
      <c r="B141" s="353" t="s">
        <v>2438</v>
      </c>
      <c r="C141" s="420"/>
      <c r="D141" s="3"/>
      <c r="E141" s="44"/>
      <c r="F141" s="127">
        <f>F102</f>
        <v>5565994</v>
      </c>
      <c r="G141" s="4">
        <f>G102</f>
        <v>3408033</v>
      </c>
      <c r="H141" s="4">
        <f>H102</f>
        <v>2157961</v>
      </c>
      <c r="I141" s="4">
        <f>I102</f>
        <v>0</v>
      </c>
      <c r="J141" s="4">
        <f>J102</f>
        <v>0</v>
      </c>
    </row>
    <row r="142" spans="2:14" x14ac:dyDescent="0.25">
      <c r="B142" s="353" t="s">
        <v>2439</v>
      </c>
      <c r="C142" t="s">
        <v>2250</v>
      </c>
      <c r="D142" s="124" t="s">
        <v>2268</v>
      </c>
      <c r="E142" s="44"/>
      <c r="F142" s="4">
        <f>F123</f>
        <v>3949473</v>
      </c>
      <c r="G142" s="4">
        <f>G123</f>
        <v>2871881</v>
      </c>
      <c r="H142" s="4">
        <f>H123</f>
        <v>1077592</v>
      </c>
      <c r="I142" s="254" t="str">
        <f>I123</f>
        <v>N/A</v>
      </c>
      <c r="J142" s="4">
        <f>J123</f>
        <v>0</v>
      </c>
    </row>
    <row r="143" spans="2:14" x14ac:dyDescent="0.25">
      <c r="B143" s="353" t="s">
        <v>2440</v>
      </c>
      <c r="C143" s="124" t="s">
        <v>2242</v>
      </c>
      <c r="D143" s="3"/>
      <c r="E143" s="44"/>
      <c r="F143" s="4">
        <f>F110</f>
        <v>2460570</v>
      </c>
      <c r="G143" s="4">
        <f>G110</f>
        <v>1385687</v>
      </c>
      <c r="H143" s="4">
        <f>H110</f>
        <v>1074883</v>
      </c>
      <c r="I143" s="4">
        <f>I110</f>
        <v>0</v>
      </c>
      <c r="J143" s="4">
        <f>J110</f>
        <v>0</v>
      </c>
    </row>
    <row r="144" spans="2:14" x14ac:dyDescent="0.25">
      <c r="B144" s="353"/>
      <c r="F144" s="1"/>
      <c r="G144" s="1"/>
      <c r="H144" s="1"/>
      <c r="I144" s="1"/>
      <c r="J144" s="1"/>
    </row>
    <row r="145" spans="1:13" x14ac:dyDescent="0.25">
      <c r="B145" s="353"/>
      <c r="F145" s="1"/>
      <c r="G145" s="1"/>
      <c r="H145" s="1"/>
    </row>
    <row r="146" spans="1:13" ht="30" x14ac:dyDescent="0.25">
      <c r="A146" t="s">
        <v>2378</v>
      </c>
      <c r="B146" s="353" t="s">
        <v>2441</v>
      </c>
      <c r="C146" s="24" t="s">
        <v>27</v>
      </c>
      <c r="D146" s="124" t="s">
        <v>32</v>
      </c>
      <c r="E146" s="44" t="s">
        <v>35</v>
      </c>
      <c r="F146" s="4">
        <f>SUM(G146:J146)</f>
        <v>4408771</v>
      </c>
      <c r="G146" s="4">
        <f>G123</f>
        <v>2871881</v>
      </c>
      <c r="H146" s="375">
        <f>H125</f>
        <v>1536890</v>
      </c>
      <c r="I146" s="254" t="str">
        <f>I123</f>
        <v>N/A</v>
      </c>
      <c r="J146" s="4">
        <f>J123</f>
        <v>0</v>
      </c>
    </row>
    <row r="147" spans="1:13" x14ac:dyDescent="0.25">
      <c r="B147" s="353" t="s">
        <v>2442</v>
      </c>
      <c r="C147" s="125" t="s">
        <v>2214</v>
      </c>
      <c r="D147" s="3" t="s">
        <v>22</v>
      </c>
      <c r="E147" s="44" t="s">
        <v>2346</v>
      </c>
      <c r="F147" s="4">
        <f>SUM(G147:J147)</f>
        <v>1278686</v>
      </c>
      <c r="G147" s="4">
        <f>G118</f>
        <v>900976</v>
      </c>
      <c r="H147" s="4">
        <f>H118</f>
        <v>377710</v>
      </c>
      <c r="I147" s="4"/>
      <c r="J147" s="21"/>
      <c r="M147" s="1"/>
    </row>
    <row r="148" spans="1:13" ht="15.75" thickBot="1" x14ac:dyDescent="0.3">
      <c r="B148" s="353" t="s">
        <v>2443</v>
      </c>
    </row>
    <row r="149" spans="1:13" x14ac:dyDescent="0.25">
      <c r="B149" s="353"/>
      <c r="C149" s="413" t="s">
        <v>2242</v>
      </c>
      <c r="D149" s="3"/>
      <c r="E149" s="44"/>
      <c r="F149" s="107" t="s">
        <v>21</v>
      </c>
      <c r="G149" s="107" t="s">
        <v>2182</v>
      </c>
      <c r="H149" s="107" t="s">
        <v>2181</v>
      </c>
      <c r="I149" s="107" t="s">
        <v>2180</v>
      </c>
      <c r="J149" s="108" t="s">
        <v>2179</v>
      </c>
    </row>
    <row r="150" spans="1:13" x14ac:dyDescent="0.25">
      <c r="B150" s="353" t="s">
        <v>2444</v>
      </c>
      <c r="C150" s="413"/>
      <c r="D150" s="3" t="s">
        <v>2243</v>
      </c>
      <c r="E150" s="44"/>
      <c r="F150" s="115">
        <f>SUM(G150:J150)</f>
        <v>681885</v>
      </c>
      <c r="G150" s="115">
        <f>G6</f>
        <v>373262</v>
      </c>
      <c r="H150" s="329">
        <f>H6</f>
        <v>308623</v>
      </c>
      <c r="I150" s="115">
        <f>I6</f>
        <v>0</v>
      </c>
      <c r="J150" s="3"/>
    </row>
    <row r="151" spans="1:13" ht="45" x14ac:dyDescent="0.25">
      <c r="B151" s="353" t="s">
        <v>2445</v>
      </c>
      <c r="C151" s="413"/>
      <c r="D151" s="335" t="s">
        <v>2383</v>
      </c>
      <c r="E151" s="44"/>
      <c r="F151" s="115">
        <f t="shared" ref="F151:F155" si="21">SUM(G151:J151)</f>
        <v>1372</v>
      </c>
      <c r="G151" s="330">
        <v>477</v>
      </c>
      <c r="H151" s="330">
        <v>895</v>
      </c>
      <c r="I151" s="4">
        <f>I96</f>
        <v>0</v>
      </c>
      <c r="J151" s="4">
        <f>J96</f>
        <v>0</v>
      </c>
      <c r="K151" s="331" t="s">
        <v>2382</v>
      </c>
    </row>
    <row r="152" spans="1:13" x14ac:dyDescent="0.25">
      <c r="B152" s="353" t="s">
        <v>2446</v>
      </c>
      <c r="C152" s="413"/>
      <c r="D152" s="3" t="s">
        <v>2245</v>
      </c>
      <c r="E152" s="414" t="s">
        <v>2244</v>
      </c>
      <c r="F152" s="115">
        <f t="shared" si="21"/>
        <v>4300</v>
      </c>
      <c r="G152" s="257">
        <f>G37</f>
        <v>3554</v>
      </c>
      <c r="H152" s="329">
        <f>H37</f>
        <v>746</v>
      </c>
      <c r="I152" s="115">
        <f>I37</f>
        <v>0</v>
      </c>
      <c r="J152" s="3"/>
    </row>
    <row r="153" spans="1:13" x14ac:dyDescent="0.25">
      <c r="B153" s="353" t="s">
        <v>2447</v>
      </c>
      <c r="C153" s="413"/>
      <c r="D153" s="3" t="s">
        <v>2246</v>
      </c>
      <c r="E153" s="415"/>
      <c r="F153" s="115">
        <f t="shared" si="21"/>
        <v>1477</v>
      </c>
      <c r="G153" s="115">
        <f>G21</f>
        <v>810</v>
      </c>
      <c r="H153" s="329">
        <f>H21</f>
        <v>667</v>
      </c>
      <c r="I153" s="115">
        <f>I21</f>
        <v>0</v>
      </c>
      <c r="J153" s="3"/>
    </row>
    <row r="154" spans="1:13" x14ac:dyDescent="0.25">
      <c r="B154" s="353" t="s">
        <v>2448</v>
      </c>
      <c r="C154" s="413"/>
      <c r="D154" s="3" t="s">
        <v>2247</v>
      </c>
      <c r="E154" s="416"/>
      <c r="F154" s="115">
        <f t="shared" si="21"/>
        <v>16754</v>
      </c>
      <c r="G154" s="115">
        <f>G53</f>
        <v>13387</v>
      </c>
      <c r="H154" s="329">
        <f>H53</f>
        <v>3367</v>
      </c>
      <c r="I154" s="115">
        <f>I53</f>
        <v>0</v>
      </c>
      <c r="J154" s="3"/>
    </row>
    <row r="155" spans="1:13" ht="16.5" x14ac:dyDescent="0.25">
      <c r="B155" s="353" t="s">
        <v>2449</v>
      </c>
      <c r="C155" s="413"/>
      <c r="D155" s="3" t="s">
        <v>2255</v>
      </c>
      <c r="E155" s="44"/>
      <c r="F155" s="115">
        <f t="shared" si="21"/>
        <v>727.31310957461426</v>
      </c>
      <c r="G155" s="371">
        <f>G83</f>
        <v>517</v>
      </c>
      <c r="H155" s="329">
        <f>H83</f>
        <v>210.31310957461423</v>
      </c>
      <c r="I155" s="115">
        <f>I83</f>
        <v>0</v>
      </c>
      <c r="J155" s="3"/>
    </row>
    <row r="156" spans="1:13" x14ac:dyDescent="0.25">
      <c r="B156" s="353" t="s">
        <v>2450</v>
      </c>
      <c r="E156" s="120" t="s">
        <v>2269</v>
      </c>
      <c r="F156" s="117">
        <f>SUM(G156:J156)</f>
        <v>706515.31310957461</v>
      </c>
      <c r="G156" s="117">
        <f>SUM(G150:G155)</f>
        <v>392007</v>
      </c>
      <c r="H156" s="117">
        <f>SUM(H150:H155)</f>
        <v>314508.31310957461</v>
      </c>
      <c r="I156" s="117">
        <f t="shared" ref="I156:J156" si="22">SUM(I150:I155)</f>
        <v>0</v>
      </c>
      <c r="J156" s="117">
        <f t="shared" si="22"/>
        <v>0</v>
      </c>
    </row>
    <row r="157" spans="1:13" x14ac:dyDescent="0.25">
      <c r="B157" s="353" t="s">
        <v>2451</v>
      </c>
      <c r="F157" s="116"/>
    </row>
    <row r="158" spans="1:13" x14ac:dyDescent="0.25">
      <c r="B158" s="353" t="s">
        <v>2452</v>
      </c>
      <c r="E158" s="3" t="s">
        <v>2249</v>
      </c>
      <c r="F158" s="4">
        <f>F110</f>
        <v>2460570</v>
      </c>
      <c r="G158" s="4">
        <f>G110</f>
        <v>1385687</v>
      </c>
      <c r="H158" s="4">
        <f>H110</f>
        <v>1074883</v>
      </c>
      <c r="I158" s="4">
        <f>I110</f>
        <v>0</v>
      </c>
      <c r="J158" s="4">
        <f>J110</f>
        <v>0</v>
      </c>
    </row>
    <row r="159" spans="1:13" x14ac:dyDescent="0.25">
      <c r="B159" s="353" t="s">
        <v>2453</v>
      </c>
      <c r="E159" s="128" t="s">
        <v>2271</v>
      </c>
      <c r="F159" s="121">
        <f>F158-F156</f>
        <v>1754054.6868904254</v>
      </c>
      <c r="G159" s="121">
        <f t="shared" ref="G159:J159" si="23">G158-G156</f>
        <v>993680</v>
      </c>
      <c r="H159" s="121">
        <f t="shared" si="23"/>
        <v>760374.68689042539</v>
      </c>
      <c r="I159" s="121">
        <f t="shared" si="23"/>
        <v>0</v>
      </c>
      <c r="J159" s="121">
        <f t="shared" si="23"/>
        <v>0</v>
      </c>
    </row>
    <row r="160" spans="1:13" x14ac:dyDescent="0.25">
      <c r="B160" s="353"/>
      <c r="E160" s="128" t="s">
        <v>2272</v>
      </c>
      <c r="F160" s="312"/>
      <c r="G160" s="313"/>
      <c r="H160" s="313"/>
      <c r="I160" s="313"/>
      <c r="J160" s="314"/>
    </row>
    <row r="161" spans="1:13" x14ac:dyDescent="0.25">
      <c r="B161" s="353"/>
      <c r="E161" s="128" t="s">
        <v>2273</v>
      </c>
      <c r="F161" s="317"/>
      <c r="G161" s="318"/>
      <c r="H161" s="315"/>
      <c r="I161" s="315"/>
      <c r="J161" s="316"/>
    </row>
    <row r="162" spans="1:13" x14ac:dyDescent="0.25">
      <c r="B162" s="353"/>
      <c r="E162" s="119"/>
    </row>
    <row r="163" spans="1:13" ht="15.75" thickBot="1" x14ac:dyDescent="0.3">
      <c r="B163" s="353"/>
      <c r="C163" s="410" t="s">
        <v>2251</v>
      </c>
      <c r="D163" s="3"/>
      <c r="E163" s="44"/>
      <c r="F163" s="112" t="s">
        <v>21</v>
      </c>
      <c r="G163" s="112" t="s">
        <v>2182</v>
      </c>
      <c r="H163" s="112" t="s">
        <v>2181</v>
      </c>
      <c r="I163" s="112" t="s">
        <v>2180</v>
      </c>
      <c r="J163" s="112" t="s">
        <v>2179</v>
      </c>
    </row>
    <row r="164" spans="1:13" ht="15.75" thickBot="1" x14ac:dyDescent="0.3">
      <c r="B164" s="353" t="s">
        <v>2454</v>
      </c>
      <c r="C164" s="411"/>
      <c r="D164" s="3" t="s">
        <v>2243</v>
      </c>
      <c r="E164" s="44"/>
      <c r="F164" s="4">
        <f>SUM(G164:J164)</f>
        <v>737814</v>
      </c>
      <c r="G164" s="39">
        <f>G12</f>
        <v>377545</v>
      </c>
      <c r="H164" s="320">
        <f>H12</f>
        <v>360269</v>
      </c>
      <c r="I164" s="4">
        <f>I12</f>
        <v>0</v>
      </c>
      <c r="J164" s="26"/>
      <c r="K164" s="320">
        <f>H172-H165-H166-H167-H168</f>
        <v>443269.92480621749</v>
      </c>
      <c r="L164" t="s">
        <v>2389</v>
      </c>
      <c r="M164" s="361" t="s">
        <v>2518</v>
      </c>
    </row>
    <row r="165" spans="1:13" ht="30.75" thickBot="1" x14ac:dyDescent="0.3">
      <c r="B165" s="353" t="s">
        <v>2455</v>
      </c>
      <c r="C165" s="411"/>
      <c r="D165" s="337" t="s">
        <v>2549</v>
      </c>
      <c r="E165" s="45"/>
      <c r="F165" s="4">
        <f>SUM(G165:J165)</f>
        <v>1145629</v>
      </c>
      <c r="G165" s="373">
        <f>G186</f>
        <v>793087</v>
      </c>
      <c r="H165" s="373">
        <f>H186</f>
        <v>352542</v>
      </c>
      <c r="I165" s="4"/>
      <c r="J165" s="4"/>
      <c r="K165" s="337"/>
      <c r="M165" s="361" t="s">
        <v>2517</v>
      </c>
    </row>
    <row r="166" spans="1:13" ht="15.75" thickBot="1" x14ac:dyDescent="0.3">
      <c r="B166" s="353" t="s">
        <v>2456</v>
      </c>
      <c r="C166" s="411"/>
      <c r="D166" s="3" t="s">
        <v>2245</v>
      </c>
      <c r="E166" s="414" t="s">
        <v>2244</v>
      </c>
      <c r="F166" s="4">
        <f t="shared" ref="F166:F169" si="24">SUM(G166:J166)</f>
        <v>9596.6683069712944</v>
      </c>
      <c r="G166" s="4">
        <f>G43</f>
        <v>4981</v>
      </c>
      <c r="H166" s="185">
        <f>K43</f>
        <v>4615.6683069712944</v>
      </c>
      <c r="I166" s="4">
        <f>I43</f>
        <v>0</v>
      </c>
      <c r="J166" s="26"/>
    </row>
    <row r="167" spans="1:13" ht="15.75" thickBot="1" x14ac:dyDescent="0.3">
      <c r="B167" s="353" t="s">
        <v>2457</v>
      </c>
      <c r="C167" s="411"/>
      <c r="D167" s="3" t="s">
        <v>2246</v>
      </c>
      <c r="E167" s="415"/>
      <c r="F167" s="4">
        <f t="shared" si="24"/>
        <v>963.89211058664864</v>
      </c>
      <c r="G167" s="4">
        <f>G27</f>
        <v>673</v>
      </c>
      <c r="H167" s="185">
        <f>K27</f>
        <v>290.8921105866487</v>
      </c>
      <c r="I167" s="4">
        <f>I27</f>
        <v>0</v>
      </c>
      <c r="J167" s="26"/>
    </row>
    <row r="168" spans="1:13" ht="15.75" thickBot="1" x14ac:dyDescent="0.3">
      <c r="B168" s="353" t="s">
        <v>2458</v>
      </c>
      <c r="C168" s="411"/>
      <c r="D168" s="3" t="s">
        <v>2247</v>
      </c>
      <c r="E168" s="416"/>
      <c r="F168" s="4">
        <f t="shared" si="24"/>
        <v>35663.514776224554</v>
      </c>
      <c r="G168" s="4">
        <f>G59</f>
        <v>13582</v>
      </c>
      <c r="H168" s="185">
        <f>K59</f>
        <v>22081.514776224554</v>
      </c>
      <c r="I168" s="4">
        <f>I59</f>
        <v>0</v>
      </c>
      <c r="J168" s="26"/>
    </row>
    <row r="169" spans="1:13" x14ac:dyDescent="0.25">
      <c r="B169" s="353" t="s">
        <v>2459</v>
      </c>
      <c r="C169" s="412"/>
      <c r="D169" s="3" t="s">
        <v>2255</v>
      </c>
      <c r="E169" s="44"/>
      <c r="F169" s="4">
        <f t="shared" si="24"/>
        <v>1025.8119761062658</v>
      </c>
      <c r="G169" s="4">
        <f>G89</f>
        <v>728</v>
      </c>
      <c r="H169" s="185">
        <f>H89</f>
        <v>297.81197610626583</v>
      </c>
      <c r="I169" s="4">
        <f>I89</f>
        <v>0</v>
      </c>
      <c r="J169" s="26"/>
    </row>
    <row r="170" spans="1:13" x14ac:dyDescent="0.25">
      <c r="B170" s="353" t="s">
        <v>2460</v>
      </c>
      <c r="E170" s="120" t="s">
        <v>2259</v>
      </c>
      <c r="F170" s="117">
        <f>SUM(F164:F169)</f>
        <v>1930692.8871698887</v>
      </c>
      <c r="G170" s="117">
        <f>SUM(G164:G169)</f>
        <v>1190596</v>
      </c>
      <c r="H170" s="117">
        <f>SUM(H164:H169)</f>
        <v>740096.88716988871</v>
      </c>
      <c r="I170" s="117">
        <f t="shared" ref="I170:J170" si="25">SUM(I164:I169)</f>
        <v>0</v>
      </c>
      <c r="J170" s="117">
        <f t="shared" si="25"/>
        <v>0</v>
      </c>
    </row>
    <row r="171" spans="1:13" x14ac:dyDescent="0.25">
      <c r="B171" s="353"/>
    </row>
    <row r="172" spans="1:13" x14ac:dyDescent="0.25">
      <c r="A172" t="s">
        <v>2378</v>
      </c>
      <c r="B172" s="353" t="s">
        <v>2461</v>
      </c>
      <c r="E172" s="177" t="s">
        <v>2351</v>
      </c>
      <c r="F172" s="319">
        <f>SUM(G172:H172)</f>
        <v>2650144</v>
      </c>
      <c r="G172" s="319">
        <f>IF((G146-G109)&gt;0,G146-G109,0)</f>
        <v>1827344</v>
      </c>
      <c r="H172" s="319">
        <f>IF((H146-H109)&gt;0,H146-H109,0)</f>
        <v>822800</v>
      </c>
      <c r="I172" s="115" t="e">
        <f t="shared" ref="I172:J172" si="26">IF((I146-I158)&gt;0,I146-I158,0)</f>
        <v>#VALUE!</v>
      </c>
      <c r="J172" s="115">
        <f t="shared" si="26"/>
        <v>0</v>
      </c>
    </row>
    <row r="173" spans="1:13" ht="15.75" thickBot="1" x14ac:dyDescent="0.3">
      <c r="B173" s="353" t="s">
        <v>2462</v>
      </c>
      <c r="E173" s="178" t="s">
        <v>2352</v>
      </c>
      <c r="F173" s="145">
        <f>IF((F172-F170)&gt;0,(F172-F170),0)</f>
        <v>719451.11283011129</v>
      </c>
      <c r="G173" s="372">
        <f>IF((G172-G170)&gt;0,(G172-G170),0)</f>
        <v>636748</v>
      </c>
      <c r="H173" s="133">
        <f>IF((H172-H170)&gt;0,(H172-H170),0)</f>
        <v>82703.112830111291</v>
      </c>
      <c r="I173" s="133" t="e">
        <f t="shared" ref="I173:J173" si="27">IF((I172-I170)&gt;0,(I172-I170),0)</f>
        <v>#VALUE!</v>
      </c>
      <c r="J173" s="133">
        <f t="shared" si="27"/>
        <v>0</v>
      </c>
    </row>
    <row r="174" spans="1:13" x14ac:dyDescent="0.25">
      <c r="B174" s="353"/>
      <c r="D174" s="417"/>
      <c r="E174" s="134" t="s">
        <v>2272</v>
      </c>
      <c r="F174" s="135"/>
      <c r="G174" s="135"/>
      <c r="H174" s="135"/>
      <c r="I174" s="135"/>
      <c r="J174" s="136"/>
    </row>
    <row r="175" spans="1:13" ht="15.75" thickBot="1" x14ac:dyDescent="0.3">
      <c r="B175" s="353" t="s">
        <v>2463</v>
      </c>
      <c r="D175" s="418"/>
      <c r="E175" s="137" t="s">
        <v>2273</v>
      </c>
      <c r="F175" s="138"/>
      <c r="G175" s="362"/>
      <c r="H175" s="363"/>
      <c r="I175" s="138"/>
      <c r="J175" s="139"/>
    </row>
    <row r="176" spans="1:13" ht="15.75" thickBot="1" x14ac:dyDescent="0.3">
      <c r="B176" s="353"/>
      <c r="D176" s="417"/>
      <c r="E176" s="134" t="s">
        <v>2277</v>
      </c>
      <c r="F176" s="138"/>
      <c r="G176" s="138"/>
      <c r="H176" s="138"/>
      <c r="I176" s="138"/>
      <c r="J176" s="139"/>
    </row>
    <row r="177" spans="2:13" ht="15.75" thickBot="1" x14ac:dyDescent="0.3">
      <c r="B177" s="353"/>
      <c r="D177" s="418"/>
      <c r="E177" s="137" t="s">
        <v>2273</v>
      </c>
      <c r="F177" s="135"/>
      <c r="G177" s="135"/>
      <c r="H177" s="135"/>
      <c r="I177" s="135"/>
      <c r="J177" s="140"/>
    </row>
    <row r="178" spans="2:13" x14ac:dyDescent="0.25">
      <c r="B178" s="353"/>
      <c r="D178" s="417"/>
      <c r="E178" s="134" t="s">
        <v>2274</v>
      </c>
      <c r="F178" s="135"/>
      <c r="G178" s="135"/>
      <c r="H178" s="135"/>
      <c r="I178" s="135"/>
      <c r="J178" s="136"/>
    </row>
    <row r="179" spans="2:13" ht="15.75" thickBot="1" x14ac:dyDescent="0.3">
      <c r="B179" s="353"/>
      <c r="D179" s="418"/>
      <c r="E179" s="137" t="s">
        <v>2273</v>
      </c>
      <c r="F179" s="138"/>
      <c r="G179" s="138"/>
      <c r="H179" s="138"/>
      <c r="I179" s="138"/>
      <c r="J179" s="139"/>
    </row>
    <row r="180" spans="2:13" x14ac:dyDescent="0.25">
      <c r="B180" s="353"/>
    </row>
    <row r="181" spans="2:13" x14ac:dyDescent="0.25">
      <c r="B181" s="353"/>
    </row>
    <row r="182" spans="2:13" x14ac:dyDescent="0.25">
      <c r="B182" s="353"/>
    </row>
    <row r="183" spans="2:13" x14ac:dyDescent="0.25">
      <c r="B183" s="353" t="s">
        <v>2464</v>
      </c>
      <c r="C183" s="413" t="s">
        <v>16</v>
      </c>
      <c r="D183" s="3" t="s">
        <v>2214</v>
      </c>
      <c r="E183" s="44"/>
      <c r="F183" s="4">
        <f>F147</f>
        <v>1278686</v>
      </c>
      <c r="G183" s="4">
        <f>G147</f>
        <v>900976</v>
      </c>
      <c r="H183" s="4">
        <f>H147</f>
        <v>377710</v>
      </c>
      <c r="I183" s="3"/>
      <c r="J183" s="3"/>
    </row>
    <row r="184" spans="2:13" x14ac:dyDescent="0.25">
      <c r="B184" s="353" t="s">
        <v>2465</v>
      </c>
      <c r="C184" s="413"/>
      <c r="D184" s="3" t="s">
        <v>2257</v>
      </c>
      <c r="E184" s="44"/>
      <c r="F184" s="115">
        <f>SUM(G184:J184)</f>
        <v>1372</v>
      </c>
      <c r="G184" s="4">
        <f>IF((G183-G151)&gt;0,G151,G183)</f>
        <v>477</v>
      </c>
      <c r="H184" s="4">
        <f>IF((H183-H151)&gt;0,H151,H183)</f>
        <v>895</v>
      </c>
      <c r="I184" s="4">
        <f t="shared" ref="I184:J184" si="28">IF((I183-I151)&gt;0,I151,I183)</f>
        <v>0</v>
      </c>
      <c r="J184" s="4">
        <f t="shared" si="28"/>
        <v>0</v>
      </c>
    </row>
    <row r="185" spans="2:13" ht="45" x14ac:dyDescent="0.25">
      <c r="B185" s="353" t="s">
        <v>2466</v>
      </c>
      <c r="C185" s="413"/>
      <c r="D185" s="3" t="s">
        <v>2379</v>
      </c>
      <c r="E185" s="45"/>
      <c r="F185" s="4">
        <f>F98</f>
        <v>1643630</v>
      </c>
      <c r="G185" s="330">
        <v>107412</v>
      </c>
      <c r="H185" s="330">
        <v>24273</v>
      </c>
      <c r="I185" s="4">
        <f>I165</f>
        <v>0</v>
      </c>
      <c r="J185" s="3"/>
      <c r="K185" s="331" t="s">
        <v>2384</v>
      </c>
    </row>
    <row r="186" spans="2:13" ht="30" x14ac:dyDescent="0.25">
      <c r="B186" s="353" t="s">
        <v>2467</v>
      </c>
      <c r="C186" s="413"/>
      <c r="D186" s="337" t="s">
        <v>2549</v>
      </c>
      <c r="E186" s="180" t="s">
        <v>2353</v>
      </c>
      <c r="F186" s="118">
        <f>SUM(G186:J186)</f>
        <v>1145629</v>
      </c>
      <c r="G186" s="336">
        <f>G183-G184-G185</f>
        <v>793087</v>
      </c>
      <c r="H186" s="336">
        <f>H183-H184-H185</f>
        <v>352542</v>
      </c>
      <c r="I186" s="118">
        <f t="shared" ref="I186:J186" si="29">MIN((I183-I184),I185)</f>
        <v>0</v>
      </c>
      <c r="J186" s="118">
        <f t="shared" si="29"/>
        <v>0</v>
      </c>
      <c r="K186" t="s">
        <v>2522</v>
      </c>
      <c r="M186" s="361" t="s">
        <v>2519</v>
      </c>
    </row>
    <row r="187" spans="2:13" x14ac:dyDescent="0.25">
      <c r="B187" s="353"/>
      <c r="F187" s="118"/>
      <c r="G187" s="118"/>
      <c r="H187" s="118"/>
    </row>
    <row r="188" spans="2:13" x14ac:dyDescent="0.25">
      <c r="B188" s="353"/>
      <c r="G188" s="116"/>
      <c r="H188" s="116"/>
    </row>
    <row r="189" spans="2:13" x14ac:dyDescent="0.25">
      <c r="B189" s="353"/>
    </row>
    <row r="190" spans="2:13" x14ac:dyDescent="0.25">
      <c r="B190" s="353" t="s">
        <v>2468</v>
      </c>
      <c r="C190" s="413" t="s">
        <v>2256</v>
      </c>
      <c r="D190" s="3" t="s">
        <v>2253</v>
      </c>
      <c r="E190" s="44"/>
      <c r="F190" s="121">
        <f>SUM(F159+F173)</f>
        <v>2473505.7997205369</v>
      </c>
      <c r="G190" s="121">
        <f>SUM(G159+G173)</f>
        <v>1630428</v>
      </c>
      <c r="H190" s="121">
        <f>SUM(H159+H173)</f>
        <v>843077.79972053668</v>
      </c>
      <c r="I190" s="121" t="e">
        <f t="shared" ref="I190:J190" si="30">SUM(I159+I173)</f>
        <v>#VALUE!</v>
      </c>
      <c r="J190" s="115">
        <f t="shared" si="30"/>
        <v>0</v>
      </c>
    </row>
    <row r="191" spans="2:13" x14ac:dyDescent="0.25">
      <c r="B191" s="353" t="s">
        <v>2469</v>
      </c>
      <c r="C191" s="413"/>
      <c r="D191" s="3" t="s">
        <v>16</v>
      </c>
      <c r="E191" s="44"/>
      <c r="F191" s="118">
        <f>F186</f>
        <v>1145629</v>
      </c>
      <c r="G191" s="118">
        <f t="shared" ref="G191:J191" si="31">G186</f>
        <v>793087</v>
      </c>
      <c r="H191" s="118">
        <f t="shared" si="31"/>
        <v>352542</v>
      </c>
      <c r="I191" s="118">
        <f t="shared" si="31"/>
        <v>0</v>
      </c>
      <c r="J191" s="115">
        <f t="shared" si="31"/>
        <v>0</v>
      </c>
    </row>
    <row r="192" spans="2:13" x14ac:dyDescent="0.25">
      <c r="B192" s="353" t="s">
        <v>2470</v>
      </c>
      <c r="C192" s="413"/>
      <c r="D192" s="3" t="s">
        <v>2270</v>
      </c>
      <c r="E192" s="44"/>
      <c r="F192" s="115">
        <f>F190-F191</f>
        <v>1327876.7997205369</v>
      </c>
      <c r="G192" s="115">
        <f t="shared" ref="G192:J192" si="32">G190-G191</f>
        <v>837341</v>
      </c>
      <c r="H192" s="115">
        <f t="shared" si="32"/>
        <v>490535.79972053668</v>
      </c>
      <c r="I192" s="115" t="e">
        <f t="shared" si="32"/>
        <v>#VALUE!</v>
      </c>
      <c r="J192" s="115">
        <f t="shared" si="32"/>
        <v>0</v>
      </c>
    </row>
    <row r="193" spans="2:8" x14ac:dyDescent="0.25">
      <c r="B193" s="353"/>
    </row>
    <row r="194" spans="2:8" x14ac:dyDescent="0.25">
      <c r="B194" s="353"/>
    </row>
    <row r="195" spans="2:8" x14ac:dyDescent="0.25">
      <c r="B195" s="353"/>
    </row>
    <row r="196" spans="2:8" x14ac:dyDescent="0.25">
      <c r="B196" s="353"/>
    </row>
    <row r="197" spans="2:8" x14ac:dyDescent="0.25">
      <c r="B197" s="353"/>
    </row>
    <row r="198" spans="2:8" x14ac:dyDescent="0.25">
      <c r="B198" s="353"/>
    </row>
    <row r="199" spans="2:8" ht="15.75" thickBot="1" x14ac:dyDescent="0.3">
      <c r="B199" s="353"/>
    </row>
    <row r="200" spans="2:8" x14ac:dyDescent="0.25">
      <c r="B200" s="353"/>
      <c r="F200" s="107" t="s">
        <v>21</v>
      </c>
      <c r="G200" s="107" t="s">
        <v>2182</v>
      </c>
      <c r="H200" s="107" t="s">
        <v>2181</v>
      </c>
    </row>
    <row r="201" spans="2:8" x14ac:dyDescent="0.25">
      <c r="B201" s="353"/>
      <c r="E201" s="44" t="s">
        <v>2345</v>
      </c>
      <c r="F201" s="4">
        <f>SUM(G201:H201)</f>
        <v>3130085</v>
      </c>
      <c r="G201" s="4">
        <f>G146-G147</f>
        <v>1970905</v>
      </c>
      <c r="H201" s="4">
        <f>H146-H147</f>
        <v>1159180</v>
      </c>
    </row>
    <row r="202" spans="2:8" x14ac:dyDescent="0.25">
      <c r="B202" s="353" t="s">
        <v>2471</v>
      </c>
      <c r="C202" s="148" t="s">
        <v>2492</v>
      </c>
      <c r="G202" s="1">
        <v>10792132</v>
      </c>
    </row>
    <row r="203" spans="2:8" x14ac:dyDescent="0.25">
      <c r="B203" s="353" t="s">
        <v>2472</v>
      </c>
      <c r="C203" s="148" t="s">
        <v>2493</v>
      </c>
      <c r="G203" s="1">
        <v>2048259</v>
      </c>
    </row>
    <row r="204" spans="2:8" x14ac:dyDescent="0.25">
      <c r="B204" s="353" t="s">
        <v>2473</v>
      </c>
      <c r="C204" s="148" t="s">
        <v>2494</v>
      </c>
      <c r="G204" s="1">
        <v>8182550</v>
      </c>
    </row>
    <row r="205" spans="2:8" x14ac:dyDescent="0.25">
      <c r="B205" s="353" t="s">
        <v>2474</v>
      </c>
      <c r="C205" s="148" t="s">
        <v>2495</v>
      </c>
      <c r="G205" s="1">
        <v>561323</v>
      </c>
    </row>
    <row r="206" spans="2:8" x14ac:dyDescent="0.25">
      <c r="B206" s="353" t="s">
        <v>2475</v>
      </c>
      <c r="C206" s="354" t="s">
        <v>2496</v>
      </c>
      <c r="G206" s="1">
        <v>1970905</v>
      </c>
    </row>
    <row r="207" spans="2:8" x14ac:dyDescent="0.25">
      <c r="B207" s="353" t="s">
        <v>2476</v>
      </c>
      <c r="C207" s="354" t="s">
        <v>2497</v>
      </c>
      <c r="G207" s="1">
        <v>930837</v>
      </c>
      <c r="H207" s="324">
        <v>675710</v>
      </c>
    </row>
    <row r="208" spans="2:8" x14ac:dyDescent="0.25">
      <c r="B208" s="353" t="s">
        <v>2477</v>
      </c>
      <c r="C208" s="354" t="s">
        <v>2498</v>
      </c>
      <c r="G208" s="1">
        <v>887042</v>
      </c>
    </row>
    <row r="209" spans="2:8" x14ac:dyDescent="0.25">
      <c r="B209" s="353" t="s">
        <v>2478</v>
      </c>
      <c r="C209" s="354" t="s">
        <v>2499</v>
      </c>
      <c r="G209" s="1">
        <v>153026</v>
      </c>
      <c r="H209" s="1">
        <v>47186</v>
      </c>
    </row>
    <row r="210" spans="2:8" x14ac:dyDescent="0.25">
      <c r="B210" s="353" t="s">
        <v>2479</v>
      </c>
      <c r="C210" s="148" t="s">
        <v>2500</v>
      </c>
      <c r="D210" t="s">
        <v>2501</v>
      </c>
    </row>
    <row r="211" spans="2:8" x14ac:dyDescent="0.25">
      <c r="B211" s="353" t="s">
        <v>2480</v>
      </c>
      <c r="C211" s="354" t="s">
        <v>2502</v>
      </c>
      <c r="D211" t="s">
        <v>2501</v>
      </c>
    </row>
    <row r="212" spans="2:8" x14ac:dyDescent="0.25">
      <c r="B212" s="353" t="s">
        <v>2481</v>
      </c>
      <c r="C212" s="148" t="s">
        <v>2503</v>
      </c>
      <c r="D212" t="s">
        <v>2504</v>
      </c>
    </row>
    <row r="213" spans="2:8" x14ac:dyDescent="0.25">
      <c r="B213" s="353" t="s">
        <v>2482</v>
      </c>
      <c r="C213" s="354" t="s">
        <v>2505</v>
      </c>
      <c r="D213" t="s">
        <v>2506</v>
      </c>
    </row>
    <row r="214" spans="2:8" x14ac:dyDescent="0.25">
      <c r="B214" s="353" t="s">
        <v>2483</v>
      </c>
    </row>
    <row r="215" spans="2:8" ht="258.75" customHeight="1" x14ac:dyDescent="0.25">
      <c r="B215" s="353" t="s">
        <v>2484</v>
      </c>
      <c r="C215" s="355" t="s">
        <v>2507</v>
      </c>
      <c r="D215" s="421" t="s">
        <v>2514</v>
      </c>
      <c r="E215" s="421"/>
      <c r="F215" s="357">
        <f>G215+H215</f>
        <v>1606547</v>
      </c>
      <c r="G215" s="357">
        <f>G207</f>
        <v>930837</v>
      </c>
      <c r="H215" s="357">
        <f>H207</f>
        <v>675710</v>
      </c>
    </row>
    <row r="216" spans="2:8" x14ac:dyDescent="0.25">
      <c r="B216" s="353" t="s">
        <v>2485</v>
      </c>
      <c r="C216" s="355" t="s">
        <v>2508</v>
      </c>
      <c r="D216" s="356"/>
      <c r="E216" s="356"/>
      <c r="F216" s="357">
        <f t="shared" ref="F216:F221" si="33">G216+H216</f>
        <v>1469020.3075690279</v>
      </c>
      <c r="G216" s="357">
        <f>G4+G81</f>
        <v>752059</v>
      </c>
      <c r="H216" s="357">
        <f>H4+H81</f>
        <v>716961.30756902788</v>
      </c>
    </row>
    <row r="217" spans="2:8" x14ac:dyDescent="0.25">
      <c r="B217" s="353" t="s">
        <v>2486</v>
      </c>
      <c r="C217" s="355" t="s">
        <v>2509</v>
      </c>
      <c r="D217" s="356"/>
      <c r="E217" s="356"/>
      <c r="F217" s="358">
        <f>1-F215/F216</f>
        <v>-9.3617965471529008E-2</v>
      </c>
      <c r="G217" s="358">
        <f>1-G215/G216</f>
        <v>-0.23771805137628821</v>
      </c>
      <c r="H217" s="358">
        <f>1-H215/H216</f>
        <v>5.7536309328737767E-2</v>
      </c>
    </row>
    <row r="218" spans="2:8" x14ac:dyDescent="0.25">
      <c r="B218" s="353" t="s">
        <v>2487</v>
      </c>
      <c r="C218" s="359" t="s">
        <v>2510</v>
      </c>
      <c r="D218" s="359"/>
      <c r="E218" s="360"/>
      <c r="F218" s="357">
        <f t="shared" si="33"/>
        <v>200212</v>
      </c>
      <c r="G218" s="357">
        <f>G209</f>
        <v>153026</v>
      </c>
      <c r="H218" s="357">
        <f>H209</f>
        <v>47186</v>
      </c>
    </row>
    <row r="219" spans="2:8" x14ac:dyDescent="0.25">
      <c r="B219" s="353" t="s">
        <v>2488</v>
      </c>
      <c r="C219" s="359" t="s">
        <v>2511</v>
      </c>
      <c r="D219" s="359"/>
      <c r="E219" s="360"/>
      <c r="F219" s="357">
        <f t="shared" si="33"/>
        <v>89383</v>
      </c>
      <c r="G219" s="357">
        <f>G19+G35+G51</f>
        <v>36987</v>
      </c>
      <c r="H219" s="357">
        <f>H19+H35+H51</f>
        <v>52396</v>
      </c>
    </row>
    <row r="220" spans="2:8" x14ac:dyDescent="0.25">
      <c r="B220" s="353" t="s">
        <v>2489</v>
      </c>
      <c r="C220" s="355" t="s">
        <v>2512</v>
      </c>
      <c r="D220" s="356"/>
      <c r="E220" s="356"/>
      <c r="F220" s="358">
        <f>1-F218/F219</f>
        <v>-1.2399337681662059</v>
      </c>
      <c r="G220" s="358">
        <f>1-G218/G219</f>
        <v>-3.1372914807905481</v>
      </c>
      <c r="H220" s="358">
        <f>1-H218/H219</f>
        <v>9.9435071379494588E-2</v>
      </c>
    </row>
    <row r="221" spans="2:8" x14ac:dyDescent="0.25">
      <c r="B221" s="353" t="s">
        <v>2490</v>
      </c>
      <c r="C221" s="359" t="s">
        <v>2331</v>
      </c>
      <c r="D221" s="359"/>
      <c r="E221" s="360"/>
      <c r="F221" s="357">
        <f t="shared" si="33"/>
        <v>887042</v>
      </c>
      <c r="G221" s="357">
        <f>G208</f>
        <v>887042</v>
      </c>
      <c r="H221" s="357">
        <f>H208</f>
        <v>0</v>
      </c>
    </row>
    <row r="222" spans="2:8" x14ac:dyDescent="0.25">
      <c r="B222" s="353" t="s">
        <v>2491</v>
      </c>
      <c r="C222" s="359" t="s">
        <v>2513</v>
      </c>
    </row>
  </sheetData>
  <mergeCells count="25">
    <mergeCell ref="D215:E215"/>
    <mergeCell ref="D1:J1"/>
    <mergeCell ref="A3:A13"/>
    <mergeCell ref="C14:J14"/>
    <mergeCell ref="A18:A28"/>
    <mergeCell ref="C29:J29"/>
    <mergeCell ref="A80:A90"/>
    <mergeCell ref="A93:A98"/>
    <mergeCell ref="A34:A44"/>
    <mergeCell ref="C45:J45"/>
    <mergeCell ref="C46:J46"/>
    <mergeCell ref="A50:A60"/>
    <mergeCell ref="C61:J61"/>
    <mergeCell ref="A64:A74"/>
    <mergeCell ref="C190:C192"/>
    <mergeCell ref="C149:C155"/>
    <mergeCell ref="D94:J94"/>
    <mergeCell ref="C163:C169"/>
    <mergeCell ref="C183:C186"/>
    <mergeCell ref="E166:E168"/>
    <mergeCell ref="E152:E154"/>
    <mergeCell ref="D174:D175"/>
    <mergeCell ref="D176:D177"/>
    <mergeCell ref="D178:D179"/>
    <mergeCell ref="C138:C141"/>
  </mergeCells>
  <hyperlinks>
    <hyperlink ref="D1" r:id="rId1"/>
    <hyperlink ref="D78" r:id="rId2"/>
    <hyperlink ref="D16" r:id="rId3"/>
    <hyperlink ref="D32" r:id="rId4"/>
    <hyperlink ref="D48" r:id="rId5"/>
    <hyperlink ref="D94" r:id="rId6" display="https://dashboard.applaydu.com/question/2314-applaydu-number-of-organic-users-that-scan-at-least-1-toy?"/>
    <hyperlink ref="D107" r:id="rId7"/>
    <hyperlink ref="E124" r:id="rId8"/>
    <hyperlink ref="K151" r:id="rId9"/>
    <hyperlink ref="K185" r:id="rId10"/>
  </hyperlinks>
  <pageMargins left="0.7" right="0.7" top="0.75" bottom="0.75" header="0.3" footer="0.3"/>
  <pageSetup paperSize="9" orientation="portrait" r:id="rId11"/>
  <drawing r:id="rId12"/>
  <legacyDrawing r:id="rId1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"/>
  <sheetViews>
    <sheetView workbookViewId="0">
      <selection activeCell="B21" sqref="B21"/>
    </sheetView>
  </sheetViews>
  <sheetFormatPr defaultRowHeight="15" x14ac:dyDescent="0.25"/>
  <cols>
    <col min="2" max="2" width="40.140625" bestFit="1" customWidth="1"/>
    <col min="3" max="3" width="21" customWidth="1"/>
    <col min="4" max="4" width="34.28515625" customWidth="1"/>
    <col min="5" max="5" width="57.5703125" customWidth="1"/>
  </cols>
  <sheetData>
    <row r="1" spans="2:5" x14ac:dyDescent="0.25">
      <c r="C1" t="s">
        <v>14</v>
      </c>
      <c r="D1" t="s">
        <v>2529</v>
      </c>
    </row>
    <row r="2" spans="2:5" x14ac:dyDescent="0.25">
      <c r="B2" t="s">
        <v>2530</v>
      </c>
      <c r="C2" t="s">
        <v>2531</v>
      </c>
      <c r="D2" t="s">
        <v>2532</v>
      </c>
    </row>
    <row r="3" spans="2:5" ht="90" x14ac:dyDescent="0.25">
      <c r="C3" s="331" t="s">
        <v>2533</v>
      </c>
      <c r="D3" s="331" t="s">
        <v>2534</v>
      </c>
    </row>
    <row r="4" spans="2:5" ht="72" customHeight="1" x14ac:dyDescent="0.25">
      <c r="B4" t="s">
        <v>2535</v>
      </c>
      <c r="C4" s="367">
        <v>1104866</v>
      </c>
      <c r="D4" s="367">
        <v>2252370</v>
      </c>
      <c r="E4" s="331" t="s">
        <v>2536</v>
      </c>
    </row>
    <row r="5" spans="2:5" x14ac:dyDescent="0.25">
      <c r="B5" t="s">
        <v>2537</v>
      </c>
      <c r="C5" s="367">
        <v>1080540</v>
      </c>
      <c r="D5" s="367">
        <v>2625663</v>
      </c>
      <c r="E5" t="s">
        <v>2538</v>
      </c>
    </row>
    <row r="6" spans="2:5" x14ac:dyDescent="0.25">
      <c r="B6" t="s">
        <v>2539</v>
      </c>
      <c r="C6" s="186">
        <f>C4/C5</f>
        <v>1.0225128176652414</v>
      </c>
      <c r="D6" s="368">
        <f>D4/D5</f>
        <v>0.85782905117678854</v>
      </c>
    </row>
    <row r="7" spans="2:5" x14ac:dyDescent="0.25">
      <c r="B7" t="s">
        <v>2540</v>
      </c>
      <c r="C7" s="367">
        <v>1536890</v>
      </c>
      <c r="D7" s="367">
        <v>3576147</v>
      </c>
      <c r="E7" t="s">
        <v>2541</v>
      </c>
    </row>
    <row r="8" spans="2:5" x14ac:dyDescent="0.25">
      <c r="B8" t="s">
        <v>2542</v>
      </c>
      <c r="C8" s="368">
        <f>C4/C7</f>
        <v>0.71889725354449574</v>
      </c>
      <c r="D8" s="186">
        <f>D4/D7</f>
        <v>0.62983149182625886</v>
      </c>
    </row>
  </sheetData>
  <hyperlinks>
    <hyperlink ref="E4" r:id="rId1" display="https://play.google.com/console/u/1/developers/5120711382017088645/app/4975524349012685341/statistics?metrics=DEVICE_ACQUISITION-ALL-EVENTS-PER_INTERVAL-DAY%2CDEVICE_ACQUISITION-NEW-EVENTS-PER_INTERVAL-DAY&amp;dimension=OS_VERSION&amp;dimensionValues=OVERALL&amp;dateRange=2023_1_1-2023_3_31&amp;tab=APP_STATISTICS&amp;ctpMetric=DAU_MAU-ACQUISITION_UNSPECIFIED-COUNT_UNSPECIFIED-CALCULATION_UNSPECIFIED-DAY&amp;ctpDateRange=2023_8_26-2023_9_24&amp;ctpDimension=COUNTRY&amp;ctpDimensionValue=OVERALL&amp;ctpPeersetKey=3%3Abec6e236a060ae68"/>
    <hyperlink ref="C3" r:id="rId2"/>
    <hyperlink ref="D3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9"/>
  <sheetViews>
    <sheetView tabSelected="1" workbookViewId="0">
      <selection activeCell="C8" sqref="C8"/>
    </sheetView>
  </sheetViews>
  <sheetFormatPr defaultRowHeight="15" x14ac:dyDescent="0.25"/>
  <cols>
    <col min="1" max="1" width="21.85546875" customWidth="1"/>
    <col min="2" max="2" width="40.140625" customWidth="1"/>
    <col min="3" max="3" width="41.42578125" bestFit="1" customWidth="1"/>
    <col min="4" max="4" width="45.85546875" customWidth="1"/>
    <col min="5" max="5" width="30.7109375" customWidth="1"/>
    <col min="6" max="6" width="13.28515625" customWidth="1"/>
    <col min="8" max="8" width="16.7109375" bestFit="1" customWidth="1"/>
    <col min="9" max="9" width="35.5703125" bestFit="1" customWidth="1"/>
    <col min="10" max="10" width="22" bestFit="1" customWidth="1"/>
    <col min="11" max="11" width="18.7109375" bestFit="1" customWidth="1"/>
    <col min="12" max="12" width="34.5703125" bestFit="1" customWidth="1"/>
    <col min="13" max="13" width="33.42578125" customWidth="1"/>
  </cols>
  <sheetData>
    <row r="1" spans="1:1" x14ac:dyDescent="0.25">
      <c r="A1" s="383" t="s">
        <v>2555</v>
      </c>
    </row>
    <row r="2" spans="1:1" x14ac:dyDescent="0.25">
      <c r="A2" s="359" t="s">
        <v>2556</v>
      </c>
    </row>
    <row r="3" spans="1:1" x14ac:dyDescent="0.25">
      <c r="A3" s="359" t="s">
        <v>2557</v>
      </c>
    </row>
    <row r="4" spans="1:1" x14ac:dyDescent="0.25">
      <c r="A4" s="359" t="s">
        <v>2558</v>
      </c>
    </row>
    <row r="5" spans="1:1" x14ac:dyDescent="0.25">
      <c r="A5" s="359" t="s">
        <v>2559</v>
      </c>
    </row>
    <row r="6" spans="1:1" x14ac:dyDescent="0.25">
      <c r="A6" s="359" t="s">
        <v>2560</v>
      </c>
    </row>
    <row r="7" spans="1:1" x14ac:dyDescent="0.25">
      <c r="A7" s="359" t="s">
        <v>2561</v>
      </c>
    </row>
    <row r="8" spans="1:1" x14ac:dyDescent="0.25">
      <c r="A8" s="359" t="s">
        <v>2562</v>
      </c>
    </row>
    <row r="9" spans="1:1" x14ac:dyDescent="0.25">
      <c r="A9" s="359" t="s">
        <v>2563</v>
      </c>
    </row>
    <row r="10" spans="1:1" x14ac:dyDescent="0.25">
      <c r="A10" s="359" t="s">
        <v>2564</v>
      </c>
    </row>
    <row r="11" spans="1:1" x14ac:dyDescent="0.25">
      <c r="A11" s="359" t="s">
        <v>2565</v>
      </c>
    </row>
    <row r="12" spans="1:1" x14ac:dyDescent="0.25">
      <c r="A12" s="384" t="s">
        <v>2566</v>
      </c>
    </row>
    <row r="13" spans="1:1" x14ac:dyDescent="0.25">
      <c r="A13" s="384" t="s">
        <v>2567</v>
      </c>
    </row>
    <row r="14" spans="1:1" x14ac:dyDescent="0.25">
      <c r="A14" s="384" t="s">
        <v>2568</v>
      </c>
    </row>
    <row r="15" spans="1:1" x14ac:dyDescent="0.25">
      <c r="A15" s="384" t="s">
        <v>2569</v>
      </c>
    </row>
    <row r="16" spans="1:1" x14ac:dyDescent="0.25">
      <c r="A16" s="384" t="s">
        <v>2570</v>
      </c>
    </row>
    <row r="17" spans="1:2" x14ac:dyDescent="0.25">
      <c r="A17" s="384" t="s">
        <v>2571</v>
      </c>
    </row>
    <row r="18" spans="1:2" x14ac:dyDescent="0.25">
      <c r="A18" s="384" t="s">
        <v>2572</v>
      </c>
    </row>
    <row r="19" spans="1:2" x14ac:dyDescent="0.25">
      <c r="A19" s="384" t="s">
        <v>2573</v>
      </c>
    </row>
    <row r="20" spans="1:2" x14ac:dyDescent="0.25">
      <c r="A20" s="384" t="s">
        <v>2574</v>
      </c>
    </row>
    <row r="21" spans="1:2" ht="15.75" thickBot="1" x14ac:dyDescent="0.3">
      <c r="A21" s="384" t="s">
        <v>2575</v>
      </c>
    </row>
    <row r="22" spans="1:2" ht="16.5" thickTop="1" thickBot="1" x14ac:dyDescent="0.3">
      <c r="A22" s="385" t="s">
        <v>2576</v>
      </c>
    </row>
    <row r="23" spans="1:2" ht="16.5" thickTop="1" thickBot="1" x14ac:dyDescent="0.3">
      <c r="A23" s="385" t="s">
        <v>2577</v>
      </c>
    </row>
    <row r="24" spans="1:2" ht="15.75" thickTop="1" x14ac:dyDescent="0.25"/>
    <row r="25" spans="1:2" x14ac:dyDescent="0.25">
      <c r="A25" s="383" t="s">
        <v>2578</v>
      </c>
    </row>
    <row r="26" spans="1:2" x14ac:dyDescent="0.25">
      <c r="A26" t="s">
        <v>2579</v>
      </c>
      <c r="B26" t="s">
        <v>2580</v>
      </c>
    </row>
    <row r="27" spans="1:2" x14ac:dyDescent="0.25">
      <c r="A27" t="s">
        <v>2581</v>
      </c>
      <c r="B27" t="s">
        <v>2582</v>
      </c>
    </row>
    <row r="28" spans="1:2" x14ac:dyDescent="0.25">
      <c r="A28" t="s">
        <v>2583</v>
      </c>
      <c r="B28" s="386" t="s">
        <v>2584</v>
      </c>
    </row>
    <row r="29" spans="1:2" x14ac:dyDescent="0.25">
      <c r="B29" s="387"/>
    </row>
    <row r="30" spans="1:2" x14ac:dyDescent="0.25">
      <c r="A30" s="383" t="s">
        <v>2585</v>
      </c>
    </row>
    <row r="31" spans="1:2" x14ac:dyDescent="0.25">
      <c r="A31" t="s">
        <v>2581</v>
      </c>
      <c r="B31" t="s">
        <v>2582</v>
      </c>
    </row>
    <row r="32" spans="1:2" x14ac:dyDescent="0.25">
      <c r="A32" t="s">
        <v>2583</v>
      </c>
      <c r="B32" s="387" t="s">
        <v>2586</v>
      </c>
    </row>
    <row r="33" spans="1:6" ht="15.75" thickBot="1" x14ac:dyDescent="0.3">
      <c r="B33" s="470" t="s">
        <v>2653</v>
      </c>
      <c r="C33" s="470" t="s">
        <v>2650</v>
      </c>
      <c r="D33" s="470" t="s">
        <v>2655</v>
      </c>
      <c r="E33" s="470" t="s">
        <v>2652</v>
      </c>
      <c r="F33" s="470" t="s">
        <v>2654</v>
      </c>
    </row>
    <row r="34" spans="1:6" x14ac:dyDescent="0.25">
      <c r="A34" t="s">
        <v>14</v>
      </c>
      <c r="B34" s="471" t="s">
        <v>2651</v>
      </c>
      <c r="C34" t="s">
        <v>2587</v>
      </c>
      <c r="D34" s="359" t="str">
        <f>"APD-"&amp;C34</f>
        <v>APD-App Referrer First-Time Downloads</v>
      </c>
      <c r="E34" t="str">
        <f>"apd_store_data_path + '"&amp;"APD-"&amp;C34&amp;".csv"&amp;"',"</f>
        <v>apd_store_data_path + 'APD-App Referrer First-Time Downloads.csv',</v>
      </c>
      <c r="F34" s="388" t="str">
        <f>"https://appstoreconnect.apple.com/analytics/app/"&amp;B34&amp;"/1476035637/metrics?annotationsVisible=true&amp;chartType=singleaxis&amp;dimensionFilters=source%7CAppRef%7CApp+Referrer&amp;measureKey=units&amp;zoomType=day"</f>
        <v>https://appstoreconnect.apple.com/analytics/app/r:20230916:20230930/1476035637/metrics?annotationsVisible=true&amp;chartType=singleaxis&amp;dimensionFilters=source%7CAppRef%7CApp+Referrer&amp;measureKey=units&amp;zoomType=day</v>
      </c>
    </row>
    <row r="35" spans="1:6" x14ac:dyDescent="0.25">
      <c r="A35" t="s">
        <v>14</v>
      </c>
      <c r="B35" s="50" t="s">
        <v>2651</v>
      </c>
      <c r="C35" t="s">
        <v>2588</v>
      </c>
      <c r="D35" s="359" t="str">
        <f t="shared" ref="D35:D45" si="0">"APD-"&amp;C35</f>
        <v>APD-App Referrer Product Page Views</v>
      </c>
      <c r="E35" t="str">
        <f t="shared" ref="E35:E45" si="1">"apd_store_data_path + '"&amp;"APD-"&amp;C35&amp;".csv"&amp;"',"</f>
        <v>apd_store_data_path + 'APD-App Referrer Product Page Views.csv',</v>
      </c>
      <c r="F35" s="388" t="str">
        <f>"https://appstoreconnect.apple.com/analytics/app/"&amp;B35&amp;"/metrics?annotationsVisible=true&amp;chartType=singleaxis&amp;dimensionFilters=source%7CAppRef%7CApp+Referrer&amp;measureKey=pageViewCount&amp;zoomType=day"</f>
        <v>https://appstoreconnect.apple.com/analytics/app/r:20230916:20230930/metrics?annotationsVisible=true&amp;chartType=singleaxis&amp;dimensionFilters=source%7CAppRef%7CApp+Referrer&amp;measureKey=pageViewCount&amp;zoomType=day</v>
      </c>
    </row>
    <row r="36" spans="1:6" x14ac:dyDescent="0.25">
      <c r="A36" t="s">
        <v>14</v>
      </c>
      <c r="B36" s="50" t="s">
        <v>2651</v>
      </c>
      <c r="C36" t="s">
        <v>2589</v>
      </c>
      <c r="D36" s="359" t="str">
        <f t="shared" si="0"/>
        <v>APD-App Store Browse First-Time Downloads</v>
      </c>
      <c r="E36" t="str">
        <f t="shared" si="1"/>
        <v>apd_store_data_path + 'APD-App Store Browse First-Time Downloads.csv',</v>
      </c>
      <c r="F36" s="388" t="str">
        <f>"https://appstoreconnect.apple.com/analytics/app/"&amp;B36&amp;"/1476035637/metrics?annotationsVisible=true&amp;chartType=singleaxis&amp;dimensionFilters=source%7COther%7CApp+Store+Browse&amp;groupDimensionKey=storefront&amp;measureKey=units&amp;zoomType=day"</f>
        <v>https://appstoreconnect.apple.com/analytics/app/r:20230916:20230930/1476035637/metrics?annotationsVisible=true&amp;chartType=singleaxis&amp;dimensionFilters=source%7COther%7CApp+Store+Browse&amp;groupDimensionKey=storefront&amp;measureKey=units&amp;zoomType=day</v>
      </c>
    </row>
    <row r="37" spans="1:6" x14ac:dyDescent="0.25">
      <c r="A37" t="s">
        <v>14</v>
      </c>
      <c r="B37" s="50" t="s">
        <v>2651</v>
      </c>
      <c r="C37" t="s">
        <v>2590</v>
      </c>
      <c r="D37" s="359" t="str">
        <f t="shared" si="0"/>
        <v>APD-App Store Browse Product Page Views</v>
      </c>
      <c r="E37" t="str">
        <f t="shared" si="1"/>
        <v>apd_store_data_path + 'APD-App Store Browse Product Page Views.csv',</v>
      </c>
      <c r="F37" s="388" t="str">
        <f>"https://appstoreconnect.apple.com/analytics/app/"&amp;B37&amp;"/1476035637/metrics?annotationsVisible=true&amp;chartType=singleaxis&amp;dimensionFilters=source%7COther%7CApp+Store+Browse&amp;groupDimensionKey=storefront&amp;measureKey=pageViewCount&amp;zoomType=day"</f>
        <v>https://appstoreconnect.apple.com/analytics/app/r:20230916:20230930/1476035637/metrics?annotationsVisible=true&amp;chartType=singleaxis&amp;dimensionFilters=source%7COther%7CApp+Store+Browse&amp;groupDimensionKey=storefront&amp;measureKey=pageViewCount&amp;zoomType=day</v>
      </c>
    </row>
    <row r="38" spans="1:6" x14ac:dyDescent="0.25">
      <c r="A38" t="s">
        <v>14</v>
      </c>
      <c r="B38" s="50" t="s">
        <v>2651</v>
      </c>
      <c r="C38" t="s">
        <v>2591</v>
      </c>
      <c r="D38" s="359" t="str">
        <f t="shared" si="0"/>
        <v>APD-App Store Browse Total Downloads</v>
      </c>
      <c r="E38" t="str">
        <f t="shared" si="1"/>
        <v>apd_store_data_path + 'APD-App Store Browse Total Downloads.csv',</v>
      </c>
      <c r="F38" s="388" t="str">
        <f>"https://appstoreconnect.apple.com/analytics/app/"&amp;B38&amp;"/1476035637/metrics?annotationsVisible=true&amp;chartType=singleaxis&amp;dimensionFilters=source%7COther%7CApp+Store+Browse&amp;groupDimensionKey=storefront&amp;measureKey=totalDownloads&amp;zoomType=day"</f>
        <v>https://appstoreconnect.apple.com/analytics/app/r:20230916:20230930/1476035637/metrics?annotationsVisible=true&amp;chartType=singleaxis&amp;dimensionFilters=source%7COther%7CApp+Store+Browse&amp;groupDimensionKey=storefront&amp;measureKey=totalDownloads&amp;zoomType=day</v>
      </c>
    </row>
    <row r="39" spans="1:6" x14ac:dyDescent="0.25">
      <c r="A39" t="s">
        <v>14</v>
      </c>
      <c r="B39" s="50" t="s">
        <v>2651</v>
      </c>
      <c r="C39" t="s">
        <v>2592</v>
      </c>
      <c r="D39" s="359" t="str">
        <f t="shared" si="0"/>
        <v>APD-App Store Search First-Time Downloads</v>
      </c>
      <c r="E39" t="str">
        <f t="shared" si="1"/>
        <v>apd_store_data_path + 'APD-App Store Search First-Time Downloads.csv',</v>
      </c>
      <c r="F39" s="388" t="str">
        <f>"https://appstoreconnect.apple.com/analytics/app/"&amp;B39&amp;"/1476035637/metrics?annotationsVisible=true&amp;chartType=singleaxis&amp;dimensionFilters=source%7CSearch%7CApp+Store+Search&amp;groupDimensionKey=storefront&amp;measureKey=units&amp;zoomType=day"</f>
        <v>https://appstoreconnect.apple.com/analytics/app/r:20230916:20230930/1476035637/metrics?annotationsVisible=true&amp;chartType=singleaxis&amp;dimensionFilters=source%7CSearch%7CApp+Store+Search&amp;groupDimensionKey=storefront&amp;measureKey=units&amp;zoomType=day</v>
      </c>
    </row>
    <row r="40" spans="1:6" x14ac:dyDescent="0.25">
      <c r="A40" t="s">
        <v>14</v>
      </c>
      <c r="B40" s="50" t="s">
        <v>2651</v>
      </c>
      <c r="C40" t="s">
        <v>2593</v>
      </c>
      <c r="D40" s="359" t="str">
        <f t="shared" si="0"/>
        <v>APD-App Store Search Product Page Views</v>
      </c>
      <c r="E40" t="str">
        <f t="shared" si="1"/>
        <v>apd_store_data_path + 'APD-App Store Search Product Page Views.csv',</v>
      </c>
      <c r="F40" s="388" t="str">
        <f>"https://appstoreconnect.apple.com/analytics/app/"&amp;B40&amp;"/1476035637/metrics?annotationsVisible=true&amp;chartType=singleaxis&amp;dimensionFilters=source%7CSearch%7CApp+Store+Search&amp;groupDimensionKey=storefront&amp;measureKey=pageViewCount&amp;zoomType=day"</f>
        <v>https://appstoreconnect.apple.com/analytics/app/r:20230916:20230930/1476035637/metrics?annotationsVisible=true&amp;chartType=singleaxis&amp;dimensionFilters=source%7CSearch%7CApp+Store+Search&amp;groupDimensionKey=storefront&amp;measureKey=pageViewCount&amp;zoomType=day</v>
      </c>
    </row>
    <row r="41" spans="1:6" x14ac:dyDescent="0.25">
      <c r="A41" t="s">
        <v>14</v>
      </c>
      <c r="B41" s="50" t="s">
        <v>2651</v>
      </c>
      <c r="C41" t="s">
        <v>2594</v>
      </c>
      <c r="D41" s="359" t="str">
        <f t="shared" si="0"/>
        <v>APD-App Store Search Total Downloads</v>
      </c>
      <c r="E41" t="str">
        <f t="shared" si="1"/>
        <v>apd_store_data_path + 'APD-App Store Search Total Downloads.csv',</v>
      </c>
      <c r="F41" s="388" t="str">
        <f>"https://appstoreconnect.apple.com/analytics/app/"&amp;B41&amp;"/1476035637/metrics?annotationsVisible=true&amp;chartType=singleaxis&amp;dimensionFilters=source%7CSearch%7CApp+Store+Search&amp;groupDimensionKey=storefront&amp;measureKey=totalDownloads&amp;zoomType=day"</f>
        <v>https://appstoreconnect.apple.com/analytics/app/r:20230916:20230930/1476035637/metrics?annotationsVisible=true&amp;chartType=singleaxis&amp;dimensionFilters=source%7CSearch%7CApp+Store+Search&amp;groupDimensionKey=storefront&amp;measureKey=totalDownloads&amp;zoomType=day</v>
      </c>
    </row>
    <row r="42" spans="1:6" x14ac:dyDescent="0.25">
      <c r="A42" t="s">
        <v>14</v>
      </c>
      <c r="B42" s="50" t="s">
        <v>2651</v>
      </c>
      <c r="C42" t="s">
        <v>2595</v>
      </c>
      <c r="D42" s="359" t="str">
        <f t="shared" si="0"/>
        <v>APD-Web Referrer First-Time Downloads</v>
      </c>
      <c r="E42" t="str">
        <f t="shared" si="1"/>
        <v>apd_store_data_path + 'APD-Web Referrer First-Time Downloads.csv',</v>
      </c>
      <c r="F42" s="388" t="str">
        <f>"https://appstoreconnect.apple.com/analytics/app/"&amp;B42&amp;"/1476035637/metrics?annotationsVisible=true&amp;chartType=singleaxis&amp;dimensionFilters=source%7CWebRef%7CWeb+Referrer&amp;groupDimensionKey=storefront&amp;measureKey=units&amp;zoomType=day"</f>
        <v>https://appstoreconnect.apple.com/analytics/app/r:20230916:20230930/1476035637/metrics?annotationsVisible=true&amp;chartType=singleaxis&amp;dimensionFilters=source%7CWebRef%7CWeb+Referrer&amp;groupDimensionKey=storefront&amp;measureKey=units&amp;zoomType=day</v>
      </c>
    </row>
    <row r="43" spans="1:6" x14ac:dyDescent="0.25">
      <c r="A43" t="s">
        <v>14</v>
      </c>
      <c r="B43" s="50" t="s">
        <v>2651</v>
      </c>
      <c r="C43" t="s">
        <v>2596</v>
      </c>
      <c r="D43" s="359" t="str">
        <f t="shared" si="0"/>
        <v>APD-Web Referrer Product Page Views</v>
      </c>
      <c r="E43" t="str">
        <f t="shared" si="1"/>
        <v>apd_store_data_path + 'APD-Web Referrer Product Page Views.csv',</v>
      </c>
      <c r="F43" s="388" t="str">
        <f>"https://appstoreconnect.apple.com/analytics/app/"&amp;B43&amp;"/1476035637/metrics?annotationsVisible=true&amp;chartType=singleaxis&amp;dimensionFilters=source%7CWebRef%7CWeb+Referrer&amp;groupDimensionKey=storefront&amp;measureKey=pageViewCount&amp;zoomType=day"</f>
        <v>https://appstoreconnect.apple.com/analytics/app/r:20230916:20230930/1476035637/metrics?annotationsVisible=true&amp;chartType=singleaxis&amp;dimensionFilters=source%7CWebRef%7CWeb+Referrer&amp;groupDimensionKey=storefront&amp;measureKey=pageViewCount&amp;zoomType=day</v>
      </c>
    </row>
    <row r="44" spans="1:6" x14ac:dyDescent="0.25">
      <c r="A44" t="s">
        <v>14</v>
      </c>
      <c r="B44" s="50" t="s">
        <v>2651</v>
      </c>
      <c r="C44" s="392" t="s">
        <v>2646</v>
      </c>
      <c r="D44" s="359" t="str">
        <f t="shared" si="0"/>
        <v>APD-App Referrer Total Downloads</v>
      </c>
      <c r="E44" t="str">
        <f t="shared" si="1"/>
        <v>apd_store_data_path + 'APD-App Referrer Total Downloads.csv',</v>
      </c>
      <c r="F44" s="388" t="str">
        <f>"https://appstoreconnect.apple.com/analytics/app/"&amp;B44&amp;"/1476035637/metrics?annotationsVisible=true&amp;chartType=singleaxis&amp;dimensionFilters=source%7CAppRef%7CApp+Referrer&amp;groupDimensionKey=storefront&amp;measureKey=totalDownloads&amp;zoomType=day"</f>
        <v>https://appstoreconnect.apple.com/analytics/app/r:20230916:20230930/1476035637/metrics?annotationsVisible=true&amp;chartType=singleaxis&amp;dimensionFilters=source%7CAppRef%7CApp+Referrer&amp;groupDimensionKey=storefront&amp;measureKey=totalDownloads&amp;zoomType=day</v>
      </c>
    </row>
    <row r="45" spans="1:6" ht="15.75" thickBot="1" x14ac:dyDescent="0.3">
      <c r="A45" t="s">
        <v>14</v>
      </c>
      <c r="B45" s="472" t="s">
        <v>2651</v>
      </c>
      <c r="C45" s="392" t="s">
        <v>2647</v>
      </c>
      <c r="D45" s="359" t="str">
        <f t="shared" si="0"/>
        <v>APD-Web Referrer Total Downloads</v>
      </c>
      <c r="E45" t="str">
        <f t="shared" si="1"/>
        <v>apd_store_data_path + 'APD-Web Referrer Total Downloads.csv',</v>
      </c>
      <c r="F45" s="388" t="str">
        <f>"https://appstoreconnect.apple.com/analytics/app/"&amp;B45&amp;"/1476035637/metrics?annotationsVisible=true&amp;chartType=singleaxis&amp;dimensionFilters=source%7CWebRef%7CWeb+Referrer&amp;groupDimensionKey=storefront&amp;measureKey=totalDownloads&amp;zoomType=day"</f>
        <v>https://appstoreconnect.apple.com/analytics/app/r:20230916:20230930/1476035637/metrics?annotationsVisible=true&amp;chartType=singleaxis&amp;dimensionFilters=source%7CWebRef%7CWeb+Referrer&amp;groupDimensionKey=storefront&amp;measureKey=totalDownloads&amp;zoomType=day</v>
      </c>
    </row>
    <row r="46" spans="1:6" x14ac:dyDescent="0.25">
      <c r="C46" s="359"/>
    </row>
    <row r="47" spans="1:6" ht="15.75" thickBot="1" x14ac:dyDescent="0.3">
      <c r="A47" s="383" t="s">
        <v>2597</v>
      </c>
    </row>
    <row r="48" spans="1:6" x14ac:dyDescent="0.25">
      <c r="A48" s="389" t="s">
        <v>2598</v>
      </c>
      <c r="B48" s="389" t="s">
        <v>2599</v>
      </c>
      <c r="C48" s="389" t="s">
        <v>2600</v>
      </c>
      <c r="D48" s="473" t="s">
        <v>2656</v>
      </c>
      <c r="E48" s="389" t="s">
        <v>2601</v>
      </c>
      <c r="F48" s="389" t="s">
        <v>2602</v>
      </c>
    </row>
    <row r="49" spans="1:15" x14ac:dyDescent="0.25">
      <c r="A49" s="390" t="s">
        <v>20</v>
      </c>
      <c r="B49" s="359" t="s">
        <v>2603</v>
      </c>
      <c r="C49" t="s">
        <v>2604</v>
      </c>
      <c r="D49" s="474" t="s">
        <v>2605</v>
      </c>
      <c r="E49" t="s">
        <v>2606</v>
      </c>
      <c r="F49" s="359" t="s">
        <v>2607</v>
      </c>
    </row>
    <row r="50" spans="1:15" x14ac:dyDescent="0.25">
      <c r="A50" s="390" t="s">
        <v>19</v>
      </c>
      <c r="B50" s="359" t="s">
        <v>2608</v>
      </c>
      <c r="C50" t="s">
        <v>2609</v>
      </c>
      <c r="D50" s="474" t="s">
        <v>2610</v>
      </c>
      <c r="E50" t="s">
        <v>2611</v>
      </c>
      <c r="F50" t="s">
        <v>2612</v>
      </c>
    </row>
    <row r="51" spans="1:15" x14ac:dyDescent="0.25">
      <c r="A51" s="390" t="s">
        <v>18</v>
      </c>
      <c r="B51" s="359" t="s">
        <v>2613</v>
      </c>
      <c r="C51" t="s">
        <v>2614</v>
      </c>
      <c r="D51" s="474" t="s">
        <v>2615</v>
      </c>
      <c r="E51" t="s">
        <v>2616</v>
      </c>
      <c r="F51" t="s">
        <v>2617</v>
      </c>
    </row>
    <row r="52" spans="1:15" x14ac:dyDescent="0.25">
      <c r="C52" t="s">
        <v>2618</v>
      </c>
      <c r="D52" s="474" t="s">
        <v>2619</v>
      </c>
      <c r="N52" t="s">
        <v>2619</v>
      </c>
    </row>
    <row r="53" spans="1:15" x14ac:dyDescent="0.25">
      <c r="C53" t="s">
        <v>2620</v>
      </c>
      <c r="D53" s="474" t="s">
        <v>2621</v>
      </c>
    </row>
    <row r="54" spans="1:15" x14ac:dyDescent="0.25">
      <c r="C54" t="s">
        <v>2622</v>
      </c>
      <c r="D54" s="474" t="s">
        <v>2623</v>
      </c>
    </row>
    <row r="55" spans="1:15" x14ac:dyDescent="0.25">
      <c r="C55" t="s">
        <v>2624</v>
      </c>
      <c r="D55" s="474" t="s">
        <v>2625</v>
      </c>
    </row>
    <row r="56" spans="1:15" x14ac:dyDescent="0.25">
      <c r="C56" t="s">
        <v>2626</v>
      </c>
      <c r="D56" s="474" t="s">
        <v>2627</v>
      </c>
    </row>
    <row r="57" spans="1:15" x14ac:dyDescent="0.25">
      <c r="C57" t="s">
        <v>2628</v>
      </c>
      <c r="D57" s="474" t="s">
        <v>2629</v>
      </c>
    </row>
    <row r="58" spans="1:15" ht="15.75" thickBot="1" x14ac:dyDescent="0.3">
      <c r="C58" t="s">
        <v>2648</v>
      </c>
      <c r="D58" s="475" t="s">
        <v>2649</v>
      </c>
    </row>
    <row r="59" spans="1:15" ht="15.75" thickBot="1" x14ac:dyDescent="0.3"/>
    <row r="60" spans="1:15" x14ac:dyDescent="0.25">
      <c r="A60" s="473" t="s">
        <v>2630</v>
      </c>
      <c r="B60" s="389" t="s">
        <v>2601</v>
      </c>
      <c r="C60" s="389" t="s">
        <v>2598</v>
      </c>
      <c r="D60" s="473" t="s">
        <v>2631</v>
      </c>
      <c r="E60" s="473" t="s">
        <v>2632</v>
      </c>
      <c r="F60" s="389" t="s">
        <v>2633</v>
      </c>
      <c r="G60" s="389" t="s">
        <v>2634</v>
      </c>
      <c r="H60" s="476" t="s">
        <v>2635</v>
      </c>
      <c r="I60" s="389" t="s">
        <v>2636</v>
      </c>
    </row>
    <row r="61" spans="1:15" x14ac:dyDescent="0.25">
      <c r="A61" s="50" t="s">
        <v>2648</v>
      </c>
      <c r="B61" t="s">
        <v>2606</v>
      </c>
      <c r="C61" s="390" t="s">
        <v>20</v>
      </c>
      <c r="D61" s="50">
        <v>1</v>
      </c>
      <c r="E61" s="474" t="str">
        <f>VLOOKUP(A61,'Store source'!$C$49:$D$58,2,)</f>
        <v>2023_09_16-2023_09_30</v>
      </c>
      <c r="F61" s="359" t="str">
        <f>VLOOKUP(C61,$A$48:$B$51,2,)</f>
        <v>TRAFFIC_SOURCE-U1RPUkVfQlJPV1NF</v>
      </c>
      <c r="G61" s="359" t="str">
        <f>VLOOKUP(B61,$E$48:$F$51,2,)</f>
        <v>QE9WRVJBTExA%2CUlU%3D%2CSU4%3D%2CQlI%3D%2CTVg%3D%2CSUQ%3D%2CSVQ%3D%2CVVM%3D%2CQ04%3D%2CVFI%3D</v>
      </c>
      <c r="H61" t="str">
        <f>"{'group':'"&amp;B61&amp;"','period':'"&amp;A61&amp;"','source_type':'"&amp;C61&amp;"','filename':apd_store_data_path + 'play_store_performance("&amp;D61&amp;")\\daily_performance.csv'},"</f>
        <v>{'group':'group 1','period':'period 10','source_type':'Google Play explore','filename':apd_store_data_path + 'play_store_performance(1)\\daily_performance.csv'},</v>
      </c>
      <c r="I61" t="str">
        <f xml:space="preserve"> "https://play.google.com/console/u/1/developers/5120711382017088645/app/4975524349012685341/reporting/acquisition/details?dimension=PLAY_COUNTRY&amp;selected="&amp;G61&amp;"&amp;dateRange="&amp;E61&amp;"&amp;filters="&amp;F61&amp;"&amp;peersetKey=3%3Abec6e236a060ae68&amp;benchmarkDisplay=QE9WRVJBTExA&amp;storePerformanceMetric=METRIC_ACQUISITION"</f>
        <v>https://play.google.com/console/u/1/developers/5120711382017088645/app/4975524349012685341/reporting/acquisition/details?dimension=PLAY_COUNTRY&amp;selected=QE9WRVJBTExA%2CUlU%3D%2CSU4%3D%2CQlI%3D%2CTVg%3D%2CSUQ%3D%2CSVQ%3D%2CVVM%3D%2CQ04%3D%2CVFI%3D&amp;dateRange=2023_09_16-2023_09_30&amp;filters=TRAFFIC_SOURCE-U1RPUkVfQlJPV1NF&amp;peersetKey=3%3Abec6e236a060ae68&amp;benchmarkDisplay=QE9WRVJBTExA&amp;storePerformanceMetric=METRIC_ACQUISITION</v>
      </c>
      <c r="N61" t="s">
        <v>2637</v>
      </c>
      <c r="O61" s="388"/>
    </row>
    <row r="62" spans="1:15" x14ac:dyDescent="0.25">
      <c r="A62" s="50" t="s">
        <v>2648</v>
      </c>
      <c r="B62" t="s">
        <v>2606</v>
      </c>
      <c r="C62" s="390" t="s">
        <v>19</v>
      </c>
      <c r="D62" s="50">
        <v>2</v>
      </c>
      <c r="E62" s="474" t="str">
        <f>VLOOKUP(A62,'Store source'!$C$49:$D$58,2,)</f>
        <v>2023_09_16-2023_09_30</v>
      </c>
      <c r="F62" s="359" t="str">
        <f t="shared" ref="F62:F69" si="2">VLOOKUP(C62,$A$48:$B$51,2,)</f>
        <v>TRAFFIC_SOURCE-U1RPUkVfU0VBUkNI</v>
      </c>
      <c r="G62" s="359" t="str">
        <f>VLOOKUP(B62,$E$48:$F$51,2,)</f>
        <v>QE9WRVJBTExA%2CUlU%3D%2CSU4%3D%2CQlI%3D%2CTVg%3D%2CSUQ%3D%2CSVQ%3D%2CVVM%3D%2CQ04%3D%2CVFI%3D</v>
      </c>
      <c r="H62" t="str">
        <f t="shared" ref="H62:H69" si="3">"{'group':'"&amp;B62&amp;"','period':'"&amp;A62&amp;"','source_type':'"&amp;C62&amp;"','filename':apd_store_data_path + 'play_store_performance("&amp;D62&amp;")\\daily_performance.csv'},"</f>
        <v>{'group':'group 1','period':'period 10','source_type':'Google Play search','filename':apd_store_data_path + 'play_store_performance(2)\\daily_performance.csv'},</v>
      </c>
      <c r="I62" t="str">
        <f t="shared" ref="I62:I69" si="4" xml:space="preserve"> "https://play.google.com/console/u/1/developers/5120711382017088645/app/4975524349012685341/reporting/acquisition/details?dimension=PLAY_COUNTRY&amp;selected="&amp;G62&amp;"&amp;dateRange="&amp;E62&amp;"&amp;filters="&amp;F62&amp;"&amp;peersetKey=3%3Abec6e236a060ae68&amp;benchmarkDisplay=QE9WRVJBTExA&amp;storePerformanceMetric=METRIC_ACQUISITION"</f>
        <v>https://play.google.com/console/u/1/developers/5120711382017088645/app/4975524349012685341/reporting/acquisition/details?dimension=PLAY_COUNTRY&amp;selected=QE9WRVJBTExA%2CUlU%3D%2CSU4%3D%2CQlI%3D%2CTVg%3D%2CSUQ%3D%2CSVQ%3D%2CVVM%3D%2CQ04%3D%2CVFI%3D&amp;dateRange=2023_09_16-2023_09_30&amp;filters=TRAFFIC_SOURCE-U1RPUkVfU0VBUkNI&amp;peersetKey=3%3Abec6e236a060ae68&amp;benchmarkDisplay=QE9WRVJBTExA&amp;storePerformanceMetric=METRIC_ACQUISITION</v>
      </c>
      <c r="N62" t="s">
        <v>2638</v>
      </c>
    </row>
    <row r="63" spans="1:15" x14ac:dyDescent="0.25">
      <c r="A63" s="50" t="s">
        <v>2648</v>
      </c>
      <c r="B63" t="s">
        <v>2606</v>
      </c>
      <c r="C63" s="390" t="s">
        <v>18</v>
      </c>
      <c r="D63" s="50">
        <v>3</v>
      </c>
      <c r="E63" s="474" t="str">
        <f>VLOOKUP(A63,'Store source'!$C$49:$D$58,2,)</f>
        <v>2023_09_16-2023_09_30</v>
      </c>
      <c r="F63" s="359" t="str">
        <f t="shared" si="2"/>
        <v>TRAFFIC_SOURCE-REVFUExJTks%3D</v>
      </c>
      <c r="G63" s="359" t="str">
        <f t="shared" ref="G63:G69" si="5">VLOOKUP(B63,$E$48:$F$51,2,)</f>
        <v>QE9WRVJBTExA%2CUlU%3D%2CSU4%3D%2CQlI%3D%2CTVg%3D%2CSUQ%3D%2CSVQ%3D%2CVVM%3D%2CQ04%3D%2CVFI%3D</v>
      </c>
      <c r="H63" t="str">
        <f t="shared" si="3"/>
        <v>{'group':'group 1','period':'period 10','source_type':'Third-party referrals','filename':apd_store_data_path + 'play_store_performance(3)\\daily_performance.csv'},</v>
      </c>
      <c r="I63" t="str">
        <f t="shared" si="4"/>
        <v>https://play.google.com/console/u/1/developers/5120711382017088645/app/4975524349012685341/reporting/acquisition/details?dimension=PLAY_COUNTRY&amp;selected=QE9WRVJBTExA%2CUlU%3D%2CSU4%3D%2CQlI%3D%2CTVg%3D%2CSUQ%3D%2CSVQ%3D%2CVVM%3D%2CQ04%3D%2CVFI%3D&amp;dateRange=2023_09_16-2023_09_30&amp;filters=TRAFFIC_SOURCE-REVFUExJTks%3D&amp;peersetKey=3%3Abec6e236a060ae68&amp;benchmarkDisplay=QE9WRVJBTExA&amp;storePerformanceMetric=METRIC_ACQUISITION</v>
      </c>
      <c r="N63" t="s">
        <v>2639</v>
      </c>
    </row>
    <row r="64" spans="1:15" x14ac:dyDescent="0.25">
      <c r="A64" s="50" t="s">
        <v>2648</v>
      </c>
      <c r="B64" s="384" t="s">
        <v>2611</v>
      </c>
      <c r="C64" s="390" t="s">
        <v>20</v>
      </c>
      <c r="D64" s="50">
        <v>4</v>
      </c>
      <c r="E64" s="474" t="str">
        <f>VLOOKUP(A64,'Store source'!$C$49:$D$58,2,)</f>
        <v>2023_09_16-2023_09_30</v>
      </c>
      <c r="F64" s="359" t="str">
        <f t="shared" si="2"/>
        <v>TRAFFIC_SOURCE-U1RPUkVfQlJPV1NF</v>
      </c>
      <c r="G64" s="359" t="str">
        <f t="shared" si="5"/>
        <v>REU%3D%2CRlI%3D%2CVUE%3D%2CUEg%3D%2CUEw%3D%2CQVI%3D%2CR0I%3D%2CRVM%3D%2CS1I%3D%2CTVk%3D</v>
      </c>
      <c r="H64" t="str">
        <f t="shared" si="3"/>
        <v>{'group':'group 2','period':'period 10','source_type':'Google Play explore','filename':apd_store_data_path + 'play_store_performance(4)\\daily_performance.csv'},</v>
      </c>
      <c r="I64" t="str">
        <f t="shared" si="4"/>
        <v>https://play.google.com/console/u/1/developers/5120711382017088645/app/4975524349012685341/reporting/acquisition/details?dimension=PLAY_COUNTRY&amp;selected=REU%3D%2CRlI%3D%2CVUE%3D%2CUEg%3D%2CUEw%3D%2CQVI%3D%2CR0I%3D%2CRVM%3D%2CS1I%3D%2CTVk%3D&amp;dateRange=2023_09_16-2023_09_30&amp;filters=TRAFFIC_SOURCE-U1RPUkVfQlJPV1NF&amp;peersetKey=3%3Abec6e236a060ae68&amp;benchmarkDisplay=QE9WRVJBTExA&amp;storePerformanceMetric=METRIC_ACQUISITION</v>
      </c>
      <c r="N64" t="s">
        <v>2640</v>
      </c>
    </row>
    <row r="65" spans="1:14" x14ac:dyDescent="0.25">
      <c r="A65" s="50" t="s">
        <v>2648</v>
      </c>
      <c r="B65" s="384" t="s">
        <v>2611</v>
      </c>
      <c r="C65" s="390" t="s">
        <v>19</v>
      </c>
      <c r="D65" s="50">
        <v>5</v>
      </c>
      <c r="E65" s="474" t="str">
        <f>VLOOKUP(A65,'Store source'!$C$49:$D$58,2,)</f>
        <v>2023_09_16-2023_09_30</v>
      </c>
      <c r="F65" s="359" t="str">
        <f t="shared" si="2"/>
        <v>TRAFFIC_SOURCE-U1RPUkVfU0VBUkNI</v>
      </c>
      <c r="G65" s="359" t="str">
        <f t="shared" si="5"/>
        <v>REU%3D%2CRlI%3D%2CVUE%3D%2CUEg%3D%2CUEw%3D%2CQVI%3D%2CR0I%3D%2CRVM%3D%2CS1I%3D%2CTVk%3D</v>
      </c>
      <c r="H65" t="str">
        <f t="shared" si="3"/>
        <v>{'group':'group 2','period':'period 10','source_type':'Google Play search','filename':apd_store_data_path + 'play_store_performance(5)\\daily_performance.csv'},</v>
      </c>
      <c r="I65" t="str">
        <f t="shared" si="4"/>
        <v>https://play.google.com/console/u/1/developers/5120711382017088645/app/4975524349012685341/reporting/acquisition/details?dimension=PLAY_COUNTRY&amp;selected=REU%3D%2CRlI%3D%2CVUE%3D%2CUEg%3D%2CUEw%3D%2CQVI%3D%2CR0I%3D%2CRVM%3D%2CS1I%3D%2CTVk%3D&amp;dateRange=2023_09_16-2023_09_30&amp;filters=TRAFFIC_SOURCE-U1RPUkVfU0VBUkNI&amp;peersetKey=3%3Abec6e236a060ae68&amp;benchmarkDisplay=QE9WRVJBTExA&amp;storePerformanceMetric=METRIC_ACQUISITION</v>
      </c>
      <c r="N65" t="s">
        <v>2641</v>
      </c>
    </row>
    <row r="66" spans="1:14" x14ac:dyDescent="0.25">
      <c r="A66" s="50" t="s">
        <v>2648</v>
      </c>
      <c r="B66" s="384" t="s">
        <v>2611</v>
      </c>
      <c r="C66" s="390" t="s">
        <v>18</v>
      </c>
      <c r="D66" s="50">
        <v>6</v>
      </c>
      <c r="E66" s="474" t="str">
        <f>VLOOKUP(A66,'Store source'!$C$49:$D$58,2,)</f>
        <v>2023_09_16-2023_09_30</v>
      </c>
      <c r="F66" s="359" t="str">
        <f t="shared" si="2"/>
        <v>TRAFFIC_SOURCE-REVFUExJTks%3D</v>
      </c>
      <c r="G66" s="359" t="str">
        <f t="shared" si="5"/>
        <v>REU%3D%2CRlI%3D%2CVUE%3D%2CUEg%3D%2CUEw%3D%2CQVI%3D%2CR0I%3D%2CRVM%3D%2CS1I%3D%2CTVk%3D</v>
      </c>
      <c r="H66" t="str">
        <f t="shared" si="3"/>
        <v>{'group':'group 2','period':'period 10','source_type':'Third-party referrals','filename':apd_store_data_path + 'play_store_performance(6)\\daily_performance.csv'},</v>
      </c>
      <c r="I66" t="str">
        <f t="shared" si="4"/>
        <v>https://play.google.com/console/u/1/developers/5120711382017088645/app/4975524349012685341/reporting/acquisition/details?dimension=PLAY_COUNTRY&amp;selected=REU%3D%2CRlI%3D%2CVUE%3D%2CUEg%3D%2CUEw%3D%2CQVI%3D%2CR0I%3D%2CRVM%3D%2CS1I%3D%2CTVk%3D&amp;dateRange=2023_09_16-2023_09_30&amp;filters=TRAFFIC_SOURCE-REVFUExJTks%3D&amp;peersetKey=3%3Abec6e236a060ae68&amp;benchmarkDisplay=QE9WRVJBTExA&amp;storePerformanceMetric=METRIC_ACQUISITION</v>
      </c>
      <c r="N66" t="s">
        <v>2642</v>
      </c>
    </row>
    <row r="67" spans="1:14" x14ac:dyDescent="0.25">
      <c r="A67" s="50" t="s">
        <v>2648</v>
      </c>
      <c r="B67" s="391" t="s">
        <v>2616</v>
      </c>
      <c r="C67" s="390" t="s">
        <v>20</v>
      </c>
      <c r="D67" s="50">
        <v>7</v>
      </c>
      <c r="E67" s="474" t="str">
        <f>VLOOKUP(A67,'Store source'!$C$49:$D$58,2,)</f>
        <v>2023_09_16-2023_09_30</v>
      </c>
      <c r="F67" s="359" t="str">
        <f t="shared" si="2"/>
        <v>TRAFFIC_SOURCE-U1RPUkVfQlJPV1NF</v>
      </c>
      <c r="G67" s="359" t="str">
        <f t="shared" si="5"/>
        <v>VEg%3D%2CUk8%3D</v>
      </c>
      <c r="H67" t="str">
        <f t="shared" si="3"/>
        <v>{'group':'group 3','period':'period 10','source_type':'Google Play explore','filename':apd_store_data_path + 'play_store_performance(7)\\daily_performance.csv'},</v>
      </c>
      <c r="I67" t="str">
        <f xml:space="preserve"> "https://play.google.com/console/u/1/developers/5120711382017088645/app/4975524349012685341/reporting/acquisition/details?dimension=PLAY_COUNTRY&amp;selected="&amp;G67&amp;"&amp;dateRange="&amp;E67&amp;"&amp;filters="&amp;F67&amp;"&amp;peersetKey=3%3Abec6e236a060ae68&amp;benchmarkDisplay=QE9WRVJBTExA&amp;storePerformanceMetric=METRIC_ACQUISITION"</f>
        <v>https://play.google.com/console/u/1/developers/5120711382017088645/app/4975524349012685341/reporting/acquisition/details?dimension=PLAY_COUNTRY&amp;selected=VEg%3D%2CUk8%3D&amp;dateRange=2023_09_16-2023_09_30&amp;filters=TRAFFIC_SOURCE-U1RPUkVfQlJPV1NF&amp;peersetKey=3%3Abec6e236a060ae68&amp;benchmarkDisplay=QE9WRVJBTExA&amp;storePerformanceMetric=METRIC_ACQUISITION</v>
      </c>
      <c r="N67" t="s">
        <v>2643</v>
      </c>
    </row>
    <row r="68" spans="1:14" x14ac:dyDescent="0.25">
      <c r="A68" s="50" t="s">
        <v>2648</v>
      </c>
      <c r="B68" s="391" t="s">
        <v>2616</v>
      </c>
      <c r="C68" s="390" t="s">
        <v>19</v>
      </c>
      <c r="D68" s="50">
        <v>8</v>
      </c>
      <c r="E68" s="474" t="str">
        <f>VLOOKUP(A68,'Store source'!$C$49:$D$58,2,)</f>
        <v>2023_09_16-2023_09_30</v>
      </c>
      <c r="F68" s="359" t="str">
        <f t="shared" si="2"/>
        <v>TRAFFIC_SOURCE-U1RPUkVfU0VBUkNI</v>
      </c>
      <c r="G68" s="359" t="str">
        <f t="shared" si="5"/>
        <v>VEg%3D%2CUk8%3D</v>
      </c>
      <c r="H68" t="str">
        <f t="shared" si="3"/>
        <v>{'group':'group 3','period':'period 10','source_type':'Google Play search','filename':apd_store_data_path + 'play_store_performance(8)\\daily_performance.csv'},</v>
      </c>
      <c r="I68" t="str">
        <f t="shared" si="4"/>
        <v>https://play.google.com/console/u/1/developers/5120711382017088645/app/4975524349012685341/reporting/acquisition/details?dimension=PLAY_COUNTRY&amp;selected=VEg%3D%2CUk8%3D&amp;dateRange=2023_09_16-2023_09_30&amp;filters=TRAFFIC_SOURCE-U1RPUkVfU0VBUkNI&amp;peersetKey=3%3Abec6e236a060ae68&amp;benchmarkDisplay=QE9WRVJBTExA&amp;storePerformanceMetric=METRIC_ACQUISITION</v>
      </c>
      <c r="N68" t="s">
        <v>2644</v>
      </c>
    </row>
    <row r="69" spans="1:14" ht="15.75" thickBot="1" x14ac:dyDescent="0.3">
      <c r="A69" s="472" t="s">
        <v>2648</v>
      </c>
      <c r="B69" s="391" t="s">
        <v>2616</v>
      </c>
      <c r="C69" s="390" t="s">
        <v>18</v>
      </c>
      <c r="D69" s="472">
        <v>9</v>
      </c>
      <c r="E69" s="475" t="str">
        <f>VLOOKUP(A69,'Store source'!$C$49:$D$58,2,)</f>
        <v>2023_09_16-2023_09_30</v>
      </c>
      <c r="F69" s="359" t="str">
        <f t="shared" si="2"/>
        <v>TRAFFIC_SOURCE-REVFUExJTks%3D</v>
      </c>
      <c r="G69" s="359" t="str">
        <f t="shared" si="5"/>
        <v>VEg%3D%2CUk8%3D</v>
      </c>
      <c r="H69" t="str">
        <f t="shared" si="3"/>
        <v>{'group':'group 3','period':'period 10','source_type':'Third-party referrals','filename':apd_store_data_path + 'play_store_performance(9)\\daily_performance.csv'},</v>
      </c>
      <c r="I69" t="str">
        <f t="shared" si="4"/>
        <v>https://play.google.com/console/u/1/developers/5120711382017088645/app/4975524349012685341/reporting/acquisition/details?dimension=PLAY_COUNTRY&amp;selected=VEg%3D%2CUk8%3D&amp;dateRange=2023_09_16-2023_09_30&amp;filters=TRAFFIC_SOURCE-REVFUExJTks%3D&amp;peersetKey=3%3Abec6e236a060ae68&amp;benchmarkDisplay=QE9WRVJBTExA&amp;storePerformanceMetric=METRIC_ACQUISITION</v>
      </c>
      <c r="N69" t="s">
        <v>2645</v>
      </c>
    </row>
  </sheetData>
  <hyperlinks>
    <hyperlink ref="F34" r:id="rId1" display="https://appstoreconnect.apple.com/analytics/app/r:20230916:20230930/1476035637/metrics?annotationsVisible=true&amp;chartType=singleaxis&amp;dimensionFilters=source%7CAppRef%7CApp+Referrer&amp;measureKey=units&amp;zoomType=day"/>
    <hyperlink ref="F43" r:id="rId2" display="https://appstoreconnect.apple.com/analytics/app/r:20230916:20230930/1476035637/metrics?annotationsVisible=true&amp;chartType=singleaxis&amp;dimensionFilters=source%7CWebRef%7CWeb+Referrer&amp;groupDimensionKey=storefront&amp;measureKey=pageViewCount&amp;zoomType=day"/>
    <hyperlink ref="F44" r:id="rId3" display="https://appstoreconnect.apple.com/analytics/app/r:20230916:20230930/1476035637/metrics?annotationsVisible=true&amp;chartType=singleaxis&amp;dimensionFilters=source%7CAppRef%7CApp+Referrer&amp;groupDimensionKey=storefront&amp;measureKey=totalDownloads&amp;zoomType=day"/>
    <hyperlink ref="F35" r:id="rId4" display="https://appstoreconnect.apple.com/analytics/app/r:20230916:20230930/1476035637/metrics?annotationsVisible=true&amp;chartType=singleaxis&amp;dimensionFilters=source%7CAppRef%7CApp+Referrer&amp;measureKey=pageViewCount&amp;zoomType=day"/>
    <hyperlink ref="F36" r:id="rId5" display="https://appstoreconnect.apple.com/analytics/app/r:20230916:20230930/1476035637/metrics?annotationsVisible=true&amp;chartType=singleaxis&amp;dimensionFilters=source%7COther%7CApp+Store+Browse&amp;groupDimensionKey=storefront&amp;measureKey=units&amp;zoomType=day"/>
    <hyperlink ref="F37" r:id="rId6" display="https://appstoreconnect.apple.com/analytics/app/r:20230916:20230930/1476035637/metrics?annotationsVisible=true&amp;chartType=singleaxis&amp;dimensionFilters=source%7COther%7CApp+Store+Browse&amp;groupDimensionKey=storefront&amp;measureKey=pageViewCount&amp;zoomType=day"/>
    <hyperlink ref="F38" r:id="rId7" display="https://appstoreconnect.apple.com/analytics/app/r:20230916:20230930/1476035637/metrics?annotationsVisible=true&amp;chartType=singleaxis&amp;dimensionFilters=source%7COther%7CApp+Store+Browse&amp;groupDimensionKey=storefront&amp;measureKey=totalDownloads&amp;zoomType=day"/>
    <hyperlink ref="F39" r:id="rId8" display="https://appstoreconnect.apple.com/analytics/app/r:20230916:20230930/1476035637/metrics?annotationsVisible=true&amp;chartType=singleaxis&amp;dimensionFilters=source%7CSearch%7CApp+Store+Search&amp;groupDimensionKey=storefront&amp;measureKey=units&amp;zoomType=day"/>
    <hyperlink ref="F40" r:id="rId9" display="https://appstoreconnect.apple.com/analytics/app/r:20230916:20230930/1476035637/metrics?annotationsVisible=true&amp;chartType=singleaxis&amp;dimensionFilters=source%7CSearch%7CApp+Store+Search&amp;groupDimensionKey=storefront&amp;measureKey=pageViewCount&amp;zoomType=day"/>
    <hyperlink ref="F41" r:id="rId10" display="https://appstoreconnect.apple.com/analytics/app/r:20230916:20230930/1476035637/metrics?annotationsVisible=true&amp;chartType=singleaxis&amp;dimensionFilters=source%7CSearch%7CApp+Store+Search&amp;groupDimensionKey=storefront&amp;measureKey=totalDownloads&amp;zoomType=day"/>
    <hyperlink ref="F42" r:id="rId11" display="https://appstoreconnect.apple.com/analytics/app/r:20230916:20230930/1476035637/metrics?annotationsVisible=true&amp;chartType=singleaxis&amp;dimensionFilters=source%7CWebRef%7CWeb+Referrer&amp;groupDimensionKey=storefront&amp;measureKey=units&amp;zoomType=day"/>
    <hyperlink ref="F45" r:id="rId12" display="https://appstoreconnect.apple.com/analytics/app/r:20230916:20230930/1476035637/metrics?annotationsVisible=true&amp;chartType=singleaxis&amp;dimensionFilters=source%7CWebRef%7CWeb+Referrer&amp;groupDimensionKey=storefront&amp;measureKey=totalDownloads&amp;zoomType=day"/>
  </hyperlinks>
  <pageMargins left="0.7" right="0.7" top="0.75" bottom="0.75" header="0.3" footer="0.3"/>
  <pageSetup orientation="portrait"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35"/>
  <sheetViews>
    <sheetView workbookViewId="0">
      <pane xSplit="2" ySplit="35" topLeftCell="C36" activePane="bottomRight" state="frozen"/>
      <selection pane="topRight" activeCell="C1" sqref="C1"/>
      <selection pane="bottomLeft" activeCell="A36" sqref="A36"/>
      <selection pane="bottomRight" activeCell="M18" sqref="M18"/>
    </sheetView>
  </sheetViews>
  <sheetFormatPr defaultColWidth="7.42578125" defaultRowHeight="15" x14ac:dyDescent="0.25"/>
  <cols>
    <col min="1" max="1" width="29.140625" customWidth="1"/>
    <col min="2" max="2" width="27.28515625" bestFit="1" customWidth="1"/>
    <col min="4" max="4" width="11.42578125" bestFit="1" customWidth="1"/>
    <col min="5" max="11" width="10.42578125" bestFit="1" customWidth="1"/>
    <col min="12" max="12" width="11.42578125" customWidth="1"/>
    <col min="13" max="16" width="14.28515625" bestFit="1" customWidth="1"/>
    <col min="17" max="29" width="10.42578125" bestFit="1" customWidth="1"/>
    <col min="35" max="37" width="9.7109375" bestFit="1" customWidth="1"/>
    <col min="47" max="49" width="9.7109375" bestFit="1" customWidth="1"/>
  </cols>
  <sheetData>
    <row r="1" spans="1:49" ht="15.75" thickBot="1" x14ac:dyDescent="0.3">
      <c r="D1" s="456" t="s">
        <v>2359</v>
      </c>
      <c r="E1" s="456"/>
      <c r="F1" s="456"/>
      <c r="G1" s="456"/>
      <c r="H1" s="456"/>
      <c r="I1" s="456"/>
      <c r="J1" s="456"/>
      <c r="K1" s="456"/>
      <c r="L1" s="456"/>
      <c r="M1" s="456"/>
      <c r="N1" s="457" t="s">
        <v>2360</v>
      </c>
      <c r="O1" s="457"/>
      <c r="P1" s="457"/>
      <c r="Q1" s="457"/>
      <c r="R1" s="457"/>
      <c r="S1" s="457"/>
      <c r="T1" s="457"/>
      <c r="U1" s="457"/>
      <c r="V1" s="457"/>
      <c r="W1" s="457"/>
      <c r="X1" s="457"/>
      <c r="Y1" s="457"/>
      <c r="Z1" s="458" t="s">
        <v>2361</v>
      </c>
      <c r="AA1" s="458"/>
      <c r="AB1" s="458"/>
      <c r="AC1" s="458"/>
      <c r="AD1" s="458"/>
      <c r="AE1" s="458"/>
      <c r="AF1" s="458"/>
      <c r="AG1" s="458"/>
      <c r="AH1" s="458"/>
      <c r="AI1" s="458"/>
      <c r="AJ1" s="458"/>
      <c r="AK1" s="458"/>
      <c r="AL1" s="459" t="s">
        <v>2362</v>
      </c>
      <c r="AM1" s="459"/>
      <c r="AN1" s="459"/>
      <c r="AO1" s="459"/>
      <c r="AP1" s="459"/>
      <c r="AQ1" s="459"/>
      <c r="AR1" s="459"/>
      <c r="AS1" s="459"/>
      <c r="AT1" s="459"/>
      <c r="AU1" s="459"/>
      <c r="AV1" s="459"/>
      <c r="AW1" s="459"/>
    </row>
    <row r="2" spans="1:49" ht="19.5" thickBot="1" x14ac:dyDescent="0.35">
      <c r="A2" s="217" t="s">
        <v>2357</v>
      </c>
      <c r="B2" s="218"/>
      <c r="C2" s="219"/>
      <c r="D2" s="193">
        <v>44256</v>
      </c>
      <c r="E2" s="194">
        <v>44287</v>
      </c>
      <c r="F2" s="194">
        <v>44317</v>
      </c>
      <c r="G2" s="194">
        <v>44348</v>
      </c>
      <c r="H2" s="194">
        <v>44378</v>
      </c>
      <c r="I2" s="194">
        <v>44409</v>
      </c>
      <c r="J2" s="194">
        <v>44440</v>
      </c>
      <c r="K2" s="194">
        <v>44470</v>
      </c>
      <c r="L2" s="194">
        <v>44501</v>
      </c>
      <c r="M2" s="195">
        <v>44531</v>
      </c>
      <c r="N2" s="197">
        <v>44562</v>
      </c>
      <c r="O2" s="198">
        <v>44593</v>
      </c>
      <c r="P2" s="198">
        <v>44621</v>
      </c>
      <c r="Q2" s="198">
        <v>44652</v>
      </c>
      <c r="R2" s="198">
        <v>44682</v>
      </c>
      <c r="S2" s="198">
        <v>44713</v>
      </c>
      <c r="T2" s="198">
        <v>44743</v>
      </c>
      <c r="U2" s="198">
        <v>44774</v>
      </c>
      <c r="V2" s="198">
        <v>44805</v>
      </c>
      <c r="W2" s="198">
        <v>44835</v>
      </c>
      <c r="X2" s="198">
        <v>44866</v>
      </c>
      <c r="Y2" s="199">
        <v>44896</v>
      </c>
      <c r="Z2" s="200">
        <v>44927</v>
      </c>
      <c r="AA2" s="201">
        <v>44958</v>
      </c>
      <c r="AB2" s="201">
        <v>44986</v>
      </c>
      <c r="AC2" s="201">
        <v>45017</v>
      </c>
      <c r="AD2" s="201">
        <v>45047</v>
      </c>
      <c r="AE2" s="201">
        <v>45078</v>
      </c>
      <c r="AF2" s="201">
        <v>45108</v>
      </c>
      <c r="AG2" s="201">
        <v>45139</v>
      </c>
      <c r="AH2" s="201">
        <v>45170</v>
      </c>
      <c r="AI2" s="201">
        <v>45200</v>
      </c>
      <c r="AJ2" s="201">
        <v>45231</v>
      </c>
      <c r="AK2" s="202">
        <v>45261</v>
      </c>
      <c r="AL2" s="203">
        <v>45292</v>
      </c>
      <c r="AM2" s="204">
        <v>45323</v>
      </c>
      <c r="AN2" s="204">
        <v>45352</v>
      </c>
      <c r="AO2" s="204">
        <v>45383</v>
      </c>
      <c r="AP2" s="204">
        <v>45413</v>
      </c>
      <c r="AQ2" s="204">
        <v>45444</v>
      </c>
      <c r="AR2" s="204">
        <v>45474</v>
      </c>
      <c r="AS2" s="204">
        <v>45505</v>
      </c>
      <c r="AT2" s="204">
        <v>45536</v>
      </c>
      <c r="AU2" s="204">
        <v>45566</v>
      </c>
      <c r="AV2" s="204">
        <v>45597</v>
      </c>
      <c r="AW2" s="205">
        <v>45627</v>
      </c>
    </row>
    <row r="3" spans="1:49" s="213" customFormat="1" ht="15" customHeight="1" x14ac:dyDescent="0.25">
      <c r="A3" s="449" t="s">
        <v>2298</v>
      </c>
      <c r="B3" s="452" t="s">
        <v>2296</v>
      </c>
      <c r="C3" s="211"/>
      <c r="D3" s="212">
        <v>3278290</v>
      </c>
      <c r="E3" s="220">
        <v>2590087</v>
      </c>
      <c r="F3" s="220">
        <v>2436660</v>
      </c>
      <c r="G3" s="220">
        <v>2370642</v>
      </c>
      <c r="H3" s="220">
        <v>2295593</v>
      </c>
      <c r="I3" s="220">
        <v>2433557</v>
      </c>
      <c r="J3" s="220">
        <v>2344972</v>
      </c>
      <c r="K3" s="220">
        <v>3635571</v>
      </c>
      <c r="L3" s="220">
        <v>3364676</v>
      </c>
      <c r="M3" s="221">
        <v>3609049</v>
      </c>
      <c r="N3" s="212">
        <v>2959133</v>
      </c>
      <c r="O3" s="220">
        <v>2977896</v>
      </c>
      <c r="P3" s="220">
        <v>2386722</v>
      </c>
      <c r="Q3" s="220">
        <v>2807431</v>
      </c>
      <c r="R3" s="220">
        <v>1394271</v>
      </c>
      <c r="S3" s="220">
        <v>1614962</v>
      </c>
      <c r="T3" s="220">
        <v>1707874</v>
      </c>
      <c r="U3" s="220">
        <v>1768868</v>
      </c>
      <c r="V3" s="220">
        <v>1948265</v>
      </c>
      <c r="W3" s="220">
        <v>3257331</v>
      </c>
      <c r="X3" s="220">
        <v>1952398</v>
      </c>
      <c r="Y3" s="221">
        <v>1590632</v>
      </c>
      <c r="Z3" s="212">
        <v>1460632</v>
      </c>
      <c r="AA3" s="220">
        <v>1501103</v>
      </c>
      <c r="AB3" s="220">
        <v>1805803</v>
      </c>
      <c r="AC3" s="220">
        <v>2723106</v>
      </c>
      <c r="AD3" s="220"/>
      <c r="AE3" s="220"/>
      <c r="AF3" s="220"/>
      <c r="AG3" s="220"/>
      <c r="AH3" s="220"/>
      <c r="AI3" s="220"/>
      <c r="AJ3" s="220"/>
      <c r="AK3" s="221"/>
      <c r="AL3" s="212"/>
      <c r="AM3" s="220"/>
      <c r="AN3" s="220"/>
      <c r="AO3" s="220"/>
      <c r="AP3" s="220"/>
      <c r="AQ3" s="220"/>
      <c r="AR3" s="220"/>
      <c r="AS3" s="220"/>
      <c r="AT3" s="220"/>
      <c r="AU3" s="220"/>
      <c r="AV3" s="220"/>
      <c r="AW3" s="221"/>
    </row>
    <row r="4" spans="1:49" ht="15" customHeight="1" x14ac:dyDescent="0.25">
      <c r="A4" s="450"/>
      <c r="B4" s="397"/>
      <c r="C4" s="191" t="s">
        <v>2286</v>
      </c>
      <c r="D4" s="232">
        <f>D3/D9</f>
        <v>0.49752677612198071</v>
      </c>
      <c r="E4" s="232">
        <f t="shared" ref="E4:AC4" si="0">E3/E9</f>
        <v>0.31696444414747871</v>
      </c>
      <c r="F4" s="232">
        <f t="shared" si="0"/>
        <v>0.42610959592108827</v>
      </c>
      <c r="G4" s="232">
        <f t="shared" si="0"/>
        <v>0.52883642209884063</v>
      </c>
      <c r="H4" s="232">
        <f t="shared" si="0"/>
        <v>0.58649274175973398</v>
      </c>
      <c r="I4" s="232">
        <f t="shared" si="0"/>
        <v>0.51820985314572743</v>
      </c>
      <c r="J4" s="232">
        <f t="shared" si="0"/>
        <v>0.39851482203933941</v>
      </c>
      <c r="K4" s="232">
        <f t="shared" si="0"/>
        <v>0.39721885583099992</v>
      </c>
      <c r="L4" s="232">
        <f t="shared" si="0"/>
        <v>0.42782876402545655</v>
      </c>
      <c r="M4" s="232">
        <f t="shared" si="0"/>
        <v>0.40922319176602867</v>
      </c>
      <c r="N4" s="232">
        <f t="shared" si="0"/>
        <v>0.39683290880334038</v>
      </c>
      <c r="O4" s="232">
        <f t="shared" si="0"/>
        <v>0.39780167491307972</v>
      </c>
      <c r="P4" s="232">
        <f t="shared" si="0"/>
        <v>0.35965055434377224</v>
      </c>
      <c r="Q4" s="232">
        <f t="shared" si="0"/>
        <v>0.33223945070918742</v>
      </c>
      <c r="R4" s="232">
        <f t="shared" si="0"/>
        <v>0.43279723262271946</v>
      </c>
      <c r="S4" s="232">
        <f t="shared" si="0"/>
        <v>0.53910434468238666</v>
      </c>
      <c r="T4" s="232">
        <f t="shared" si="0"/>
        <v>0.54079966359019305</v>
      </c>
      <c r="U4" s="232">
        <f t="shared" si="0"/>
        <v>0.44890911259602523</v>
      </c>
      <c r="V4" s="232">
        <f t="shared" si="0"/>
        <v>0.47830877506022851</v>
      </c>
      <c r="W4" s="232">
        <f t="shared" si="0"/>
        <v>0.41408569520618344</v>
      </c>
      <c r="X4" s="232">
        <f t="shared" si="0"/>
        <v>0.32879906540403475</v>
      </c>
      <c r="Y4" s="232">
        <f t="shared" si="0"/>
        <v>0.24802148914994082</v>
      </c>
      <c r="Z4" s="232">
        <f t="shared" si="0"/>
        <v>0.27260926668295393</v>
      </c>
      <c r="AA4" s="232">
        <f t="shared" si="0"/>
        <v>0.31420018306503961</v>
      </c>
      <c r="AB4" s="232">
        <f t="shared" si="0"/>
        <v>0.93916158982141507</v>
      </c>
      <c r="AC4" s="232">
        <f t="shared" si="0"/>
        <v>0.33283896305936894</v>
      </c>
      <c r="AD4" s="232"/>
      <c r="AE4" s="232"/>
      <c r="AF4" s="232"/>
      <c r="AG4" s="232"/>
      <c r="AH4" s="232"/>
      <c r="AI4" s="232"/>
      <c r="AJ4" s="232"/>
      <c r="AK4" s="232"/>
      <c r="AL4" s="232"/>
      <c r="AM4" s="232"/>
      <c r="AN4" s="232"/>
      <c r="AO4" s="232"/>
      <c r="AP4" s="232"/>
      <c r="AQ4" s="232"/>
      <c r="AR4" s="232"/>
      <c r="AS4" s="232"/>
      <c r="AT4" s="232"/>
      <c r="AU4" s="232"/>
      <c r="AV4" s="232"/>
      <c r="AW4" s="232"/>
    </row>
    <row r="5" spans="1:49" ht="15" customHeight="1" x14ac:dyDescent="0.25">
      <c r="A5" s="450"/>
      <c r="B5" s="396" t="s">
        <v>2297</v>
      </c>
      <c r="C5" s="190"/>
      <c r="D5" s="206">
        <v>1230330</v>
      </c>
      <c r="E5" s="207">
        <v>3428967</v>
      </c>
      <c r="F5" s="207">
        <v>1591561</v>
      </c>
      <c r="G5" s="207">
        <v>756660</v>
      </c>
      <c r="H5" s="207">
        <v>142557</v>
      </c>
      <c r="I5" s="207">
        <v>609935</v>
      </c>
      <c r="J5" s="207">
        <v>1146555</v>
      </c>
      <c r="K5" s="207">
        <v>2252455</v>
      </c>
      <c r="L5" s="207">
        <v>1302055</v>
      </c>
      <c r="M5" s="208">
        <v>1153957</v>
      </c>
      <c r="N5" s="206">
        <v>1076637</v>
      </c>
      <c r="O5" s="207">
        <v>1705202</v>
      </c>
      <c r="P5" s="207">
        <v>1179018</v>
      </c>
      <c r="Q5" s="207">
        <v>1196978</v>
      </c>
      <c r="R5" s="207">
        <v>115758</v>
      </c>
      <c r="S5" s="207">
        <v>290100</v>
      </c>
      <c r="T5" s="207">
        <v>174552</v>
      </c>
      <c r="U5" s="207">
        <v>656871</v>
      </c>
      <c r="V5" s="207">
        <v>235242</v>
      </c>
      <c r="W5" s="207">
        <v>1833689</v>
      </c>
      <c r="X5" s="207">
        <v>1100633</v>
      </c>
      <c r="Y5" s="208">
        <v>941921</v>
      </c>
      <c r="Z5" s="206">
        <v>506174</v>
      </c>
      <c r="AA5" s="207">
        <v>582025</v>
      </c>
      <c r="AB5" s="207">
        <v>281223</v>
      </c>
      <c r="AC5" s="207">
        <v>215293</v>
      </c>
      <c r="AD5" s="207"/>
      <c r="AE5" s="207"/>
      <c r="AF5" s="207"/>
      <c r="AG5" s="207"/>
      <c r="AH5" s="207"/>
      <c r="AI5" s="207"/>
      <c r="AJ5" s="207"/>
      <c r="AK5" s="208"/>
      <c r="AL5" s="206"/>
      <c r="AM5" s="207"/>
      <c r="AN5" s="207"/>
      <c r="AO5" s="207"/>
      <c r="AP5" s="207"/>
      <c r="AQ5" s="207"/>
      <c r="AR5" s="207"/>
      <c r="AS5" s="207"/>
      <c r="AT5" s="207"/>
      <c r="AU5" s="207"/>
      <c r="AV5" s="207"/>
      <c r="AW5" s="208"/>
    </row>
    <row r="6" spans="1:49" ht="15" customHeight="1" x14ac:dyDescent="0.25">
      <c r="A6" s="450"/>
      <c r="B6" s="397"/>
      <c r="C6" s="191" t="s">
        <v>2286</v>
      </c>
      <c r="D6" s="232">
        <f>D5/D9</f>
        <v>0.18671994194112068</v>
      </c>
      <c r="E6" s="232">
        <f t="shared" ref="E6:AC6" si="1">E5/E9</f>
        <v>0.41962320924163848</v>
      </c>
      <c r="F6" s="232">
        <f t="shared" si="1"/>
        <v>0.27832336665507834</v>
      </c>
      <c r="G6" s="232">
        <f t="shared" si="1"/>
        <v>0.16879367156462627</v>
      </c>
      <c r="H6" s="232">
        <f t="shared" si="1"/>
        <v>3.6421371639938957E-2</v>
      </c>
      <c r="I6" s="232">
        <f t="shared" si="1"/>
        <v>0.12988162051615773</v>
      </c>
      <c r="J6" s="232">
        <f t="shared" si="1"/>
        <v>0.19485058319814258</v>
      </c>
      <c r="K6" s="232">
        <f t="shared" si="1"/>
        <v>0.24610098328730615</v>
      </c>
      <c r="L6" s="232">
        <f t="shared" si="1"/>
        <v>0.16556024453563012</v>
      </c>
      <c r="M6" s="232">
        <f t="shared" si="1"/>
        <v>0.13084498622788196</v>
      </c>
      <c r="N6" s="232">
        <f t="shared" si="1"/>
        <v>0.14438181468534939</v>
      </c>
      <c r="O6" s="232">
        <f t="shared" si="1"/>
        <v>0.22778908721632096</v>
      </c>
      <c r="P6" s="232">
        <f t="shared" si="1"/>
        <v>0.17766395804843868</v>
      </c>
      <c r="Q6" s="232">
        <f t="shared" si="1"/>
        <v>0.14165381561683324</v>
      </c>
      <c r="R6" s="232">
        <f t="shared" si="1"/>
        <v>3.5932571253322172E-2</v>
      </c>
      <c r="S6" s="232">
        <f t="shared" si="1"/>
        <v>9.6840774205436631E-2</v>
      </c>
      <c r="T6" s="232">
        <f t="shared" si="1"/>
        <v>5.5272029950099E-2</v>
      </c>
      <c r="U6" s="232">
        <f t="shared" si="1"/>
        <v>0.16670287308044676</v>
      </c>
      <c r="V6" s="232">
        <f t="shared" si="1"/>
        <v>5.7753084340538004E-2</v>
      </c>
      <c r="W6" s="232">
        <f t="shared" si="1"/>
        <v>0.23310630217098946</v>
      </c>
      <c r="X6" s="232">
        <f t="shared" si="1"/>
        <v>0.18535518974760218</v>
      </c>
      <c r="Y6" s="232">
        <f t="shared" si="1"/>
        <v>0.14687033146673864</v>
      </c>
      <c r="Z6" s="232">
        <f t="shared" si="1"/>
        <v>9.447124460779821E-2</v>
      </c>
      <c r="AA6" s="232">
        <f t="shared" si="1"/>
        <v>0.12182532547628622</v>
      </c>
      <c r="AB6" s="232">
        <f t="shared" si="1"/>
        <v>0.14625839018671905</v>
      </c>
      <c r="AC6" s="232">
        <f t="shared" si="1"/>
        <v>2.6314766620888323E-2</v>
      </c>
      <c r="AD6" s="232"/>
      <c r="AE6" s="232"/>
      <c r="AF6" s="232"/>
      <c r="AG6" s="232"/>
      <c r="AH6" s="232"/>
      <c r="AI6" s="232"/>
      <c r="AJ6" s="232"/>
      <c r="AK6" s="232"/>
      <c r="AL6" s="232"/>
      <c r="AM6" s="232"/>
      <c r="AN6" s="232"/>
      <c r="AO6" s="232"/>
      <c r="AP6" s="232"/>
      <c r="AQ6" s="232"/>
      <c r="AR6" s="232"/>
      <c r="AS6" s="232"/>
      <c r="AT6" s="232"/>
      <c r="AU6" s="232"/>
      <c r="AV6" s="232"/>
      <c r="AW6" s="232"/>
    </row>
    <row r="7" spans="1:49" ht="15.75" customHeight="1" x14ac:dyDescent="0.25">
      <c r="A7" s="450"/>
      <c r="B7" s="155" t="s">
        <v>2290</v>
      </c>
      <c r="C7" s="190"/>
      <c r="D7" s="206">
        <v>2077553</v>
      </c>
      <c r="E7" s="207">
        <v>2152484</v>
      </c>
      <c r="F7" s="207">
        <v>1690167</v>
      </c>
      <c r="G7" s="207">
        <v>1355449</v>
      </c>
      <c r="H7" s="207">
        <v>1475953</v>
      </c>
      <c r="I7" s="207">
        <v>1652592</v>
      </c>
      <c r="J7" s="207">
        <v>2392751</v>
      </c>
      <c r="K7" s="207">
        <v>3264538</v>
      </c>
      <c r="L7" s="209">
        <v>3197808</v>
      </c>
      <c r="M7" s="208">
        <v>4056262</v>
      </c>
      <c r="N7" s="206">
        <v>3421104</v>
      </c>
      <c r="O7" s="209">
        <v>2802783</v>
      </c>
      <c r="P7" s="209">
        <v>3070485</v>
      </c>
      <c r="Q7" s="207">
        <v>4445614</v>
      </c>
      <c r="R7" s="207">
        <v>1711505</v>
      </c>
      <c r="S7" s="207">
        <v>1090577</v>
      </c>
      <c r="T7" s="207">
        <v>1275627</v>
      </c>
      <c r="U7" s="207">
        <v>1514631</v>
      </c>
      <c r="V7" s="207">
        <v>1889730</v>
      </c>
      <c r="W7" s="207">
        <v>2775301</v>
      </c>
      <c r="X7" s="207">
        <v>2884936</v>
      </c>
      <c r="Y7" s="208">
        <v>3880730</v>
      </c>
      <c r="Z7" s="206">
        <v>3391163</v>
      </c>
      <c r="AA7" s="207">
        <v>2694409</v>
      </c>
      <c r="AB7" s="207">
        <v>2835756</v>
      </c>
      <c r="AC7" s="207">
        <v>5243053</v>
      </c>
      <c r="AD7" s="207"/>
      <c r="AE7" s="207"/>
      <c r="AF7" s="207"/>
      <c r="AG7" s="207"/>
      <c r="AH7" s="207"/>
      <c r="AI7" s="207"/>
      <c r="AJ7" s="207"/>
      <c r="AK7" s="208"/>
      <c r="AL7" s="206"/>
      <c r="AM7" s="207"/>
      <c r="AN7" s="207"/>
      <c r="AO7" s="207"/>
      <c r="AP7" s="207"/>
      <c r="AQ7" s="207"/>
      <c r="AR7" s="207"/>
      <c r="AS7" s="207"/>
      <c r="AT7" s="207"/>
      <c r="AU7" s="207"/>
      <c r="AV7" s="207"/>
      <c r="AW7" s="208"/>
    </row>
    <row r="8" spans="1:49" s="196" customFormat="1" ht="15.75" customHeight="1" thickBot="1" x14ac:dyDescent="0.3">
      <c r="A8" s="451"/>
      <c r="B8" s="222"/>
      <c r="C8" s="214" t="s">
        <v>2286</v>
      </c>
      <c r="D8" s="233">
        <f>D7/D9</f>
        <v>0.31529798959596295</v>
      </c>
      <c r="E8" s="233">
        <f t="shared" ref="E8:AC8" si="2">E7/E9</f>
        <v>0.26341234661088281</v>
      </c>
      <c r="F8" s="233">
        <f t="shared" si="2"/>
        <v>0.29556703742383345</v>
      </c>
      <c r="G8" s="233">
        <f t="shared" si="2"/>
        <v>0.3023699063365331</v>
      </c>
      <c r="H8" s="233">
        <f t="shared" si="2"/>
        <v>0.37708588660032705</v>
      </c>
      <c r="I8" s="233">
        <f t="shared" si="2"/>
        <v>0.35190852633811492</v>
      </c>
      <c r="J8" s="233">
        <f t="shared" si="2"/>
        <v>0.40663459476251801</v>
      </c>
      <c r="K8" s="233">
        <f t="shared" si="2"/>
        <v>0.35668016088169391</v>
      </c>
      <c r="L8" s="233">
        <f t="shared" si="2"/>
        <v>0.40661099143891333</v>
      </c>
      <c r="M8" s="233">
        <f t="shared" si="2"/>
        <v>0.4599318220060894</v>
      </c>
      <c r="N8" s="233">
        <f t="shared" si="2"/>
        <v>0.45878527651131024</v>
      </c>
      <c r="O8" s="233">
        <f t="shared" si="2"/>
        <v>0.37440923787059932</v>
      </c>
      <c r="P8" s="233">
        <f t="shared" si="2"/>
        <v>0.46268548760778905</v>
      </c>
      <c r="Q8" s="233">
        <f t="shared" si="2"/>
        <v>0.52610673367397931</v>
      </c>
      <c r="R8" s="233">
        <f t="shared" si="2"/>
        <v>0.53127019612395832</v>
      </c>
      <c r="S8" s="233">
        <f t="shared" si="2"/>
        <v>0.36405488111217671</v>
      </c>
      <c r="T8" s="233">
        <f t="shared" si="2"/>
        <v>0.40392830645970795</v>
      </c>
      <c r="U8" s="233">
        <f t="shared" si="2"/>
        <v>0.38438801432352798</v>
      </c>
      <c r="V8" s="233">
        <f t="shared" si="2"/>
        <v>0.4639381405992335</v>
      </c>
      <c r="W8" s="233">
        <f t="shared" si="2"/>
        <v>0.35280800262282713</v>
      </c>
      <c r="X8" s="233">
        <f t="shared" si="2"/>
        <v>0.48584574484836307</v>
      </c>
      <c r="Y8" s="233">
        <f t="shared" si="2"/>
        <v>0.60510817938332051</v>
      </c>
      <c r="Z8" s="233">
        <f t="shared" si="2"/>
        <v>0.63291948870924786</v>
      </c>
      <c r="AA8" s="233">
        <f t="shared" si="2"/>
        <v>0.56397449145867418</v>
      </c>
      <c r="AB8" s="233">
        <f t="shared" si="2"/>
        <v>1.4748192982875854</v>
      </c>
      <c r="AC8" s="233">
        <f t="shared" si="2"/>
        <v>0.64084627031974273</v>
      </c>
      <c r="AD8" s="233"/>
      <c r="AE8" s="233"/>
      <c r="AF8" s="233"/>
      <c r="AG8" s="233"/>
      <c r="AH8" s="233"/>
      <c r="AI8" s="233"/>
      <c r="AJ8" s="233"/>
      <c r="AK8" s="233"/>
      <c r="AL8" s="233"/>
      <c r="AM8" s="233"/>
      <c r="AN8" s="233"/>
      <c r="AO8" s="233"/>
      <c r="AP8" s="233"/>
      <c r="AQ8" s="233"/>
      <c r="AR8" s="233"/>
      <c r="AS8" s="233"/>
      <c r="AT8" s="233"/>
      <c r="AU8" s="233"/>
      <c r="AV8" s="233"/>
      <c r="AW8" s="233"/>
    </row>
    <row r="9" spans="1:49" s="231" customFormat="1" ht="19.5" thickBot="1" x14ac:dyDescent="0.35">
      <c r="A9" s="240" t="s">
        <v>2284</v>
      </c>
      <c r="B9" s="5"/>
      <c r="C9" s="227"/>
      <c r="D9" s="228">
        <v>6589173</v>
      </c>
      <c r="E9" s="229">
        <v>8171538</v>
      </c>
      <c r="F9" s="229">
        <v>5718388</v>
      </c>
      <c r="G9" s="229">
        <v>4482751</v>
      </c>
      <c r="H9" s="229">
        <v>3914103</v>
      </c>
      <c r="I9" s="229">
        <v>4696084</v>
      </c>
      <c r="J9" s="229">
        <v>5884278</v>
      </c>
      <c r="K9" s="229">
        <v>9152564</v>
      </c>
      <c r="L9" s="229">
        <v>7864539</v>
      </c>
      <c r="M9" s="230">
        <v>8819268</v>
      </c>
      <c r="N9" s="228">
        <v>7456874</v>
      </c>
      <c r="O9" s="229">
        <v>7485881</v>
      </c>
      <c r="P9" s="229">
        <v>6636225</v>
      </c>
      <c r="Q9" s="229">
        <v>8450023</v>
      </c>
      <c r="R9" s="229">
        <v>3221534</v>
      </c>
      <c r="S9" s="229">
        <v>2995639</v>
      </c>
      <c r="T9" s="229">
        <v>3158053</v>
      </c>
      <c r="U9" s="229">
        <v>3940370</v>
      </c>
      <c r="V9" s="229">
        <v>4073237</v>
      </c>
      <c r="W9" s="229">
        <v>7866321</v>
      </c>
      <c r="X9" s="229">
        <v>5937967</v>
      </c>
      <c r="Y9" s="230">
        <v>6413283</v>
      </c>
      <c r="Z9" s="228">
        <v>5357969</v>
      </c>
      <c r="AA9" s="229">
        <v>4777537</v>
      </c>
      <c r="AB9" s="229">
        <v>1922782</v>
      </c>
      <c r="AC9" s="229">
        <v>8181452</v>
      </c>
      <c r="AD9" s="229"/>
      <c r="AE9" s="229"/>
      <c r="AF9" s="229"/>
      <c r="AG9" s="229"/>
      <c r="AH9" s="229"/>
      <c r="AI9" s="229"/>
      <c r="AJ9" s="229"/>
      <c r="AK9" s="230"/>
      <c r="AL9" s="228"/>
      <c r="AM9" s="229"/>
      <c r="AN9" s="229"/>
      <c r="AO9" s="229"/>
      <c r="AP9" s="229"/>
      <c r="AQ9" s="229"/>
      <c r="AR9" s="229"/>
      <c r="AS9" s="229"/>
      <c r="AT9" s="229"/>
      <c r="AU9" s="229"/>
      <c r="AV9" s="229"/>
      <c r="AW9" s="230"/>
    </row>
    <row r="10" spans="1:49" s="213" customFormat="1" x14ac:dyDescent="0.25">
      <c r="A10" s="453" t="s">
        <v>2285</v>
      </c>
      <c r="B10" s="11"/>
      <c r="C10" s="211"/>
      <c r="D10" s="212">
        <v>4897959</v>
      </c>
      <c r="E10" s="220">
        <v>6675911</v>
      </c>
      <c r="F10" s="220">
        <v>4480236</v>
      </c>
      <c r="G10" s="220">
        <v>3368421</v>
      </c>
      <c r="H10" s="220">
        <v>2860236</v>
      </c>
      <c r="I10" s="220">
        <v>3625867</v>
      </c>
      <c r="J10" s="220">
        <v>4507566</v>
      </c>
      <c r="K10" s="220">
        <v>7176048</v>
      </c>
      <c r="L10" s="226">
        <v>6109551</v>
      </c>
      <c r="M10" s="221">
        <v>6803738</v>
      </c>
      <c r="N10" s="212">
        <v>5797166</v>
      </c>
      <c r="O10" s="226">
        <v>5981441</v>
      </c>
      <c r="P10" s="226">
        <v>5348599</v>
      </c>
      <c r="Q10" s="220">
        <v>6490399</v>
      </c>
      <c r="R10" s="220">
        <v>2405950</v>
      </c>
      <c r="S10" s="220">
        <v>2139877</v>
      </c>
      <c r="T10" s="220">
        <v>2239311</v>
      </c>
      <c r="U10" s="220">
        <v>3077566</v>
      </c>
      <c r="V10" s="220">
        <v>3102678</v>
      </c>
      <c r="W10" s="220">
        <v>6401676</v>
      </c>
      <c r="X10" s="220">
        <v>4475465</v>
      </c>
      <c r="Y10" s="221">
        <v>4735890</v>
      </c>
      <c r="Z10" s="212">
        <v>3901303</v>
      </c>
      <c r="AA10" s="220">
        <v>3631884</v>
      </c>
      <c r="AB10" s="220">
        <v>3575626</v>
      </c>
      <c r="AC10" s="220">
        <v>5974365</v>
      </c>
      <c r="AD10" s="220"/>
      <c r="AE10" s="220"/>
      <c r="AF10" s="220"/>
      <c r="AG10" s="220"/>
      <c r="AH10" s="220"/>
      <c r="AI10" s="220"/>
      <c r="AJ10" s="220"/>
      <c r="AK10" s="221"/>
      <c r="AL10" s="212"/>
      <c r="AM10" s="220"/>
      <c r="AN10" s="220"/>
      <c r="AO10" s="220"/>
      <c r="AP10" s="220"/>
      <c r="AQ10" s="220"/>
      <c r="AR10" s="220"/>
      <c r="AS10" s="220"/>
      <c r="AT10" s="220"/>
      <c r="AU10" s="220"/>
      <c r="AV10" s="220"/>
      <c r="AW10" s="221"/>
    </row>
    <row r="11" spans="1:49" s="196" customFormat="1" ht="15.75" thickBot="1" x14ac:dyDescent="0.3">
      <c r="A11" s="454"/>
      <c r="B11" s="222" t="s">
        <v>2286</v>
      </c>
      <c r="C11" s="223"/>
      <c r="D11" s="233">
        <f>D10/D9</f>
        <v>0.74333440630561676</v>
      </c>
      <c r="E11" s="233">
        <f t="shared" ref="E11:AC11" si="3">E10/E9</f>
        <v>0.81697117482657489</v>
      </c>
      <c r="F11" s="233">
        <f t="shared" si="3"/>
        <v>0.78347884054037609</v>
      </c>
      <c r="G11" s="233">
        <f t="shared" si="3"/>
        <v>0.75141826971875081</v>
      </c>
      <c r="H11" s="233">
        <f t="shared" si="3"/>
        <v>0.73075133689634642</v>
      </c>
      <c r="I11" s="233">
        <f t="shared" si="3"/>
        <v>0.77210437462362258</v>
      </c>
      <c r="J11" s="233">
        <f t="shared" si="3"/>
        <v>0.76603552721336421</v>
      </c>
      <c r="K11" s="233">
        <f t="shared" si="3"/>
        <v>0.78404783621289076</v>
      </c>
      <c r="L11" s="233">
        <f t="shared" si="3"/>
        <v>0.77684795001970242</v>
      </c>
      <c r="M11" s="233">
        <f t="shared" si="3"/>
        <v>0.77146289238517296</v>
      </c>
      <c r="N11" s="233">
        <f t="shared" si="3"/>
        <v>0.7774257684922663</v>
      </c>
      <c r="O11" s="233">
        <f t="shared" si="3"/>
        <v>0.79902966664845465</v>
      </c>
      <c r="P11" s="233">
        <f t="shared" si="3"/>
        <v>0.80597011101944249</v>
      </c>
      <c r="Q11" s="233">
        <f t="shared" si="3"/>
        <v>0.76809246554713517</v>
      </c>
      <c r="R11" s="233">
        <f t="shared" si="3"/>
        <v>0.74683365129779788</v>
      </c>
      <c r="S11" s="233">
        <f t="shared" si="3"/>
        <v>0.7143307321075737</v>
      </c>
      <c r="T11" s="233">
        <f t="shared" si="3"/>
        <v>0.70907961329338043</v>
      </c>
      <c r="U11" s="233">
        <f t="shared" si="3"/>
        <v>0.78103477592205806</v>
      </c>
      <c r="V11" s="233">
        <f t="shared" si="3"/>
        <v>0.76172292454379653</v>
      </c>
      <c r="W11" s="233">
        <f t="shared" si="3"/>
        <v>0.81380813216241743</v>
      </c>
      <c r="X11" s="233">
        <f t="shared" si="3"/>
        <v>0.75370324557209567</v>
      </c>
      <c r="Y11" s="233">
        <f t="shared" si="3"/>
        <v>0.73845018222336356</v>
      </c>
      <c r="Z11" s="233">
        <f t="shared" si="3"/>
        <v>0.72813093916743454</v>
      </c>
      <c r="AA11" s="233">
        <f t="shared" si="3"/>
        <v>0.7602000779899768</v>
      </c>
      <c r="AB11" s="233">
        <f t="shared" si="3"/>
        <v>1.85961070989847</v>
      </c>
      <c r="AC11" s="233">
        <f t="shared" si="3"/>
        <v>0.73023284864349258</v>
      </c>
      <c r="AD11" s="233"/>
      <c r="AE11" s="233"/>
      <c r="AF11" s="233"/>
      <c r="AG11" s="233"/>
      <c r="AH11" s="233"/>
      <c r="AI11" s="233"/>
      <c r="AJ11" s="233"/>
      <c r="AK11" s="233"/>
      <c r="AL11" s="233"/>
      <c r="AM11" s="233"/>
      <c r="AN11" s="233"/>
      <c r="AO11" s="233"/>
      <c r="AP11" s="233"/>
      <c r="AQ11" s="233"/>
      <c r="AR11" s="233"/>
      <c r="AS11" s="233"/>
      <c r="AT11" s="233"/>
      <c r="AU11" s="233"/>
      <c r="AV11" s="233"/>
      <c r="AW11" s="233"/>
    </row>
    <row r="12" spans="1:49" s="213" customFormat="1" x14ac:dyDescent="0.25">
      <c r="A12" s="453" t="s">
        <v>2287</v>
      </c>
      <c r="B12" s="11"/>
      <c r="C12" s="211"/>
      <c r="D12" s="212">
        <v>2394622</v>
      </c>
      <c r="E12" s="220">
        <v>2372641</v>
      </c>
      <c r="F12" s="220">
        <v>2061635</v>
      </c>
      <c r="G12" s="220">
        <v>1897244</v>
      </c>
      <c r="H12" s="220">
        <v>1889450</v>
      </c>
      <c r="I12" s="220">
        <v>1956027</v>
      </c>
      <c r="J12" s="220">
        <v>2209339</v>
      </c>
      <c r="K12" s="220">
        <v>3257973</v>
      </c>
      <c r="L12" s="226">
        <v>2905242</v>
      </c>
      <c r="M12" s="221">
        <v>3300720</v>
      </c>
      <c r="N12" s="212">
        <v>3122036</v>
      </c>
      <c r="O12" s="226">
        <v>2900469</v>
      </c>
      <c r="P12" s="220">
        <v>2692906</v>
      </c>
      <c r="Q12" s="220">
        <v>3229785</v>
      </c>
      <c r="R12" s="220">
        <v>2120560</v>
      </c>
      <c r="S12" s="220">
        <v>2000702</v>
      </c>
      <c r="T12" s="220">
        <v>2068849</v>
      </c>
      <c r="U12" s="220">
        <v>2001303</v>
      </c>
      <c r="V12" s="220">
        <v>2024425</v>
      </c>
      <c r="W12" s="220">
        <v>2540825</v>
      </c>
      <c r="X12" s="220">
        <v>2525043</v>
      </c>
      <c r="Y12" s="221">
        <v>2925167</v>
      </c>
      <c r="Z12" s="212">
        <v>2628631</v>
      </c>
      <c r="AA12" s="220">
        <v>2382055</v>
      </c>
      <c r="AB12" s="220">
        <v>2398788</v>
      </c>
      <c r="AC12" s="220">
        <v>3231348</v>
      </c>
      <c r="AD12" s="220"/>
      <c r="AE12" s="220"/>
      <c r="AF12" s="220"/>
      <c r="AG12" s="220"/>
      <c r="AH12" s="220"/>
      <c r="AI12" s="220"/>
      <c r="AJ12" s="220"/>
      <c r="AK12" s="221"/>
      <c r="AL12" s="212"/>
      <c r="AM12" s="220"/>
      <c r="AN12" s="220"/>
      <c r="AO12" s="220"/>
      <c r="AP12" s="220"/>
      <c r="AQ12" s="220"/>
      <c r="AR12" s="220"/>
      <c r="AS12" s="220"/>
      <c r="AT12" s="220"/>
      <c r="AU12" s="220"/>
      <c r="AV12" s="220"/>
      <c r="AW12" s="221"/>
    </row>
    <row r="13" spans="1:49" s="196" customFormat="1" ht="15.75" thickBot="1" x14ac:dyDescent="0.3">
      <c r="A13" s="454"/>
      <c r="B13" s="222" t="s">
        <v>2286</v>
      </c>
      <c r="C13" s="223"/>
      <c r="D13" s="233">
        <f>D12/D9</f>
        <v>0.36341768534533847</v>
      </c>
      <c r="E13" s="233">
        <f t="shared" ref="E13:AC13" si="4">E12/E9</f>
        <v>0.29035427602490499</v>
      </c>
      <c r="F13" s="233">
        <f t="shared" si="4"/>
        <v>0.36052730244957143</v>
      </c>
      <c r="G13" s="233">
        <f t="shared" si="4"/>
        <v>0.42323207334067853</v>
      </c>
      <c r="H13" s="233">
        <f t="shared" si="4"/>
        <v>0.48272873759326212</v>
      </c>
      <c r="I13" s="233">
        <f t="shared" si="4"/>
        <v>0.41652300086625366</v>
      </c>
      <c r="J13" s="233">
        <f t="shared" si="4"/>
        <v>0.37546475540414642</v>
      </c>
      <c r="K13" s="233">
        <f t="shared" si="4"/>
        <v>0.35596287553957556</v>
      </c>
      <c r="L13" s="233">
        <f t="shared" si="4"/>
        <v>0.36941033670250728</v>
      </c>
      <c r="M13" s="233">
        <f t="shared" si="4"/>
        <v>0.37426235374636535</v>
      </c>
      <c r="N13" s="233">
        <f t="shared" si="4"/>
        <v>0.41867892631684539</v>
      </c>
      <c r="O13" s="233">
        <f t="shared" si="4"/>
        <v>0.38745860373682134</v>
      </c>
      <c r="P13" s="233">
        <f t="shared" si="4"/>
        <v>0.40578883325987292</v>
      </c>
      <c r="Q13" s="233">
        <f t="shared" si="4"/>
        <v>0.38222203655540343</v>
      </c>
      <c r="R13" s="233">
        <f t="shared" si="4"/>
        <v>0.65824541972861372</v>
      </c>
      <c r="S13" s="233">
        <f t="shared" si="4"/>
        <v>0.66787152924634774</v>
      </c>
      <c r="T13" s="233">
        <f t="shared" si="4"/>
        <v>0.6551026851037649</v>
      </c>
      <c r="U13" s="233">
        <f t="shared" si="4"/>
        <v>0.50789722792529635</v>
      </c>
      <c r="V13" s="233">
        <f t="shared" si="4"/>
        <v>0.49700643493123531</v>
      </c>
      <c r="W13" s="233">
        <f t="shared" si="4"/>
        <v>0.3230004216710709</v>
      </c>
      <c r="X13" s="233">
        <f t="shared" si="4"/>
        <v>0.42523695399452371</v>
      </c>
      <c r="Y13" s="233">
        <f t="shared" si="4"/>
        <v>0.4561107002451007</v>
      </c>
      <c r="Z13" s="233">
        <f t="shared" si="4"/>
        <v>0.49060212927697044</v>
      </c>
      <c r="AA13" s="233">
        <f t="shared" si="4"/>
        <v>0.49859477802055746</v>
      </c>
      <c r="AB13" s="233">
        <f t="shared" si="4"/>
        <v>1.2475610859681441</v>
      </c>
      <c r="AC13" s="233">
        <f t="shared" si="4"/>
        <v>0.39496020999695408</v>
      </c>
      <c r="AD13" s="233"/>
      <c r="AE13" s="233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233"/>
      <c r="AQ13" s="233"/>
      <c r="AR13" s="233"/>
      <c r="AS13" s="233"/>
      <c r="AT13" s="233"/>
      <c r="AU13" s="233"/>
      <c r="AV13" s="233"/>
      <c r="AW13" s="233"/>
    </row>
    <row r="14" spans="1:49" s="231" customFormat="1" ht="19.5" thickBot="1" x14ac:dyDescent="0.35">
      <c r="A14" s="240" t="s">
        <v>2288</v>
      </c>
      <c r="B14" s="241" t="s">
        <v>2347</v>
      </c>
      <c r="C14" s="227"/>
      <c r="D14" s="228">
        <v>1688214</v>
      </c>
      <c r="E14" s="229">
        <v>1495627</v>
      </c>
      <c r="F14" s="229">
        <v>1238152</v>
      </c>
      <c r="G14" s="229">
        <v>1114330</v>
      </c>
      <c r="H14" s="229">
        <v>1053867</v>
      </c>
      <c r="I14" s="229">
        <v>1070217</v>
      </c>
      <c r="J14" s="229">
        <v>1376712</v>
      </c>
      <c r="K14" s="229">
        <v>1976516</v>
      </c>
      <c r="L14" s="229">
        <v>1754988</v>
      </c>
      <c r="M14" s="230">
        <v>2015530</v>
      </c>
      <c r="N14" s="228">
        <v>1659708</v>
      </c>
      <c r="O14" s="242">
        <v>1504440</v>
      </c>
      <c r="P14" s="229">
        <v>1287626</v>
      </c>
      <c r="Q14" s="229">
        <v>1959624</v>
      </c>
      <c r="R14" s="229">
        <v>815584</v>
      </c>
      <c r="S14" s="229">
        <v>855762</v>
      </c>
      <c r="T14" s="229">
        <v>918742</v>
      </c>
      <c r="U14" s="229">
        <v>862804</v>
      </c>
      <c r="V14" s="229">
        <v>970559</v>
      </c>
      <c r="W14" s="229">
        <v>1464645</v>
      </c>
      <c r="X14" s="229">
        <v>1462502</v>
      </c>
      <c r="Y14" s="230">
        <v>1677393</v>
      </c>
      <c r="Z14" s="228">
        <v>1456666</v>
      </c>
      <c r="AA14" s="229">
        <v>1145653</v>
      </c>
      <c r="AB14" s="229">
        <v>1347156</v>
      </c>
      <c r="AC14" s="229">
        <v>2207087</v>
      </c>
      <c r="AD14" s="229"/>
      <c r="AE14" s="229"/>
      <c r="AF14" s="229"/>
      <c r="AG14" s="229"/>
      <c r="AH14" s="229"/>
      <c r="AI14" s="229"/>
      <c r="AJ14" s="229"/>
      <c r="AK14" s="230"/>
      <c r="AL14" s="228"/>
      <c r="AM14" s="229"/>
      <c r="AN14" s="229"/>
      <c r="AO14" s="229"/>
      <c r="AP14" s="229"/>
      <c r="AQ14" s="229"/>
      <c r="AR14" s="229"/>
      <c r="AS14" s="229"/>
      <c r="AT14" s="229"/>
      <c r="AU14" s="229"/>
      <c r="AV14" s="229"/>
      <c r="AW14" s="230"/>
    </row>
    <row r="15" spans="1:49" s="213" customFormat="1" x14ac:dyDescent="0.25">
      <c r="A15" s="453" t="s">
        <v>2289</v>
      </c>
      <c r="B15" s="224"/>
      <c r="C15" s="225"/>
      <c r="D15" s="212">
        <v>978729</v>
      </c>
      <c r="E15" s="220">
        <v>936354</v>
      </c>
      <c r="F15" s="220">
        <v>741683</v>
      </c>
      <c r="G15" s="220">
        <v>610730</v>
      </c>
      <c r="H15" s="220">
        <v>571965</v>
      </c>
      <c r="I15" s="220">
        <v>613579</v>
      </c>
      <c r="J15" s="220">
        <v>902234</v>
      </c>
      <c r="K15" s="220">
        <v>1361990</v>
      </c>
      <c r="L15" s="220">
        <v>1317354</v>
      </c>
      <c r="M15" s="221">
        <v>1584640</v>
      </c>
      <c r="N15" s="212">
        <v>1460088</v>
      </c>
      <c r="O15" s="226">
        <v>1273980</v>
      </c>
      <c r="P15" s="220">
        <v>1134757</v>
      </c>
      <c r="Q15" s="220">
        <v>1584961</v>
      </c>
      <c r="R15" s="220">
        <v>393079</v>
      </c>
      <c r="S15" s="220">
        <v>613283</v>
      </c>
      <c r="T15" s="220">
        <v>631681</v>
      </c>
      <c r="U15" s="220">
        <v>631418</v>
      </c>
      <c r="V15" s="220">
        <v>697925</v>
      </c>
      <c r="W15" s="220">
        <v>948157</v>
      </c>
      <c r="X15" s="220">
        <v>675025</v>
      </c>
      <c r="Y15" s="221">
        <v>1183691</v>
      </c>
      <c r="Z15" s="212">
        <v>1049970</v>
      </c>
      <c r="AA15" s="220">
        <v>905943</v>
      </c>
      <c r="AB15" s="220">
        <v>896833</v>
      </c>
      <c r="AC15" s="220">
        <v>1587676</v>
      </c>
      <c r="AD15" s="220"/>
      <c r="AE15" s="220"/>
      <c r="AF15" s="220"/>
      <c r="AG15" s="220"/>
      <c r="AH15" s="220"/>
      <c r="AI15" s="220"/>
      <c r="AJ15" s="220"/>
      <c r="AK15" s="221"/>
      <c r="AL15" s="212"/>
      <c r="AM15" s="220"/>
      <c r="AN15" s="220"/>
      <c r="AO15" s="220"/>
      <c r="AP15" s="220"/>
      <c r="AQ15" s="220"/>
      <c r="AR15" s="220"/>
      <c r="AS15" s="220"/>
      <c r="AT15" s="220"/>
      <c r="AU15" s="220"/>
      <c r="AV15" s="220"/>
      <c r="AW15" s="221"/>
    </row>
    <row r="16" spans="1:49" x14ac:dyDescent="0.25">
      <c r="A16" s="455"/>
      <c r="B16" s="148" t="s">
        <v>2350</v>
      </c>
      <c r="C16" s="192"/>
      <c r="D16" s="232">
        <f>D15/D12</f>
        <v>0.40871962255420691</v>
      </c>
      <c r="E16" s="232">
        <f t="shared" ref="E16:AC16" si="5">E15/E12</f>
        <v>0.39464630342306317</v>
      </c>
      <c r="F16" s="232">
        <f t="shared" si="5"/>
        <v>0.35975475775294852</v>
      </c>
      <c r="G16" s="232">
        <f t="shared" si="5"/>
        <v>0.32190377199769771</v>
      </c>
      <c r="H16" s="232">
        <f t="shared" si="5"/>
        <v>0.30271507581571355</v>
      </c>
      <c r="I16" s="232">
        <f t="shared" si="5"/>
        <v>0.31368636527000904</v>
      </c>
      <c r="J16" s="232">
        <f t="shared" si="5"/>
        <v>0.40837282101117123</v>
      </c>
      <c r="K16" s="232">
        <f t="shared" si="5"/>
        <v>0.41804827725705523</v>
      </c>
      <c r="L16" s="232">
        <f t="shared" si="5"/>
        <v>0.45344036744615424</v>
      </c>
      <c r="M16" s="232">
        <f t="shared" si="5"/>
        <v>0.4800891926609952</v>
      </c>
      <c r="N16" s="232">
        <f t="shared" si="5"/>
        <v>0.46767173728938422</v>
      </c>
      <c r="O16" s="232">
        <f t="shared" si="5"/>
        <v>0.43923241379239014</v>
      </c>
      <c r="P16" s="232">
        <f t="shared" si="5"/>
        <v>0.42138752708041055</v>
      </c>
      <c r="Q16" s="232">
        <f t="shared" si="5"/>
        <v>0.49073266486778533</v>
      </c>
      <c r="R16" s="232">
        <f t="shared" si="5"/>
        <v>0.18536565812804165</v>
      </c>
      <c r="S16" s="232">
        <f t="shared" si="5"/>
        <v>0.30653390659878382</v>
      </c>
      <c r="T16" s="232">
        <f t="shared" si="5"/>
        <v>0.30532967848305992</v>
      </c>
      <c r="U16" s="232">
        <f t="shared" si="5"/>
        <v>0.31550344950264902</v>
      </c>
      <c r="V16" s="232">
        <f t="shared" si="5"/>
        <v>0.34475221359151365</v>
      </c>
      <c r="W16" s="232">
        <f t="shared" si="5"/>
        <v>0.37316895102968523</v>
      </c>
      <c r="X16" s="232">
        <f t="shared" si="5"/>
        <v>0.26733208107743117</v>
      </c>
      <c r="Y16" s="232">
        <f t="shared" si="5"/>
        <v>0.40465758023388065</v>
      </c>
      <c r="Z16" s="232">
        <f t="shared" si="5"/>
        <v>0.39943605625894241</v>
      </c>
      <c r="AA16" s="232">
        <f t="shared" si="5"/>
        <v>0.38031993383863932</v>
      </c>
      <c r="AB16" s="232">
        <f t="shared" si="5"/>
        <v>0.37386922062308131</v>
      </c>
      <c r="AC16" s="232">
        <f t="shared" si="5"/>
        <v>0.49133550456342057</v>
      </c>
      <c r="AD16" s="232"/>
      <c r="AE16" s="232"/>
      <c r="AF16" s="232"/>
      <c r="AG16" s="232"/>
      <c r="AH16" s="232"/>
      <c r="AI16" s="232"/>
      <c r="AJ16" s="232"/>
      <c r="AK16" s="232"/>
      <c r="AL16" s="232"/>
      <c r="AM16" s="232"/>
      <c r="AN16" s="232"/>
      <c r="AO16" s="232"/>
      <c r="AP16" s="232"/>
      <c r="AQ16" s="232"/>
      <c r="AR16" s="232"/>
      <c r="AS16" s="232"/>
      <c r="AT16" s="232"/>
      <c r="AU16" s="232"/>
      <c r="AV16" s="232"/>
      <c r="AW16" s="232"/>
    </row>
    <row r="17" spans="1:49" s="196" customFormat="1" ht="15.75" thickBot="1" x14ac:dyDescent="0.3">
      <c r="A17" s="454"/>
      <c r="B17" s="222" t="s">
        <v>2349</v>
      </c>
      <c r="C17" s="214"/>
      <c r="D17" s="233">
        <f>D15/D14</f>
        <v>0.57974226016369967</v>
      </c>
      <c r="E17" s="233">
        <f t="shared" ref="E17:AC17" si="6">E15/E14</f>
        <v>0.62606117701806663</v>
      </c>
      <c r="F17" s="233">
        <f t="shared" si="6"/>
        <v>0.59902419089094072</v>
      </c>
      <c r="G17" s="233">
        <f t="shared" si="6"/>
        <v>0.5480692434018648</v>
      </c>
      <c r="H17" s="233">
        <f t="shared" si="6"/>
        <v>0.54272977519933729</v>
      </c>
      <c r="I17" s="233">
        <f t="shared" si="6"/>
        <v>0.5733220459028403</v>
      </c>
      <c r="J17" s="233">
        <f t="shared" si="6"/>
        <v>0.65535420625374075</v>
      </c>
      <c r="K17" s="233">
        <f t="shared" si="6"/>
        <v>0.68908625075638141</v>
      </c>
      <c r="L17" s="233">
        <f t="shared" si="6"/>
        <v>0.75063419237054607</v>
      </c>
      <c r="M17" s="233">
        <f t="shared" si="6"/>
        <v>0.78621504021274802</v>
      </c>
      <c r="N17" s="233">
        <f t="shared" si="6"/>
        <v>0.87972583129080539</v>
      </c>
      <c r="O17" s="233">
        <f t="shared" si="6"/>
        <v>0.84681343224056793</v>
      </c>
      <c r="P17" s="233">
        <f t="shared" si="6"/>
        <v>0.88127841469495027</v>
      </c>
      <c r="Q17" s="233">
        <f t="shared" si="6"/>
        <v>0.80880873065445202</v>
      </c>
      <c r="R17" s="233">
        <f t="shared" si="6"/>
        <v>0.48196016596696356</v>
      </c>
      <c r="S17" s="233">
        <f t="shared" si="6"/>
        <v>0.71665135867215413</v>
      </c>
      <c r="T17" s="233">
        <f t="shared" si="6"/>
        <v>0.68754993240757467</v>
      </c>
      <c r="U17" s="233">
        <f t="shared" si="6"/>
        <v>0.73182090022762991</v>
      </c>
      <c r="V17" s="233">
        <f t="shared" si="6"/>
        <v>0.71909590246445609</v>
      </c>
      <c r="W17" s="233">
        <f t="shared" si="6"/>
        <v>0.64736301288025422</v>
      </c>
      <c r="X17" s="233">
        <f t="shared" si="6"/>
        <v>0.46155492436933421</v>
      </c>
      <c r="Y17" s="233">
        <f t="shared" si="6"/>
        <v>0.7056730295166368</v>
      </c>
      <c r="Z17" s="233">
        <f t="shared" si="6"/>
        <v>0.72080353354852789</v>
      </c>
      <c r="AA17" s="233">
        <f t="shared" si="6"/>
        <v>0.79076561576672866</v>
      </c>
      <c r="AB17" s="233">
        <f t="shared" si="6"/>
        <v>0.66572319761037324</v>
      </c>
      <c r="AC17" s="233">
        <f t="shared" si="6"/>
        <v>0.71935360953147742</v>
      </c>
      <c r="AD17" s="233"/>
      <c r="AE17" s="233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233"/>
      <c r="AQ17" s="233"/>
      <c r="AR17" s="233"/>
      <c r="AS17" s="233"/>
      <c r="AT17" s="233"/>
      <c r="AU17" s="233"/>
      <c r="AV17" s="233"/>
      <c r="AW17" s="233"/>
    </row>
    <row r="18" spans="1:49" s="213" customFormat="1" x14ac:dyDescent="0.25">
      <c r="A18" s="449" t="s">
        <v>2290</v>
      </c>
      <c r="B18" s="215"/>
      <c r="C18" s="216"/>
      <c r="D18" s="212">
        <f>SUM(D20,D22,D24)</f>
        <v>314029</v>
      </c>
      <c r="E18" s="212">
        <f t="shared" ref="E18:AW18" si="7">SUM(E20,E22,E24)</f>
        <v>268168</v>
      </c>
      <c r="F18" s="212">
        <f t="shared" si="7"/>
        <v>173648</v>
      </c>
      <c r="G18" s="212">
        <f t="shared" si="7"/>
        <v>100206</v>
      </c>
      <c r="H18" s="212">
        <f t="shared" si="7"/>
        <v>88616</v>
      </c>
      <c r="I18" s="212">
        <f t="shared" si="7"/>
        <v>58337</v>
      </c>
      <c r="J18" s="212">
        <f t="shared" si="7"/>
        <v>54457</v>
      </c>
      <c r="K18" s="238">
        <f t="shared" si="7"/>
        <v>69131</v>
      </c>
      <c r="L18" s="238">
        <v>10013</v>
      </c>
      <c r="M18" s="239">
        <f t="shared" si="7"/>
        <v>-20312</v>
      </c>
      <c r="N18" s="239">
        <f t="shared" si="7"/>
        <v>-85286</v>
      </c>
      <c r="O18" s="239">
        <f t="shared" si="7"/>
        <v>-101119</v>
      </c>
      <c r="P18" s="239">
        <f t="shared" si="7"/>
        <v>-45855</v>
      </c>
      <c r="Q18" s="239">
        <f t="shared" si="7"/>
        <v>-45526</v>
      </c>
      <c r="R18" s="239">
        <f t="shared" si="7"/>
        <v>-27656</v>
      </c>
      <c r="S18" s="239">
        <f t="shared" si="7"/>
        <v>-11826</v>
      </c>
      <c r="T18" s="239">
        <f t="shared" si="7"/>
        <v>-9141</v>
      </c>
      <c r="U18" s="239">
        <f t="shared" si="7"/>
        <v>-27668</v>
      </c>
      <c r="V18" s="212">
        <f t="shared" si="7"/>
        <v>101710</v>
      </c>
      <c r="W18" s="212">
        <f t="shared" si="7"/>
        <v>160043</v>
      </c>
      <c r="X18" s="212">
        <f t="shared" si="7"/>
        <v>226924</v>
      </c>
      <c r="Y18" s="212">
        <f t="shared" si="7"/>
        <v>314056</v>
      </c>
      <c r="Z18" s="212">
        <f t="shared" si="7"/>
        <v>277057</v>
      </c>
      <c r="AA18" s="212">
        <f t="shared" si="7"/>
        <v>230169</v>
      </c>
      <c r="AB18" s="212">
        <f t="shared" si="7"/>
        <v>237386</v>
      </c>
      <c r="AC18" s="212">
        <f t="shared" si="7"/>
        <v>422462</v>
      </c>
      <c r="AD18" s="212">
        <f t="shared" si="7"/>
        <v>0</v>
      </c>
      <c r="AE18" s="212">
        <f t="shared" si="7"/>
        <v>0</v>
      </c>
      <c r="AF18" s="212">
        <f t="shared" si="7"/>
        <v>0</v>
      </c>
      <c r="AG18" s="212">
        <f t="shared" si="7"/>
        <v>0</v>
      </c>
      <c r="AH18" s="212">
        <f t="shared" si="7"/>
        <v>0</v>
      </c>
      <c r="AI18" s="212">
        <f t="shared" si="7"/>
        <v>0</v>
      </c>
      <c r="AJ18" s="212">
        <f t="shared" si="7"/>
        <v>0</v>
      </c>
      <c r="AK18" s="212">
        <f t="shared" si="7"/>
        <v>0</v>
      </c>
      <c r="AL18" s="212">
        <f t="shared" si="7"/>
        <v>0</v>
      </c>
      <c r="AM18" s="212">
        <f t="shared" si="7"/>
        <v>0</v>
      </c>
      <c r="AN18" s="212">
        <f t="shared" si="7"/>
        <v>0</v>
      </c>
      <c r="AO18" s="212">
        <f t="shared" si="7"/>
        <v>0</v>
      </c>
      <c r="AP18" s="212">
        <f t="shared" si="7"/>
        <v>0</v>
      </c>
      <c r="AQ18" s="212">
        <f t="shared" si="7"/>
        <v>0</v>
      </c>
      <c r="AR18" s="212">
        <f t="shared" si="7"/>
        <v>0</v>
      </c>
      <c r="AS18" s="212">
        <f t="shared" si="7"/>
        <v>0</v>
      </c>
      <c r="AT18" s="212">
        <f t="shared" si="7"/>
        <v>0</v>
      </c>
      <c r="AU18" s="212">
        <f t="shared" si="7"/>
        <v>0</v>
      </c>
      <c r="AV18" s="212">
        <f t="shared" si="7"/>
        <v>0</v>
      </c>
      <c r="AW18" s="212">
        <f t="shared" si="7"/>
        <v>0</v>
      </c>
    </row>
    <row r="19" spans="1:49" x14ac:dyDescent="0.25">
      <c r="A19" s="450"/>
      <c r="B19" s="148" t="s">
        <v>2286</v>
      </c>
      <c r="C19" s="191"/>
      <c r="D19" s="232">
        <f>D18/D14</f>
        <v>0.18601255528031399</v>
      </c>
      <c r="E19" s="232">
        <f t="shared" ref="E19:AC19" si="8">E18/E14</f>
        <v>0.17930138998560469</v>
      </c>
      <c r="F19" s="232">
        <f t="shared" si="8"/>
        <v>0.1402477240274215</v>
      </c>
      <c r="G19" s="232">
        <f t="shared" si="8"/>
        <v>8.9924887600621006E-2</v>
      </c>
      <c r="H19" s="232">
        <f t="shared" si="8"/>
        <v>8.4086511865349239E-2</v>
      </c>
      <c r="I19" s="232">
        <f t="shared" si="8"/>
        <v>5.4509506016069638E-2</v>
      </c>
      <c r="J19" s="232">
        <f t="shared" si="8"/>
        <v>3.9555840291941959E-2</v>
      </c>
      <c r="K19" s="232">
        <f t="shared" si="8"/>
        <v>3.4976190428005642E-2</v>
      </c>
      <c r="L19" s="232">
        <f t="shared" si="8"/>
        <v>5.7054521170515123E-3</v>
      </c>
      <c r="M19" s="232">
        <f t="shared" si="8"/>
        <v>-1.007774629998065E-2</v>
      </c>
      <c r="N19" s="232">
        <f t="shared" si="8"/>
        <v>-5.138614744280319E-2</v>
      </c>
      <c r="O19" s="232">
        <f t="shared" si="8"/>
        <v>-6.721371407301055E-2</v>
      </c>
      <c r="P19" s="232">
        <f t="shared" si="8"/>
        <v>-3.5612048840268834E-2</v>
      </c>
      <c r="Q19" s="232">
        <f t="shared" si="8"/>
        <v>-2.3232007772919703E-2</v>
      </c>
      <c r="R19" s="232">
        <f t="shared" si="8"/>
        <v>-3.3909444030289955E-2</v>
      </c>
      <c r="S19" s="232">
        <f t="shared" si="8"/>
        <v>-1.3819262832423034E-2</v>
      </c>
      <c r="T19" s="232">
        <f t="shared" si="8"/>
        <v>-9.949474389981082E-3</v>
      </c>
      <c r="U19" s="232">
        <f t="shared" si="8"/>
        <v>-3.2067537934455569E-2</v>
      </c>
      <c r="V19" s="232">
        <f t="shared" si="8"/>
        <v>0.10479527777291231</v>
      </c>
      <c r="W19" s="232">
        <f t="shared" si="8"/>
        <v>0.10927084720188168</v>
      </c>
      <c r="X19" s="232">
        <f t="shared" si="8"/>
        <v>0.15516149721504655</v>
      </c>
      <c r="Y19" s="232">
        <f t="shared" si="8"/>
        <v>0.18722863395757583</v>
      </c>
      <c r="Z19" s="232">
        <f t="shared" si="8"/>
        <v>0.19019940054892473</v>
      </c>
      <c r="AA19" s="232">
        <f t="shared" si="8"/>
        <v>0.20090638264814914</v>
      </c>
      <c r="AB19" s="232">
        <f t="shared" si="8"/>
        <v>0.17621270290894298</v>
      </c>
      <c r="AC19" s="232">
        <f t="shared" si="8"/>
        <v>0.191411575529193</v>
      </c>
      <c r="AD19" s="232"/>
      <c r="AE19" s="232"/>
      <c r="AF19" s="232"/>
      <c r="AG19" s="232"/>
      <c r="AH19" s="232"/>
      <c r="AI19" s="232"/>
      <c r="AJ19" s="232"/>
      <c r="AK19" s="232"/>
      <c r="AL19" s="232"/>
      <c r="AM19" s="232"/>
      <c r="AN19" s="232"/>
      <c r="AO19" s="232"/>
      <c r="AP19" s="232"/>
      <c r="AQ19" s="232"/>
      <c r="AR19" s="232"/>
      <c r="AS19" s="232"/>
      <c r="AT19" s="232"/>
      <c r="AU19" s="232"/>
      <c r="AV19" s="232"/>
      <c r="AW19" s="232"/>
    </row>
    <row r="20" spans="1:49" x14ac:dyDescent="0.25">
      <c r="A20" s="450"/>
      <c r="B20" s="396" t="s">
        <v>2291</v>
      </c>
      <c r="C20" s="190"/>
      <c r="D20" s="206">
        <v>142279</v>
      </c>
      <c r="E20" s="207">
        <v>75512</v>
      </c>
      <c r="F20" s="207">
        <v>46557</v>
      </c>
      <c r="G20" s="207">
        <v>27910</v>
      </c>
      <c r="H20" s="207">
        <v>15773</v>
      </c>
      <c r="I20" s="210">
        <v>0</v>
      </c>
      <c r="J20" s="207">
        <v>3340</v>
      </c>
      <c r="K20" s="210">
        <v>0</v>
      </c>
      <c r="L20" s="210">
        <v>0</v>
      </c>
      <c r="M20" s="234">
        <v>-40378</v>
      </c>
      <c r="N20" s="235">
        <v>-100902</v>
      </c>
      <c r="O20" s="236">
        <v>-112509</v>
      </c>
      <c r="P20" s="236">
        <v>-58024</v>
      </c>
      <c r="Q20" s="236">
        <v>-70183</v>
      </c>
      <c r="R20" s="236">
        <v>-34667</v>
      </c>
      <c r="S20" s="236">
        <v>-17897</v>
      </c>
      <c r="T20" s="236">
        <v>-15803</v>
      </c>
      <c r="U20" s="236">
        <v>-38199</v>
      </c>
      <c r="V20" s="207">
        <v>9053</v>
      </c>
      <c r="W20" s="207">
        <v>44579</v>
      </c>
      <c r="X20" s="207">
        <v>105939</v>
      </c>
      <c r="Y20" s="208">
        <v>147585</v>
      </c>
      <c r="Z20" s="206">
        <v>141411</v>
      </c>
      <c r="AA20" s="207">
        <v>116853</v>
      </c>
      <c r="AB20" s="207">
        <v>122013</v>
      </c>
      <c r="AC20" s="207">
        <v>215843</v>
      </c>
      <c r="AD20" s="207"/>
      <c r="AE20" s="207"/>
      <c r="AF20" s="207"/>
      <c r="AG20" s="207"/>
      <c r="AH20" s="207"/>
      <c r="AI20" s="207"/>
      <c r="AJ20" s="207"/>
      <c r="AK20" s="208"/>
      <c r="AL20" s="206"/>
      <c r="AM20" s="207"/>
      <c r="AN20" s="207"/>
      <c r="AO20" s="207"/>
      <c r="AP20" s="207"/>
      <c r="AQ20" s="207"/>
      <c r="AR20" s="207"/>
      <c r="AS20" s="207"/>
      <c r="AT20" s="207"/>
      <c r="AU20" s="207"/>
      <c r="AV20" s="207"/>
      <c r="AW20" s="208"/>
    </row>
    <row r="21" spans="1:49" x14ac:dyDescent="0.25">
      <c r="A21" s="450"/>
      <c r="B21" s="397"/>
      <c r="C21" s="191" t="s">
        <v>2286</v>
      </c>
      <c r="D21" s="232">
        <f>D20/D18</f>
        <v>0.45307598979712066</v>
      </c>
      <c r="E21" s="232">
        <f t="shared" ref="E21:AC21" si="9">E20/E18</f>
        <v>0.28158467826138839</v>
      </c>
      <c r="F21" s="232">
        <f t="shared" si="9"/>
        <v>0.26811135169999079</v>
      </c>
      <c r="G21" s="232">
        <f t="shared" si="9"/>
        <v>0.27852623595393489</v>
      </c>
      <c r="H21" s="232">
        <f t="shared" si="9"/>
        <v>0.1779926875507809</v>
      </c>
      <c r="I21" s="232">
        <f t="shared" si="9"/>
        <v>0</v>
      </c>
      <c r="J21" s="232">
        <f t="shared" si="9"/>
        <v>6.133279468204271E-2</v>
      </c>
      <c r="K21" s="232">
        <f t="shared" si="9"/>
        <v>0</v>
      </c>
      <c r="L21" s="232">
        <f t="shared" si="9"/>
        <v>0</v>
      </c>
      <c r="M21" s="232">
        <f t="shared" si="9"/>
        <v>1.9878889326506499</v>
      </c>
      <c r="N21" s="232">
        <f t="shared" si="9"/>
        <v>1.1831015641488638</v>
      </c>
      <c r="O21" s="232">
        <f t="shared" si="9"/>
        <v>1.1126395632868205</v>
      </c>
      <c r="P21" s="232">
        <f t="shared" si="9"/>
        <v>1.2653800021807873</v>
      </c>
      <c r="Q21" s="232">
        <f t="shared" si="9"/>
        <v>1.5416026007116812</v>
      </c>
      <c r="R21" s="232">
        <f t="shared" si="9"/>
        <v>1.2535073763378652</v>
      </c>
      <c r="S21" s="232">
        <f t="shared" si="9"/>
        <v>1.5133603923558261</v>
      </c>
      <c r="T21" s="232">
        <f t="shared" si="9"/>
        <v>1.7288042883710755</v>
      </c>
      <c r="U21" s="232">
        <f t="shared" si="9"/>
        <v>1.380620211074165</v>
      </c>
      <c r="V21" s="232">
        <f t="shared" si="9"/>
        <v>8.9007963818700228E-2</v>
      </c>
      <c r="W21" s="232">
        <f t="shared" si="9"/>
        <v>0.27854389132920526</v>
      </c>
      <c r="X21" s="232">
        <f t="shared" si="9"/>
        <v>0.46684793146604148</v>
      </c>
      <c r="Y21" s="232">
        <f t="shared" si="9"/>
        <v>0.46993211401788215</v>
      </c>
      <c r="Z21" s="232">
        <f t="shared" si="9"/>
        <v>0.51040399628957223</v>
      </c>
      <c r="AA21" s="232">
        <f t="shared" si="9"/>
        <v>0.50768348474381864</v>
      </c>
      <c r="AB21" s="232">
        <f t="shared" si="9"/>
        <v>0.51398566048545402</v>
      </c>
      <c r="AC21" s="232">
        <f t="shared" si="9"/>
        <v>0.51091695821162608</v>
      </c>
      <c r="AD21" s="232"/>
      <c r="AE21" s="232"/>
      <c r="AF21" s="232"/>
      <c r="AG21" s="232"/>
      <c r="AH21" s="232"/>
      <c r="AI21" s="232"/>
      <c r="AJ21" s="232"/>
      <c r="AK21" s="232"/>
      <c r="AL21" s="232"/>
      <c r="AM21" s="232"/>
      <c r="AN21" s="232"/>
      <c r="AO21" s="232"/>
      <c r="AP21" s="232"/>
      <c r="AQ21" s="232"/>
      <c r="AR21" s="232"/>
      <c r="AS21" s="232"/>
      <c r="AT21" s="232"/>
      <c r="AU21" s="232"/>
      <c r="AV21" s="232"/>
      <c r="AW21" s="232"/>
    </row>
    <row r="22" spans="1:49" x14ac:dyDescent="0.25">
      <c r="A22" s="450"/>
      <c r="B22" s="396" t="s">
        <v>2292</v>
      </c>
      <c r="C22" s="190"/>
      <c r="D22" s="206">
        <v>129345</v>
      </c>
      <c r="E22" s="207">
        <v>149692</v>
      </c>
      <c r="F22" s="207">
        <v>97054</v>
      </c>
      <c r="G22" s="207">
        <v>50665</v>
      </c>
      <c r="H22" s="207">
        <v>51609</v>
      </c>
      <c r="I22" s="207">
        <v>43268</v>
      </c>
      <c r="J22" s="207">
        <v>42114</v>
      </c>
      <c r="K22" s="207">
        <v>60323</v>
      </c>
      <c r="L22" s="207">
        <v>39186</v>
      </c>
      <c r="M22" s="208">
        <v>16604</v>
      </c>
      <c r="N22" s="237">
        <v>12820</v>
      </c>
      <c r="O22" s="209">
        <v>9536</v>
      </c>
      <c r="P22" s="209">
        <v>10276</v>
      </c>
      <c r="Q22" s="207">
        <v>17225</v>
      </c>
      <c r="R22" s="207">
        <v>5727</v>
      </c>
      <c r="S22" s="207">
        <v>5094</v>
      </c>
      <c r="T22" s="207">
        <v>5549</v>
      </c>
      <c r="U22" s="207">
        <v>9355</v>
      </c>
      <c r="V22" s="207">
        <v>91268</v>
      </c>
      <c r="W22" s="207">
        <v>114068</v>
      </c>
      <c r="X22" s="207">
        <v>119974</v>
      </c>
      <c r="Y22" s="208">
        <v>165705</v>
      </c>
      <c r="Z22" s="206">
        <v>135327</v>
      </c>
      <c r="AA22" s="207">
        <v>113130</v>
      </c>
      <c r="AB22" s="207">
        <v>115178</v>
      </c>
      <c r="AC22" s="207">
        <v>206368</v>
      </c>
      <c r="AD22" s="207"/>
      <c r="AE22" s="207"/>
      <c r="AF22" s="207"/>
      <c r="AG22" s="207"/>
      <c r="AH22" s="207"/>
      <c r="AI22" s="207"/>
      <c r="AJ22" s="207"/>
      <c r="AK22" s="208"/>
      <c r="AL22" s="206"/>
      <c r="AM22" s="207"/>
      <c r="AN22" s="207"/>
      <c r="AO22" s="207"/>
      <c r="AP22" s="207"/>
      <c r="AQ22" s="207"/>
      <c r="AR22" s="207"/>
      <c r="AS22" s="207"/>
      <c r="AT22" s="207"/>
      <c r="AU22" s="207"/>
      <c r="AV22" s="207"/>
      <c r="AW22" s="208"/>
    </row>
    <row r="23" spans="1:49" x14ac:dyDescent="0.25">
      <c r="A23" s="450"/>
      <c r="B23" s="397"/>
      <c r="C23" s="191" t="s">
        <v>2286</v>
      </c>
      <c r="D23" s="232">
        <f>D22/D18</f>
        <v>0.41188871091523394</v>
      </c>
      <c r="E23" s="232">
        <f t="shared" ref="E23:AC23" si="10">E22/E18</f>
        <v>0.55820232093314637</v>
      </c>
      <c r="F23" s="232">
        <f t="shared" si="10"/>
        <v>0.55891228231825307</v>
      </c>
      <c r="G23" s="232">
        <f t="shared" si="10"/>
        <v>0.50560844660000404</v>
      </c>
      <c r="H23" s="232">
        <f t="shared" si="10"/>
        <v>0.58238918479732782</v>
      </c>
      <c r="I23" s="232">
        <f t="shared" si="10"/>
        <v>0.74169052231002619</v>
      </c>
      <c r="J23" s="232">
        <f t="shared" si="10"/>
        <v>0.77334410635914574</v>
      </c>
      <c r="K23" s="232">
        <f t="shared" si="10"/>
        <v>0.87258972096454557</v>
      </c>
      <c r="L23" s="232">
        <f t="shared" si="10"/>
        <v>3.9135124338360132</v>
      </c>
      <c r="M23" s="232">
        <f t="shared" si="10"/>
        <v>-0.81744781410003942</v>
      </c>
      <c r="N23" s="232">
        <f t="shared" si="10"/>
        <v>-0.1503177543793823</v>
      </c>
      <c r="O23" s="232">
        <f t="shared" si="10"/>
        <v>-9.4304730070510975E-2</v>
      </c>
      <c r="P23" s="232">
        <f t="shared" si="10"/>
        <v>-0.22409769926943626</v>
      </c>
      <c r="Q23" s="232">
        <f t="shared" si="10"/>
        <v>-0.37835522558537976</v>
      </c>
      <c r="R23" s="232">
        <f t="shared" si="10"/>
        <v>-0.20707983800983512</v>
      </c>
      <c r="S23" s="232">
        <f t="shared" si="10"/>
        <v>-0.43074581430745812</v>
      </c>
      <c r="T23" s="232">
        <f t="shared" si="10"/>
        <v>-0.60704518105240124</v>
      </c>
      <c r="U23" s="232">
        <f t="shared" si="10"/>
        <v>-0.33811623536215124</v>
      </c>
      <c r="V23" s="232">
        <f t="shared" si="10"/>
        <v>0.89733556189165276</v>
      </c>
      <c r="W23" s="232">
        <f t="shared" si="10"/>
        <v>0.71273345288453727</v>
      </c>
      <c r="X23" s="232">
        <f t="shared" si="10"/>
        <v>0.5286968324196647</v>
      </c>
      <c r="Y23" s="232">
        <f t="shared" si="10"/>
        <v>0.52762883052703979</v>
      </c>
      <c r="Z23" s="232">
        <f t="shared" si="10"/>
        <v>0.48844461608982986</v>
      </c>
      <c r="AA23" s="232">
        <f t="shared" si="10"/>
        <v>0.49150841338320972</v>
      </c>
      <c r="AB23" s="232">
        <f t="shared" si="10"/>
        <v>0.48519289258844245</v>
      </c>
      <c r="AC23" s="232">
        <f t="shared" si="10"/>
        <v>0.48848890551102819</v>
      </c>
      <c r="AD23" s="232"/>
      <c r="AE23" s="232"/>
      <c r="AF23" s="232"/>
      <c r="AG23" s="232"/>
      <c r="AH23" s="232"/>
      <c r="AI23" s="232"/>
      <c r="AJ23" s="232"/>
      <c r="AK23" s="232"/>
      <c r="AL23" s="232"/>
      <c r="AM23" s="232"/>
      <c r="AN23" s="232"/>
      <c r="AO23" s="232"/>
      <c r="AP23" s="232"/>
      <c r="AQ23" s="232"/>
      <c r="AR23" s="232"/>
      <c r="AS23" s="232"/>
      <c r="AT23" s="232"/>
      <c r="AU23" s="232"/>
      <c r="AV23" s="232"/>
      <c r="AW23" s="232"/>
    </row>
    <row r="24" spans="1:49" x14ac:dyDescent="0.25">
      <c r="A24" s="450"/>
      <c r="B24" s="396" t="s">
        <v>2293</v>
      </c>
      <c r="C24" s="190"/>
      <c r="D24" s="206">
        <v>42405</v>
      </c>
      <c r="E24" s="207">
        <v>42964</v>
      </c>
      <c r="F24" s="207">
        <v>30037</v>
      </c>
      <c r="G24" s="207">
        <v>21631</v>
      </c>
      <c r="H24" s="207">
        <v>21234</v>
      </c>
      <c r="I24" s="207">
        <v>15069</v>
      </c>
      <c r="J24" s="207">
        <v>9003</v>
      </c>
      <c r="K24" s="207">
        <v>8808</v>
      </c>
      <c r="L24" s="207">
        <v>6209</v>
      </c>
      <c r="M24" s="208">
        <v>3462</v>
      </c>
      <c r="N24" s="206">
        <v>2796</v>
      </c>
      <c r="O24" s="207">
        <v>1854</v>
      </c>
      <c r="P24" s="207">
        <v>1893</v>
      </c>
      <c r="Q24" s="207">
        <v>7432</v>
      </c>
      <c r="R24" s="207">
        <v>1284</v>
      </c>
      <c r="S24" s="207">
        <v>977</v>
      </c>
      <c r="T24" s="207">
        <v>1113</v>
      </c>
      <c r="U24" s="207">
        <v>1176</v>
      </c>
      <c r="V24" s="207">
        <v>1389</v>
      </c>
      <c r="W24" s="207">
        <v>1396</v>
      </c>
      <c r="X24" s="207">
        <v>1011</v>
      </c>
      <c r="Y24" s="208">
        <v>766</v>
      </c>
      <c r="Z24" s="206">
        <v>319</v>
      </c>
      <c r="AA24" s="207">
        <v>186</v>
      </c>
      <c r="AB24" s="207">
        <v>195</v>
      </c>
      <c r="AC24" s="207">
        <v>251</v>
      </c>
      <c r="AD24" s="207"/>
      <c r="AE24" s="207"/>
      <c r="AF24" s="207"/>
      <c r="AG24" s="207"/>
      <c r="AH24" s="207"/>
      <c r="AI24" s="207"/>
      <c r="AJ24" s="207"/>
      <c r="AK24" s="208"/>
      <c r="AL24" s="206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8"/>
    </row>
    <row r="25" spans="1:49" s="196" customFormat="1" ht="15.75" thickBot="1" x14ac:dyDescent="0.3">
      <c r="A25" s="451"/>
      <c r="B25" s="460"/>
      <c r="C25" s="214" t="s">
        <v>2286</v>
      </c>
      <c r="D25" s="233">
        <f>D24/D18</f>
        <v>0.13503529928764541</v>
      </c>
      <c r="E25" s="233">
        <f t="shared" ref="E25:AC25" si="11">E24/E18</f>
        <v>0.16021300080546524</v>
      </c>
      <c r="F25" s="233">
        <f t="shared" si="11"/>
        <v>0.1729763659817562</v>
      </c>
      <c r="G25" s="233">
        <f t="shared" si="11"/>
        <v>0.21586531744606111</v>
      </c>
      <c r="H25" s="233">
        <f t="shared" si="11"/>
        <v>0.23961812765189131</v>
      </c>
      <c r="I25" s="233">
        <f t="shared" si="11"/>
        <v>0.25830947768997375</v>
      </c>
      <c r="J25" s="233">
        <f t="shared" si="11"/>
        <v>0.16532309895881153</v>
      </c>
      <c r="K25" s="233">
        <f t="shared" si="11"/>
        <v>0.12741027903545443</v>
      </c>
      <c r="L25" s="233">
        <f t="shared" si="11"/>
        <v>0.62009387795865378</v>
      </c>
      <c r="M25" s="233">
        <f t="shared" si="11"/>
        <v>-0.17044111855061048</v>
      </c>
      <c r="N25" s="233">
        <f t="shared" si="11"/>
        <v>-3.278380976948151E-2</v>
      </c>
      <c r="O25" s="233">
        <f t="shared" si="11"/>
        <v>-1.8334833216309496E-2</v>
      </c>
      <c r="P25" s="233">
        <f t="shared" si="11"/>
        <v>-4.1282302911350995E-2</v>
      </c>
      <c r="Q25" s="233">
        <f t="shared" si="11"/>
        <v>-0.16324737512630144</v>
      </c>
      <c r="R25" s="233">
        <f t="shared" si="11"/>
        <v>-4.6427538328030087E-2</v>
      </c>
      <c r="S25" s="233">
        <f t="shared" si="11"/>
        <v>-8.2614578048367998E-2</v>
      </c>
      <c r="T25" s="233">
        <f t="shared" si="11"/>
        <v>-0.12175910731867411</v>
      </c>
      <c r="U25" s="233">
        <f t="shared" si="11"/>
        <v>-4.2503975712013878E-2</v>
      </c>
      <c r="V25" s="233">
        <f t="shared" si="11"/>
        <v>1.3656474289647036E-2</v>
      </c>
      <c r="W25" s="233">
        <f t="shared" si="11"/>
        <v>8.7226557862574439E-3</v>
      </c>
      <c r="X25" s="233">
        <f t="shared" si="11"/>
        <v>4.4552361142937719E-3</v>
      </c>
      <c r="Y25" s="233">
        <f t="shared" si="11"/>
        <v>2.4390554550780754E-3</v>
      </c>
      <c r="Z25" s="233">
        <f t="shared" si="11"/>
        <v>1.1513876205979275E-3</v>
      </c>
      <c r="AA25" s="233">
        <f t="shared" si="11"/>
        <v>8.0810187297159918E-4</v>
      </c>
      <c r="AB25" s="233">
        <f t="shared" si="11"/>
        <v>8.2144692610347709E-4</v>
      </c>
      <c r="AC25" s="233">
        <f t="shared" si="11"/>
        <v>5.9413627734565479E-4</v>
      </c>
      <c r="AD25" s="233"/>
      <c r="AE25" s="233"/>
      <c r="AF25" s="233"/>
      <c r="AG25" s="233"/>
      <c r="AH25" s="233"/>
      <c r="AI25" s="233"/>
      <c r="AJ25" s="233"/>
      <c r="AK25" s="233"/>
      <c r="AL25" s="233"/>
      <c r="AM25" s="233"/>
      <c r="AN25" s="233"/>
      <c r="AO25" s="233"/>
      <c r="AP25" s="233"/>
      <c r="AQ25" s="233"/>
      <c r="AR25" s="233"/>
      <c r="AS25" s="233"/>
      <c r="AT25" s="233"/>
      <c r="AU25" s="233"/>
      <c r="AV25" s="233"/>
      <c r="AW25" s="233"/>
    </row>
    <row r="26" spans="1:49" s="213" customFormat="1" x14ac:dyDescent="0.25">
      <c r="A26" s="445" t="s">
        <v>2294</v>
      </c>
      <c r="B26" s="11"/>
      <c r="C26" s="211"/>
      <c r="D26" s="212">
        <f>SUM(D28,D30,D32)</f>
        <v>395457</v>
      </c>
      <c r="E26" s="212">
        <f t="shared" ref="E26:AW26" si="12">SUM(E28,E30,E32)</f>
        <v>291106</v>
      </c>
      <c r="F26" s="212">
        <f t="shared" si="12"/>
        <v>322821</v>
      </c>
      <c r="G26" s="212">
        <f t="shared" si="12"/>
        <v>403395</v>
      </c>
      <c r="H26" s="212">
        <f t="shared" si="12"/>
        <v>393286</v>
      </c>
      <c r="I26" s="212">
        <f t="shared" si="12"/>
        <v>411501</v>
      </c>
      <c r="J26" s="212">
        <f t="shared" si="12"/>
        <v>420020</v>
      </c>
      <c r="K26" s="212">
        <f t="shared" si="12"/>
        <v>569474</v>
      </c>
      <c r="L26" s="212">
        <f t="shared" si="12"/>
        <v>427621</v>
      </c>
      <c r="M26" s="212">
        <f t="shared" si="12"/>
        <v>451203</v>
      </c>
      <c r="N26" s="212">
        <f t="shared" si="12"/>
        <v>284905</v>
      </c>
      <c r="O26" s="212">
        <f t="shared" si="12"/>
        <v>331579</v>
      </c>
      <c r="P26" s="212">
        <f t="shared" si="12"/>
        <v>198724</v>
      </c>
      <c r="Q26" s="212">
        <f t="shared" si="12"/>
        <v>420188</v>
      </c>
      <c r="R26" s="212">
        <f t="shared" si="12"/>
        <v>150161</v>
      </c>
      <c r="S26" s="212">
        <f t="shared" si="12"/>
        <v>254304</v>
      </c>
      <c r="T26" s="212">
        <f t="shared" si="12"/>
        <v>296203</v>
      </c>
      <c r="U26" s="212">
        <f t="shared" si="12"/>
        <v>259054</v>
      </c>
      <c r="V26" s="212">
        <f t="shared" si="12"/>
        <v>170926</v>
      </c>
      <c r="W26" s="212">
        <f t="shared" si="12"/>
        <v>356445</v>
      </c>
      <c r="X26" s="212">
        <f t="shared" si="12"/>
        <v>260553</v>
      </c>
      <c r="Y26" s="212">
        <f t="shared" si="12"/>
        <v>179646</v>
      </c>
      <c r="Z26" s="238">
        <v>129639</v>
      </c>
      <c r="AA26" s="238">
        <v>12541</v>
      </c>
      <c r="AB26" s="212">
        <f t="shared" si="12"/>
        <v>212937</v>
      </c>
      <c r="AC26" s="238">
        <v>196949</v>
      </c>
      <c r="AD26" s="212">
        <f t="shared" si="12"/>
        <v>0</v>
      </c>
      <c r="AE26" s="212">
        <f t="shared" si="12"/>
        <v>0</v>
      </c>
      <c r="AF26" s="212">
        <f t="shared" si="12"/>
        <v>0</v>
      </c>
      <c r="AG26" s="212">
        <f t="shared" si="12"/>
        <v>0</v>
      </c>
      <c r="AH26" s="212">
        <f t="shared" si="12"/>
        <v>0</v>
      </c>
      <c r="AI26" s="212">
        <f t="shared" si="12"/>
        <v>0</v>
      </c>
      <c r="AJ26" s="212">
        <f t="shared" si="12"/>
        <v>0</v>
      </c>
      <c r="AK26" s="212">
        <f t="shared" si="12"/>
        <v>0</v>
      </c>
      <c r="AL26" s="212">
        <f t="shared" si="12"/>
        <v>0</v>
      </c>
      <c r="AM26" s="212">
        <f t="shared" si="12"/>
        <v>0</v>
      </c>
      <c r="AN26" s="212">
        <f t="shared" si="12"/>
        <v>0</v>
      </c>
      <c r="AO26" s="212">
        <f t="shared" si="12"/>
        <v>0</v>
      </c>
      <c r="AP26" s="212">
        <f t="shared" si="12"/>
        <v>0</v>
      </c>
      <c r="AQ26" s="212">
        <f t="shared" si="12"/>
        <v>0</v>
      </c>
      <c r="AR26" s="212">
        <f t="shared" si="12"/>
        <v>0</v>
      </c>
      <c r="AS26" s="212">
        <f t="shared" si="12"/>
        <v>0</v>
      </c>
      <c r="AT26" s="212">
        <f t="shared" si="12"/>
        <v>0</v>
      </c>
      <c r="AU26" s="212">
        <f t="shared" si="12"/>
        <v>0</v>
      </c>
      <c r="AV26" s="212">
        <f t="shared" si="12"/>
        <v>0</v>
      </c>
      <c r="AW26" s="212">
        <f t="shared" si="12"/>
        <v>0</v>
      </c>
    </row>
    <row r="27" spans="1:49" x14ac:dyDescent="0.25">
      <c r="A27" s="446"/>
      <c r="B27" s="148" t="s">
        <v>2286</v>
      </c>
      <c r="C27" s="190"/>
      <c r="D27" s="232">
        <f>D26/D14</f>
        <v>0.23424577689795251</v>
      </c>
      <c r="E27" s="232">
        <f t="shared" ref="E27:AC27" si="13">E26/E14</f>
        <v>0.19463810161223352</v>
      </c>
      <c r="F27" s="232">
        <f t="shared" si="13"/>
        <v>0.26072808508163781</v>
      </c>
      <c r="G27" s="232">
        <f t="shared" si="13"/>
        <v>0.36200676639774571</v>
      </c>
      <c r="H27" s="232">
        <f t="shared" si="13"/>
        <v>0.37318371293531349</v>
      </c>
      <c r="I27" s="232">
        <f t="shared" si="13"/>
        <v>0.38450239530861496</v>
      </c>
      <c r="J27" s="232">
        <f t="shared" si="13"/>
        <v>0.30508922708598457</v>
      </c>
      <c r="K27" s="232">
        <f t="shared" si="13"/>
        <v>0.28812010628803408</v>
      </c>
      <c r="L27" s="232">
        <f t="shared" si="13"/>
        <v>0.24366035551240237</v>
      </c>
      <c r="M27" s="232">
        <f t="shared" si="13"/>
        <v>0.22386320223464795</v>
      </c>
      <c r="N27" s="232">
        <f t="shared" si="13"/>
        <v>0.17165971363637458</v>
      </c>
      <c r="O27" s="232">
        <f t="shared" si="13"/>
        <v>0.22040028183244265</v>
      </c>
      <c r="P27" s="232">
        <f t="shared" si="13"/>
        <v>0.15433363414531859</v>
      </c>
      <c r="Q27" s="232">
        <f t="shared" si="13"/>
        <v>0.21442276681649133</v>
      </c>
      <c r="R27" s="232">
        <f t="shared" si="13"/>
        <v>0.18411469572723349</v>
      </c>
      <c r="S27" s="232">
        <f t="shared" si="13"/>
        <v>0.29716673561106943</v>
      </c>
      <c r="T27" s="232">
        <f t="shared" si="13"/>
        <v>0.32240063042725814</v>
      </c>
      <c r="U27" s="232">
        <f t="shared" si="13"/>
        <v>0.30024663770682564</v>
      </c>
      <c r="V27" s="232">
        <f t="shared" si="13"/>
        <v>0.17611088043076206</v>
      </c>
      <c r="W27" s="232">
        <f t="shared" si="13"/>
        <v>0.24336613991786404</v>
      </c>
      <c r="X27" s="232">
        <f t="shared" si="13"/>
        <v>0.17815565380423412</v>
      </c>
      <c r="Y27" s="232">
        <f t="shared" si="13"/>
        <v>0.10709833652578733</v>
      </c>
      <c r="Z27" s="232">
        <f t="shared" si="13"/>
        <v>8.8997065902547329E-2</v>
      </c>
      <c r="AA27" s="232">
        <f t="shared" si="13"/>
        <v>1.094659552237894E-2</v>
      </c>
      <c r="AB27" s="232">
        <f t="shared" si="13"/>
        <v>0.15806409948068376</v>
      </c>
      <c r="AC27" s="232">
        <f t="shared" si="13"/>
        <v>8.9234814939329526E-2</v>
      </c>
      <c r="AD27" s="232"/>
      <c r="AE27" s="232"/>
      <c r="AF27" s="232"/>
      <c r="AG27" s="232"/>
      <c r="AH27" s="232"/>
      <c r="AI27" s="232"/>
      <c r="AJ27" s="232"/>
      <c r="AK27" s="232"/>
      <c r="AL27" s="232"/>
      <c r="AM27" s="232"/>
      <c r="AN27" s="232"/>
      <c r="AO27" s="232"/>
      <c r="AP27" s="232"/>
      <c r="AQ27" s="232"/>
      <c r="AR27" s="232"/>
      <c r="AS27" s="232"/>
      <c r="AT27" s="232"/>
      <c r="AU27" s="232"/>
      <c r="AV27" s="232"/>
      <c r="AW27" s="232"/>
    </row>
    <row r="28" spans="1:49" x14ac:dyDescent="0.25">
      <c r="A28" s="446"/>
      <c r="B28" s="396" t="s">
        <v>2295</v>
      </c>
      <c r="C28" s="190"/>
      <c r="D28" s="206">
        <v>395457</v>
      </c>
      <c r="E28" s="207">
        <v>291106</v>
      </c>
      <c r="F28" s="207">
        <v>322821</v>
      </c>
      <c r="G28" s="207">
        <v>403395</v>
      </c>
      <c r="H28" s="207">
        <v>393286</v>
      </c>
      <c r="I28" s="207">
        <v>411501</v>
      </c>
      <c r="J28" s="207">
        <v>420020</v>
      </c>
      <c r="K28" s="207">
        <v>569474</v>
      </c>
      <c r="L28" s="207">
        <v>427621</v>
      </c>
      <c r="M28" s="208">
        <v>451203</v>
      </c>
      <c r="N28" s="206">
        <v>284905</v>
      </c>
      <c r="O28" s="207">
        <v>331579</v>
      </c>
      <c r="P28" s="207">
        <v>198724</v>
      </c>
      <c r="Q28" s="207">
        <v>420188</v>
      </c>
      <c r="R28" s="207">
        <v>150161</v>
      </c>
      <c r="S28" s="207">
        <v>254304</v>
      </c>
      <c r="T28" s="207">
        <v>296203</v>
      </c>
      <c r="U28" s="207">
        <v>259054</v>
      </c>
      <c r="V28" s="207">
        <v>170926</v>
      </c>
      <c r="W28" s="207">
        <v>356445</v>
      </c>
      <c r="X28" s="207">
        <v>260553</v>
      </c>
      <c r="Y28" s="208">
        <v>179646</v>
      </c>
      <c r="Z28" s="206">
        <v>152913</v>
      </c>
      <c r="AA28" s="207">
        <v>92821</v>
      </c>
      <c r="AB28" s="207">
        <v>112909</v>
      </c>
      <c r="AC28" s="207">
        <v>254193</v>
      </c>
      <c r="AD28" s="207"/>
      <c r="AE28" s="207"/>
      <c r="AF28" s="207"/>
      <c r="AG28" s="207"/>
      <c r="AH28" s="207"/>
      <c r="AI28" s="207"/>
      <c r="AJ28" s="207"/>
      <c r="AK28" s="208"/>
      <c r="AL28" s="206"/>
      <c r="AM28" s="207"/>
      <c r="AN28" s="207"/>
      <c r="AO28" s="207"/>
      <c r="AP28" s="207"/>
      <c r="AQ28" s="207"/>
      <c r="AR28" s="207"/>
      <c r="AS28" s="207"/>
      <c r="AT28" s="207"/>
      <c r="AU28" s="207"/>
      <c r="AV28" s="207"/>
      <c r="AW28" s="208"/>
    </row>
    <row r="29" spans="1:49" x14ac:dyDescent="0.25">
      <c r="A29" s="446"/>
      <c r="B29" s="397"/>
      <c r="C29" s="191" t="s">
        <v>2286</v>
      </c>
      <c r="D29" s="232">
        <f>D28/D26</f>
        <v>1</v>
      </c>
      <c r="E29" s="232">
        <f t="shared" ref="E29:AC29" si="14">E28/E26</f>
        <v>1</v>
      </c>
      <c r="F29" s="232">
        <f t="shared" si="14"/>
        <v>1</v>
      </c>
      <c r="G29" s="232">
        <f t="shared" si="14"/>
        <v>1</v>
      </c>
      <c r="H29" s="232">
        <f t="shared" si="14"/>
        <v>1</v>
      </c>
      <c r="I29" s="232">
        <f t="shared" si="14"/>
        <v>1</v>
      </c>
      <c r="J29" s="232">
        <f t="shared" si="14"/>
        <v>1</v>
      </c>
      <c r="K29" s="232">
        <f t="shared" si="14"/>
        <v>1</v>
      </c>
      <c r="L29" s="232">
        <f t="shared" si="14"/>
        <v>1</v>
      </c>
      <c r="M29" s="232">
        <f t="shared" si="14"/>
        <v>1</v>
      </c>
      <c r="N29" s="232">
        <f t="shared" si="14"/>
        <v>1</v>
      </c>
      <c r="O29" s="232">
        <f t="shared" si="14"/>
        <v>1</v>
      </c>
      <c r="P29" s="232">
        <f t="shared" si="14"/>
        <v>1</v>
      </c>
      <c r="Q29" s="232">
        <f t="shared" si="14"/>
        <v>1</v>
      </c>
      <c r="R29" s="232">
        <f t="shared" si="14"/>
        <v>1</v>
      </c>
      <c r="S29" s="232">
        <f t="shared" si="14"/>
        <v>1</v>
      </c>
      <c r="T29" s="232">
        <f t="shared" si="14"/>
        <v>1</v>
      </c>
      <c r="U29" s="232">
        <f t="shared" si="14"/>
        <v>1</v>
      </c>
      <c r="V29" s="232">
        <f t="shared" si="14"/>
        <v>1</v>
      </c>
      <c r="W29" s="232">
        <f t="shared" si="14"/>
        <v>1</v>
      </c>
      <c r="X29" s="232">
        <f t="shared" si="14"/>
        <v>1</v>
      </c>
      <c r="Y29" s="232">
        <f t="shared" si="14"/>
        <v>1</v>
      </c>
      <c r="Z29" s="232">
        <f t="shared" si="14"/>
        <v>1.1795293083099994</v>
      </c>
      <c r="AA29" s="232">
        <f t="shared" si="14"/>
        <v>7.4014033968583046</v>
      </c>
      <c r="AB29" s="232">
        <f t="shared" si="14"/>
        <v>0.53024603521229285</v>
      </c>
      <c r="AC29" s="232">
        <f t="shared" si="14"/>
        <v>1.2906539256355707</v>
      </c>
      <c r="AD29" s="232"/>
      <c r="AE29" s="232"/>
      <c r="AF29" s="232"/>
      <c r="AG29" s="232"/>
      <c r="AH29" s="232"/>
      <c r="AI29" s="232"/>
      <c r="AJ29" s="232"/>
      <c r="AK29" s="232"/>
      <c r="AL29" s="232"/>
      <c r="AM29" s="232"/>
      <c r="AN29" s="232"/>
      <c r="AO29" s="232"/>
      <c r="AP29" s="232"/>
      <c r="AQ29" s="232"/>
      <c r="AR29" s="232"/>
      <c r="AS29" s="232"/>
      <c r="AT29" s="232"/>
      <c r="AU29" s="232"/>
      <c r="AV29" s="232"/>
      <c r="AW29" s="232"/>
    </row>
    <row r="30" spans="1:49" x14ac:dyDescent="0.25">
      <c r="A30" s="446"/>
      <c r="B30" s="396" t="s">
        <v>2314</v>
      </c>
      <c r="C30" s="190"/>
      <c r="D30" s="206"/>
      <c r="E30" s="207"/>
      <c r="F30" s="207"/>
      <c r="G30" s="207"/>
      <c r="H30" s="207"/>
      <c r="I30" s="207"/>
      <c r="J30" s="207"/>
      <c r="K30" s="207"/>
      <c r="L30" s="207"/>
      <c r="M30" s="208"/>
      <c r="N30" s="206"/>
      <c r="O30" s="207"/>
      <c r="P30" s="207"/>
      <c r="Q30" s="207"/>
      <c r="R30" s="207"/>
      <c r="S30" s="207"/>
      <c r="T30" s="207"/>
      <c r="U30" s="207"/>
      <c r="V30" s="207"/>
      <c r="W30" s="207"/>
      <c r="X30" s="207"/>
      <c r="Y30" s="208"/>
      <c r="Z30" s="206">
        <v>15621</v>
      </c>
      <c r="AA30" s="207">
        <v>14509</v>
      </c>
      <c r="AB30" s="207">
        <v>16022</v>
      </c>
      <c r="AC30" s="207">
        <v>23742</v>
      </c>
      <c r="AD30" s="207"/>
      <c r="AE30" s="207"/>
      <c r="AF30" s="207"/>
      <c r="AG30" s="207"/>
      <c r="AH30" s="207"/>
      <c r="AI30" s="207"/>
      <c r="AJ30" s="207"/>
      <c r="AK30" s="208"/>
      <c r="AL30" s="206"/>
      <c r="AM30" s="207"/>
      <c r="AN30" s="207"/>
      <c r="AO30" s="207"/>
      <c r="AP30" s="207"/>
      <c r="AQ30" s="207"/>
      <c r="AR30" s="207"/>
      <c r="AS30" s="207"/>
      <c r="AT30" s="207"/>
      <c r="AU30" s="207"/>
      <c r="AV30" s="207"/>
      <c r="AW30" s="208"/>
    </row>
    <row r="31" spans="1:49" x14ac:dyDescent="0.25">
      <c r="A31" s="446"/>
      <c r="B31" s="397"/>
      <c r="C31" s="191" t="s">
        <v>2286</v>
      </c>
      <c r="D31" s="232">
        <f>D30/D26</f>
        <v>0</v>
      </c>
      <c r="E31" s="232">
        <f t="shared" ref="E31:AC31" si="15">E30/E26</f>
        <v>0</v>
      </c>
      <c r="F31" s="232">
        <f t="shared" si="15"/>
        <v>0</v>
      </c>
      <c r="G31" s="232">
        <f t="shared" si="15"/>
        <v>0</v>
      </c>
      <c r="H31" s="232">
        <f t="shared" si="15"/>
        <v>0</v>
      </c>
      <c r="I31" s="232">
        <f t="shared" si="15"/>
        <v>0</v>
      </c>
      <c r="J31" s="232">
        <f t="shared" si="15"/>
        <v>0</v>
      </c>
      <c r="K31" s="232">
        <f t="shared" si="15"/>
        <v>0</v>
      </c>
      <c r="L31" s="232">
        <f t="shared" si="15"/>
        <v>0</v>
      </c>
      <c r="M31" s="232">
        <f t="shared" si="15"/>
        <v>0</v>
      </c>
      <c r="N31" s="232">
        <f t="shared" si="15"/>
        <v>0</v>
      </c>
      <c r="O31" s="232">
        <f t="shared" si="15"/>
        <v>0</v>
      </c>
      <c r="P31" s="232">
        <f t="shared" si="15"/>
        <v>0</v>
      </c>
      <c r="Q31" s="232">
        <f t="shared" si="15"/>
        <v>0</v>
      </c>
      <c r="R31" s="232">
        <f t="shared" si="15"/>
        <v>0</v>
      </c>
      <c r="S31" s="232">
        <f t="shared" si="15"/>
        <v>0</v>
      </c>
      <c r="T31" s="232">
        <f t="shared" si="15"/>
        <v>0</v>
      </c>
      <c r="U31" s="232">
        <f t="shared" si="15"/>
        <v>0</v>
      </c>
      <c r="V31" s="232">
        <f t="shared" si="15"/>
        <v>0</v>
      </c>
      <c r="W31" s="232">
        <f t="shared" si="15"/>
        <v>0</v>
      </c>
      <c r="X31" s="232">
        <f t="shared" si="15"/>
        <v>0</v>
      </c>
      <c r="Y31" s="232">
        <f t="shared" si="15"/>
        <v>0</v>
      </c>
      <c r="Z31" s="232">
        <f t="shared" si="15"/>
        <v>0.12049614699280309</v>
      </c>
      <c r="AA31" s="232">
        <f t="shared" si="15"/>
        <v>1.1569252850649869</v>
      </c>
      <c r="AB31" s="232">
        <f t="shared" si="15"/>
        <v>7.5242912222864042E-2</v>
      </c>
      <c r="AC31" s="232">
        <f t="shared" si="15"/>
        <v>0.12054897460763954</v>
      </c>
      <c r="AD31" s="232"/>
      <c r="AE31" s="232"/>
      <c r="AF31" s="232"/>
      <c r="AG31" s="232"/>
      <c r="AH31" s="232"/>
      <c r="AI31" s="232"/>
      <c r="AJ31" s="232"/>
      <c r="AK31" s="232"/>
      <c r="AL31" s="232"/>
      <c r="AM31" s="232"/>
      <c r="AN31" s="232"/>
      <c r="AO31" s="232"/>
      <c r="AP31" s="232"/>
      <c r="AQ31" s="232"/>
      <c r="AR31" s="232"/>
      <c r="AS31" s="232"/>
      <c r="AT31" s="232"/>
      <c r="AU31" s="232"/>
      <c r="AV31" s="232"/>
      <c r="AW31" s="232"/>
    </row>
    <row r="32" spans="1:49" x14ac:dyDescent="0.25">
      <c r="A32" s="446"/>
      <c r="B32" s="398" t="s">
        <v>2358</v>
      </c>
      <c r="C32" s="190"/>
      <c r="D32" s="206"/>
      <c r="E32" s="207"/>
      <c r="F32" s="207"/>
      <c r="G32" s="207"/>
      <c r="H32" s="207"/>
      <c r="I32" s="207"/>
      <c r="J32" s="207"/>
      <c r="K32" s="207"/>
      <c r="L32" s="207"/>
      <c r="M32" s="208"/>
      <c r="N32" s="206"/>
      <c r="O32" s="207"/>
      <c r="P32" s="207"/>
      <c r="Q32" s="207"/>
      <c r="R32" s="207"/>
      <c r="S32" s="207"/>
      <c r="T32" s="207"/>
      <c r="U32" s="207"/>
      <c r="V32" s="207"/>
      <c r="W32" s="207"/>
      <c r="X32" s="207"/>
      <c r="Y32" s="208"/>
      <c r="Z32" s="206"/>
      <c r="AA32" s="207"/>
      <c r="AB32" s="207">
        <v>84006</v>
      </c>
      <c r="AC32" s="207"/>
      <c r="AD32" s="207"/>
      <c r="AE32" s="207"/>
      <c r="AF32" s="207"/>
      <c r="AG32" s="207"/>
      <c r="AH32" s="207"/>
      <c r="AI32" s="207"/>
      <c r="AJ32" s="207"/>
      <c r="AK32" s="208"/>
      <c r="AL32" s="206"/>
      <c r="AM32" s="207"/>
      <c r="AN32" s="207"/>
      <c r="AO32" s="207"/>
      <c r="AP32" s="207"/>
      <c r="AQ32" s="207"/>
      <c r="AR32" s="207"/>
      <c r="AS32" s="207"/>
      <c r="AT32" s="207"/>
      <c r="AU32" s="207"/>
      <c r="AV32" s="207"/>
      <c r="AW32" s="208"/>
    </row>
    <row r="33" spans="1:49" s="196" customFormat="1" ht="15.75" thickBot="1" x14ac:dyDescent="0.3">
      <c r="A33" s="447"/>
      <c r="B33" s="448"/>
      <c r="C33" s="214" t="s">
        <v>2286</v>
      </c>
      <c r="D33" s="233">
        <f>D32/D26</f>
        <v>0</v>
      </c>
      <c r="E33" s="233">
        <f t="shared" ref="E33:AC33" si="16">E32/E26</f>
        <v>0</v>
      </c>
      <c r="F33" s="233">
        <f t="shared" si="16"/>
        <v>0</v>
      </c>
      <c r="G33" s="233">
        <f t="shared" si="16"/>
        <v>0</v>
      </c>
      <c r="H33" s="233">
        <f t="shared" si="16"/>
        <v>0</v>
      </c>
      <c r="I33" s="233">
        <f t="shared" si="16"/>
        <v>0</v>
      </c>
      <c r="J33" s="233">
        <f t="shared" si="16"/>
        <v>0</v>
      </c>
      <c r="K33" s="233">
        <f t="shared" si="16"/>
        <v>0</v>
      </c>
      <c r="L33" s="233">
        <f t="shared" si="16"/>
        <v>0</v>
      </c>
      <c r="M33" s="233">
        <f t="shared" si="16"/>
        <v>0</v>
      </c>
      <c r="N33" s="233">
        <f t="shared" si="16"/>
        <v>0</v>
      </c>
      <c r="O33" s="233">
        <f t="shared" si="16"/>
        <v>0</v>
      </c>
      <c r="P33" s="233">
        <f t="shared" si="16"/>
        <v>0</v>
      </c>
      <c r="Q33" s="233">
        <f t="shared" si="16"/>
        <v>0</v>
      </c>
      <c r="R33" s="233">
        <f t="shared" si="16"/>
        <v>0</v>
      </c>
      <c r="S33" s="233">
        <f t="shared" si="16"/>
        <v>0</v>
      </c>
      <c r="T33" s="233">
        <f t="shared" si="16"/>
        <v>0</v>
      </c>
      <c r="U33" s="233">
        <f t="shared" si="16"/>
        <v>0</v>
      </c>
      <c r="V33" s="233">
        <f t="shared" si="16"/>
        <v>0</v>
      </c>
      <c r="W33" s="233">
        <f t="shared" si="16"/>
        <v>0</v>
      </c>
      <c r="X33" s="233">
        <f t="shared" si="16"/>
        <v>0</v>
      </c>
      <c r="Y33" s="233">
        <f t="shared" si="16"/>
        <v>0</v>
      </c>
      <c r="Z33" s="233">
        <f t="shared" si="16"/>
        <v>0</v>
      </c>
      <c r="AA33" s="233">
        <f t="shared" si="16"/>
        <v>0</v>
      </c>
      <c r="AB33" s="233">
        <f t="shared" si="16"/>
        <v>0.39451105256484315</v>
      </c>
      <c r="AC33" s="233">
        <f t="shared" si="16"/>
        <v>0</v>
      </c>
      <c r="AD33" s="233"/>
      <c r="AE33" s="233"/>
      <c r="AF33" s="233"/>
      <c r="AG33" s="233"/>
      <c r="AH33" s="233"/>
      <c r="AI33" s="233"/>
      <c r="AJ33" s="233"/>
      <c r="AK33" s="233"/>
      <c r="AL33" s="233"/>
      <c r="AM33" s="233"/>
      <c r="AN33" s="233"/>
      <c r="AO33" s="233"/>
      <c r="AP33" s="233"/>
      <c r="AQ33" s="233"/>
      <c r="AR33" s="233"/>
      <c r="AS33" s="233"/>
      <c r="AT33" s="233"/>
      <c r="AU33" s="233"/>
      <c r="AV33" s="233"/>
      <c r="AW33" s="233"/>
    </row>
    <row r="34" spans="1:49" ht="15.75" thickBot="1" x14ac:dyDescent="0.3"/>
    <row r="35" spans="1:49" ht="42.75" thickBot="1" x14ac:dyDescent="0.3">
      <c r="A35" s="158" t="s">
        <v>2299</v>
      </c>
      <c r="D35" s="115">
        <f>D15+D18</f>
        <v>1292758</v>
      </c>
      <c r="E35" s="115">
        <f t="shared" ref="E35:AC35" si="17">E15+E18</f>
        <v>1204522</v>
      </c>
      <c r="F35" s="115">
        <f t="shared" si="17"/>
        <v>915331</v>
      </c>
      <c r="G35" s="115">
        <f t="shared" si="17"/>
        <v>710936</v>
      </c>
      <c r="H35" s="115">
        <f t="shared" si="17"/>
        <v>660581</v>
      </c>
      <c r="I35" s="115">
        <f t="shared" si="17"/>
        <v>671916</v>
      </c>
      <c r="J35" s="115">
        <f t="shared" si="17"/>
        <v>956691</v>
      </c>
      <c r="K35" s="115">
        <f t="shared" si="17"/>
        <v>1431121</v>
      </c>
      <c r="L35" s="115">
        <f t="shared" si="17"/>
        <v>1327367</v>
      </c>
      <c r="M35" s="115">
        <f t="shared" si="17"/>
        <v>1564328</v>
      </c>
      <c r="N35" s="115">
        <f t="shared" si="17"/>
        <v>1374802</v>
      </c>
      <c r="O35" s="115">
        <f t="shared" si="17"/>
        <v>1172861</v>
      </c>
      <c r="P35" s="115">
        <f t="shared" si="17"/>
        <v>1088902</v>
      </c>
      <c r="Q35" s="115">
        <f t="shared" si="17"/>
        <v>1539435</v>
      </c>
      <c r="R35" s="115">
        <f t="shared" si="17"/>
        <v>365423</v>
      </c>
      <c r="S35" s="115">
        <f t="shared" si="17"/>
        <v>601457</v>
      </c>
      <c r="T35" s="115">
        <f t="shared" si="17"/>
        <v>622540</v>
      </c>
      <c r="U35" s="115">
        <f t="shared" si="17"/>
        <v>603750</v>
      </c>
      <c r="V35" s="115">
        <f t="shared" si="17"/>
        <v>799635</v>
      </c>
      <c r="W35" s="115">
        <f t="shared" si="17"/>
        <v>1108200</v>
      </c>
      <c r="X35" s="115">
        <f t="shared" si="17"/>
        <v>901949</v>
      </c>
      <c r="Y35" s="115">
        <f t="shared" si="17"/>
        <v>1497747</v>
      </c>
      <c r="Z35" s="115">
        <f t="shared" si="17"/>
        <v>1327027</v>
      </c>
      <c r="AA35" s="115">
        <f t="shared" si="17"/>
        <v>1136112</v>
      </c>
      <c r="AB35" s="115">
        <f t="shared" si="17"/>
        <v>1134219</v>
      </c>
      <c r="AC35" s="115">
        <f t="shared" si="17"/>
        <v>2010138</v>
      </c>
    </row>
  </sheetData>
  <mergeCells count="18">
    <mergeCell ref="D1:M1"/>
    <mergeCell ref="N1:Y1"/>
    <mergeCell ref="Z1:AK1"/>
    <mergeCell ref="AL1:AW1"/>
    <mergeCell ref="A18:A25"/>
    <mergeCell ref="B20:B21"/>
    <mergeCell ref="B22:B23"/>
    <mergeCell ref="B24:B25"/>
    <mergeCell ref="A26:A33"/>
    <mergeCell ref="B28:B29"/>
    <mergeCell ref="B30:B31"/>
    <mergeCell ref="B32:B33"/>
    <mergeCell ref="A3:A8"/>
    <mergeCell ref="B3:B4"/>
    <mergeCell ref="B5:B6"/>
    <mergeCell ref="A10:A11"/>
    <mergeCell ref="A12:A13"/>
    <mergeCell ref="A15:A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13"/>
  <sheetViews>
    <sheetView zoomScale="90" zoomScaleNormal="90" workbookViewId="0">
      <selection activeCell="B4" sqref="B4"/>
    </sheetView>
  </sheetViews>
  <sheetFormatPr defaultColWidth="8.85546875" defaultRowHeight="15" x14ac:dyDescent="0.25"/>
  <cols>
    <col min="1" max="1" width="4" customWidth="1"/>
    <col min="2" max="2" width="43.140625" customWidth="1"/>
    <col min="3" max="3" width="24.42578125" customWidth="1"/>
    <col min="4" max="4" width="41.42578125" style="2" customWidth="1"/>
    <col min="5" max="5" width="15.42578125" customWidth="1"/>
    <col min="6" max="7" width="16" customWidth="1"/>
    <col min="8" max="8" width="20.140625" bestFit="1" customWidth="1"/>
    <col min="9" max="9" width="17.42578125" bestFit="1" customWidth="1"/>
  </cols>
  <sheetData>
    <row r="1" spans="1:21" ht="15.75" thickBot="1" x14ac:dyDescent="0.3">
      <c r="A1" s="438" t="s">
        <v>2172</v>
      </c>
      <c r="B1" s="10"/>
      <c r="C1" s="80" t="s">
        <v>23</v>
      </c>
      <c r="D1" s="81" t="s">
        <v>36</v>
      </c>
      <c r="E1" s="82" t="s">
        <v>21</v>
      </c>
      <c r="F1" s="82" t="s">
        <v>2182</v>
      </c>
      <c r="G1" s="82" t="s">
        <v>2181</v>
      </c>
      <c r="H1" s="82" t="s">
        <v>2180</v>
      </c>
      <c r="I1" s="83" t="s">
        <v>2179</v>
      </c>
    </row>
    <row r="2" spans="1:21" x14ac:dyDescent="0.25">
      <c r="A2" s="439"/>
      <c r="B2" s="24" t="s">
        <v>2212</v>
      </c>
      <c r="C2" s="3" t="s">
        <v>31</v>
      </c>
      <c r="D2" s="44"/>
      <c r="E2" s="4">
        <f t="shared" ref="E2:E16" si="0">SUM(F2:I2)</f>
        <v>57612119</v>
      </c>
      <c r="F2" s="4">
        <v>43642884</v>
      </c>
      <c r="G2" s="4">
        <f>8816037+2523331+1770551+859235+81</f>
        <v>13969235</v>
      </c>
      <c r="H2" s="3"/>
      <c r="I2" s="26"/>
    </row>
    <row r="3" spans="1:21" x14ac:dyDescent="0.25">
      <c r="A3" s="439"/>
      <c r="B3" s="24" t="s">
        <v>2215</v>
      </c>
      <c r="C3" s="3" t="s">
        <v>31</v>
      </c>
      <c r="D3" s="44"/>
      <c r="E3" s="4">
        <f t="shared" si="0"/>
        <v>26446080</v>
      </c>
      <c r="F3" s="4">
        <v>23063514</v>
      </c>
      <c r="G3" s="4">
        <f>2523331+859235</f>
        <v>3382566</v>
      </c>
      <c r="H3" s="3"/>
      <c r="I3" s="26"/>
    </row>
    <row r="4" spans="1:21" x14ac:dyDescent="0.25">
      <c r="A4" s="439"/>
      <c r="B4" s="24" t="s">
        <v>2213</v>
      </c>
      <c r="C4" s="3" t="s">
        <v>22</v>
      </c>
      <c r="D4" s="44" t="s">
        <v>2203</v>
      </c>
      <c r="E4" s="4">
        <f>SUM(F4:I4)</f>
        <v>7943315</v>
      </c>
      <c r="F4" s="4">
        <f>4243059+2183170</f>
        <v>6426229</v>
      </c>
      <c r="G4" s="4">
        <f>481142+1035944</f>
        <v>1517086</v>
      </c>
      <c r="H4" s="94"/>
      <c r="I4" s="95"/>
    </row>
    <row r="5" spans="1:21" x14ac:dyDescent="0.25">
      <c r="A5" s="439"/>
      <c r="B5" s="24" t="s">
        <v>2214</v>
      </c>
      <c r="C5" s="3" t="s">
        <v>22</v>
      </c>
      <c r="D5" s="44" t="s">
        <v>2202</v>
      </c>
      <c r="E5" s="4">
        <f>SUM(F5:I5)</f>
        <v>7279831</v>
      </c>
      <c r="F5" s="4">
        <f>4243059+2183170</f>
        <v>6426229</v>
      </c>
      <c r="G5" s="4">
        <f>606856+246746</f>
        <v>853602</v>
      </c>
      <c r="H5" s="4"/>
      <c r="I5" s="21"/>
    </row>
    <row r="6" spans="1:21" x14ac:dyDescent="0.25">
      <c r="A6" s="439"/>
      <c r="B6" s="24" t="s">
        <v>26</v>
      </c>
      <c r="C6" s="3" t="s">
        <v>55</v>
      </c>
      <c r="D6" s="44" t="s">
        <v>25</v>
      </c>
      <c r="E6" s="4">
        <f>SUM(F6:I6)</f>
        <v>43962414</v>
      </c>
      <c r="F6" s="4">
        <v>26603368</v>
      </c>
      <c r="G6" s="4">
        <v>15310370</v>
      </c>
      <c r="H6" s="4">
        <v>2048676</v>
      </c>
      <c r="I6" s="26"/>
    </row>
    <row r="7" spans="1:21" ht="30" x14ac:dyDescent="0.25">
      <c r="A7" s="439"/>
      <c r="B7" s="24" t="s">
        <v>27</v>
      </c>
      <c r="C7" s="3" t="s">
        <v>32</v>
      </c>
      <c r="D7" s="44" t="s">
        <v>35</v>
      </c>
      <c r="E7" s="4" t="e">
        <f t="shared" si="0"/>
        <v>#REF!</v>
      </c>
      <c r="F7" s="4">
        <v>11549754</v>
      </c>
      <c r="G7" s="4" t="e">
        <f>SUM(#REF!)</f>
        <v>#REF!</v>
      </c>
      <c r="H7" s="4"/>
      <c r="I7" s="21"/>
    </row>
    <row r="8" spans="1:21" ht="45" x14ac:dyDescent="0.25">
      <c r="A8" s="439"/>
      <c r="B8" s="24" t="s">
        <v>27</v>
      </c>
      <c r="C8" s="3" t="s">
        <v>28</v>
      </c>
      <c r="D8" s="45" t="s">
        <v>30</v>
      </c>
      <c r="E8" s="4">
        <f t="shared" si="0"/>
        <v>19005225</v>
      </c>
      <c r="F8" s="39">
        <v>14769597</v>
      </c>
      <c r="G8" s="4">
        <v>3940461</v>
      </c>
      <c r="H8" s="4">
        <v>248458</v>
      </c>
      <c r="I8" s="21">
        <v>46709</v>
      </c>
    </row>
    <row r="9" spans="1:21" ht="30" x14ac:dyDescent="0.25">
      <c r="A9" s="439"/>
      <c r="B9" s="102" t="s">
        <v>2218</v>
      </c>
      <c r="C9" s="3" t="s">
        <v>33</v>
      </c>
      <c r="D9" s="44" t="s">
        <v>37</v>
      </c>
      <c r="E9" s="4">
        <f>SUM(F9:I9)</f>
        <v>8028936</v>
      </c>
      <c r="F9" s="39">
        <v>5386212</v>
      </c>
      <c r="G9" s="4">
        <v>2518700</v>
      </c>
      <c r="H9" s="4">
        <v>124024</v>
      </c>
      <c r="I9" s="21"/>
      <c r="J9" s="87" t="s">
        <v>2217</v>
      </c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</row>
    <row r="10" spans="1:21" x14ac:dyDescent="0.25">
      <c r="A10" s="439"/>
      <c r="B10" s="102" t="s">
        <v>2219</v>
      </c>
      <c r="C10" s="3" t="s">
        <v>33</v>
      </c>
      <c r="D10" s="44"/>
      <c r="E10" s="4">
        <f t="shared" ref="E10" si="1">SUM(F10:I10)</f>
        <v>1091697</v>
      </c>
      <c r="F10" s="39">
        <v>568777</v>
      </c>
      <c r="G10" s="4">
        <v>512962</v>
      </c>
      <c r="H10" s="4">
        <v>9958</v>
      </c>
      <c r="I10" s="21"/>
    </row>
    <row r="11" spans="1:21" x14ac:dyDescent="0.25">
      <c r="A11" s="439"/>
      <c r="B11" s="101" t="s">
        <v>2220</v>
      </c>
      <c r="C11" s="3" t="s">
        <v>33</v>
      </c>
      <c r="D11" s="44"/>
      <c r="E11" s="4">
        <f>SUM(E9:E10)</f>
        <v>9120633</v>
      </c>
      <c r="F11" s="4">
        <f t="shared" ref="F11:I11" si="2">SUM(F9:F10)</f>
        <v>5954989</v>
      </c>
      <c r="G11" s="4">
        <f t="shared" si="2"/>
        <v>3031662</v>
      </c>
      <c r="H11" s="4">
        <f t="shared" si="2"/>
        <v>133982</v>
      </c>
      <c r="I11" s="4">
        <f t="shared" si="2"/>
        <v>0</v>
      </c>
    </row>
    <row r="12" spans="1:21" x14ac:dyDescent="0.25">
      <c r="A12" s="439"/>
    </row>
    <row r="13" spans="1:21" x14ac:dyDescent="0.25">
      <c r="A13" s="439"/>
      <c r="B13" s="102" t="s">
        <v>2222</v>
      </c>
      <c r="C13" s="3" t="s">
        <v>33</v>
      </c>
      <c r="D13" s="44"/>
      <c r="E13" s="4">
        <f>SUM(F13:I13)</f>
        <v>0</v>
      </c>
      <c r="I13" s="21"/>
    </row>
    <row r="14" spans="1:21" x14ac:dyDescent="0.25">
      <c r="A14" s="439"/>
      <c r="B14" s="102" t="s">
        <v>2221</v>
      </c>
    </row>
    <row r="15" spans="1:21" ht="30" x14ac:dyDescent="0.25">
      <c r="A15" s="439"/>
      <c r="B15" s="24" t="s">
        <v>34</v>
      </c>
      <c r="C15" s="3" t="s">
        <v>33</v>
      </c>
      <c r="D15" s="44" t="s">
        <v>37</v>
      </c>
      <c r="E15" s="4">
        <f>SUM(F15:I15)</f>
        <v>17048820</v>
      </c>
      <c r="F15" s="4">
        <v>11595292</v>
      </c>
      <c r="G15" s="4">
        <v>5205070</v>
      </c>
      <c r="H15" s="4">
        <v>248458</v>
      </c>
      <c r="I15" s="26"/>
    </row>
    <row r="16" spans="1:21" ht="15.75" thickBot="1" x14ac:dyDescent="0.3">
      <c r="A16" s="440"/>
      <c r="B16" s="79" t="s">
        <v>38</v>
      </c>
      <c r="C16" s="16" t="s">
        <v>33</v>
      </c>
      <c r="D16" s="46" t="s">
        <v>39</v>
      </c>
      <c r="E16" s="18">
        <f t="shared" si="0"/>
        <v>13894901</v>
      </c>
      <c r="F16" s="18">
        <f>SUM('ETS - Custom Install-referral'!C2:C13)</f>
        <v>9671085</v>
      </c>
      <c r="G16" s="18">
        <f>SUM('ETS - Custom Install-referral'!D2:D13)</f>
        <v>4024519</v>
      </c>
      <c r="H16" s="18">
        <f>SUM('ETS - Custom Install-referral'!E2:E13)</f>
        <v>199297</v>
      </c>
      <c r="I16" s="19">
        <f>SUM('ETS - Custom Install-referral'!F2:F13)</f>
        <v>0</v>
      </c>
    </row>
    <row r="18" spans="1:9" ht="30" x14ac:dyDescent="0.25">
      <c r="D18" s="54" t="s">
        <v>2135</v>
      </c>
      <c r="E18" s="55">
        <f>E15-E16</f>
        <v>3153919</v>
      </c>
      <c r="F18" s="55">
        <f>F15-F16</f>
        <v>1924207</v>
      </c>
      <c r="G18" s="55">
        <f>G15-G16</f>
        <v>1180551</v>
      </c>
      <c r="H18" s="55">
        <f>H15-H16</f>
        <v>49161</v>
      </c>
      <c r="I18" s="55">
        <f>I15-I16</f>
        <v>0</v>
      </c>
    </row>
    <row r="19" spans="1:9" x14ac:dyDescent="0.25">
      <c r="D19" s="54"/>
      <c r="E19" s="55"/>
      <c r="F19" s="55"/>
      <c r="G19" s="55"/>
      <c r="H19" s="55"/>
      <c r="I19" s="55"/>
    </row>
    <row r="20" spans="1:9" ht="15.75" thickBot="1" x14ac:dyDescent="0.3">
      <c r="B20" s="84" t="s">
        <v>2174</v>
      </c>
      <c r="C20" s="422" t="s">
        <v>2175</v>
      </c>
      <c r="D20" s="423"/>
      <c r="E20" s="423"/>
      <c r="F20" s="423"/>
      <c r="G20" s="423"/>
      <c r="H20" s="423"/>
      <c r="I20" s="423"/>
    </row>
    <row r="21" spans="1:9" ht="15.75" thickBot="1" x14ac:dyDescent="0.3">
      <c r="C21" s="80" t="s">
        <v>23</v>
      </c>
      <c r="D21" s="81" t="s">
        <v>36</v>
      </c>
      <c r="E21" s="82" t="s">
        <v>21</v>
      </c>
      <c r="F21" s="82" t="s">
        <v>13</v>
      </c>
      <c r="G21" s="82" t="s">
        <v>14</v>
      </c>
      <c r="H21" s="82" t="s">
        <v>15</v>
      </c>
      <c r="I21" s="83" t="s">
        <v>29</v>
      </c>
    </row>
    <row r="22" spans="1:9" ht="15.75" customHeight="1" thickBot="1" x14ac:dyDescent="0.3">
      <c r="A22" s="424" t="s">
        <v>2136</v>
      </c>
      <c r="B22" s="58" t="s">
        <v>54</v>
      </c>
      <c r="C22" s="5" t="s">
        <v>24</v>
      </c>
      <c r="D22" s="48"/>
      <c r="E22" s="35">
        <f>SUM(F22:I22)</f>
        <v>32112361</v>
      </c>
      <c r="F22" s="37">
        <v>17288919</v>
      </c>
      <c r="G22" s="38">
        <v>12923503</v>
      </c>
      <c r="H22" s="38">
        <v>1899939</v>
      </c>
      <c r="I22" s="6">
        <v>0</v>
      </c>
    </row>
    <row r="23" spans="1:9" ht="54" customHeight="1" thickBot="1" x14ac:dyDescent="0.3">
      <c r="A23" s="425"/>
      <c r="B23" s="59" t="s">
        <v>40</v>
      </c>
      <c r="C23" s="31" t="s">
        <v>33</v>
      </c>
      <c r="D23" s="32" t="s">
        <v>42</v>
      </c>
      <c r="E23" s="33">
        <f>SUM(F23:I23)</f>
        <v>5564708</v>
      </c>
      <c r="F23" s="33">
        <v>2946377</v>
      </c>
      <c r="G23" s="103">
        <v>2618303</v>
      </c>
      <c r="H23" s="33">
        <v>28</v>
      </c>
      <c r="I23" s="34"/>
    </row>
    <row r="24" spans="1:9" ht="17.25" customHeight="1" thickBot="1" x14ac:dyDescent="0.3">
      <c r="A24" s="425"/>
      <c r="B24" s="66"/>
      <c r="C24" s="66"/>
      <c r="D24" s="67"/>
      <c r="E24" s="68"/>
      <c r="F24" s="68"/>
      <c r="G24" s="68"/>
      <c r="H24" s="68"/>
      <c r="I24" s="68"/>
    </row>
    <row r="25" spans="1:9" ht="60" customHeight="1" x14ac:dyDescent="0.25">
      <c r="A25" s="425"/>
      <c r="B25" s="60" t="s">
        <v>41</v>
      </c>
      <c r="C25" s="11" t="s">
        <v>33</v>
      </c>
      <c r="D25" s="12" t="s">
        <v>43</v>
      </c>
      <c r="E25" s="13">
        <f>SUM(F25:H25)</f>
        <v>2338369</v>
      </c>
      <c r="F25" s="100">
        <v>2338345</v>
      </c>
      <c r="G25" s="36" t="s">
        <v>8</v>
      </c>
      <c r="H25" s="99">
        <v>24</v>
      </c>
      <c r="I25" s="15"/>
    </row>
    <row r="26" spans="1:9" ht="45" x14ac:dyDescent="0.25">
      <c r="A26" s="425"/>
      <c r="B26" s="61" t="s">
        <v>50</v>
      </c>
      <c r="C26" s="3"/>
      <c r="D26" s="7" t="s">
        <v>51</v>
      </c>
      <c r="E26" s="8"/>
      <c r="F26" s="9">
        <f>F25/F23</f>
        <v>0.79363401221228647</v>
      </c>
      <c r="G26" s="4"/>
      <c r="H26" s="4"/>
      <c r="I26" s="21"/>
    </row>
    <row r="27" spans="1:9" ht="15.75" thickBot="1" x14ac:dyDescent="0.3">
      <c r="A27" s="425"/>
      <c r="B27" s="62" t="s">
        <v>52</v>
      </c>
      <c r="C27" s="18"/>
      <c r="D27" s="49"/>
      <c r="E27" s="18"/>
      <c r="F27" s="92">
        <f>F25/F22</f>
        <v>0.13525108192131619</v>
      </c>
      <c r="G27" s="18"/>
      <c r="H27" s="18"/>
      <c r="I27" s="19"/>
    </row>
    <row r="28" spans="1:9" ht="14.25" customHeight="1" thickBot="1" x14ac:dyDescent="0.3">
      <c r="A28" s="425"/>
      <c r="B28" s="66"/>
      <c r="C28" s="66"/>
      <c r="D28" s="67"/>
      <c r="E28" s="68"/>
      <c r="F28" s="68"/>
      <c r="G28" s="68"/>
      <c r="H28" s="68"/>
      <c r="I28" s="68"/>
    </row>
    <row r="29" spans="1:9" ht="30" customHeight="1" x14ac:dyDescent="0.25">
      <c r="A29" s="425"/>
      <c r="B29" s="63" t="s">
        <v>44</v>
      </c>
      <c r="C29" s="13"/>
      <c r="D29" s="12" t="s">
        <v>45</v>
      </c>
      <c r="E29" s="13">
        <f>E23</f>
        <v>5564708</v>
      </c>
      <c r="F29" s="13">
        <f>F23</f>
        <v>2946377</v>
      </c>
      <c r="G29" s="13">
        <f>G23</f>
        <v>2618303</v>
      </c>
      <c r="H29" s="13">
        <f>H23</f>
        <v>28</v>
      </c>
      <c r="I29" s="15">
        <f>I23</f>
        <v>0</v>
      </c>
    </row>
    <row r="30" spans="1:9" ht="15.75" thickBot="1" x14ac:dyDescent="0.3">
      <c r="A30" s="425"/>
      <c r="B30" s="64" t="s">
        <v>49</v>
      </c>
      <c r="C30" s="4"/>
      <c r="D30" s="44"/>
      <c r="E30" s="9">
        <f>E29/E22</f>
        <v>0.17328865977808358</v>
      </c>
      <c r="F30" s="9">
        <f>F29/F22</f>
        <v>0.17041996668501946</v>
      </c>
      <c r="G30" s="9">
        <f t="shared" ref="G30" si="3">G29/G22</f>
        <v>0.20260009998837003</v>
      </c>
      <c r="H30" s="8"/>
      <c r="I30" s="23"/>
    </row>
    <row r="31" spans="1:9" ht="45" x14ac:dyDescent="0.25">
      <c r="A31" s="425"/>
      <c r="B31" s="65" t="s">
        <v>46</v>
      </c>
      <c r="C31" s="3"/>
      <c r="D31" s="44" t="s">
        <v>47</v>
      </c>
      <c r="E31" s="4">
        <f>E29-E25</f>
        <v>3226339</v>
      </c>
      <c r="F31" s="4">
        <f>F29-F25</f>
        <v>608032</v>
      </c>
      <c r="G31" s="36" t="s">
        <v>8</v>
      </c>
      <c r="H31" s="4">
        <f>H29-H25</f>
        <v>4</v>
      </c>
      <c r="I31" s="21">
        <f>I29-I25</f>
        <v>0</v>
      </c>
    </row>
    <row r="32" spans="1:9" ht="15.75" thickBot="1" x14ac:dyDescent="0.3">
      <c r="A32" s="426"/>
      <c r="B32" s="62" t="s">
        <v>48</v>
      </c>
      <c r="C32" s="16"/>
      <c r="D32" s="46"/>
      <c r="E32" s="16"/>
      <c r="F32" s="17">
        <f>F31/F22</f>
        <v>3.5168884763703272E-2</v>
      </c>
      <c r="G32" s="16"/>
      <c r="H32" s="16"/>
      <c r="I32" s="25"/>
    </row>
    <row r="33" spans="1:9" ht="30.75" customHeight="1" x14ac:dyDescent="0.25">
      <c r="A33" s="85"/>
      <c r="B33" s="427" t="s">
        <v>2183</v>
      </c>
      <c r="C33" s="427"/>
      <c r="D33" s="427"/>
      <c r="E33" s="427"/>
      <c r="F33" s="427"/>
      <c r="G33" s="427"/>
      <c r="H33" s="427"/>
      <c r="I33" s="427"/>
    </row>
    <row r="34" spans="1:9" x14ac:dyDescent="0.25">
      <c r="A34" s="56"/>
      <c r="B34" s="56"/>
      <c r="F34" s="57"/>
    </row>
    <row r="35" spans="1:9" ht="15.75" thickBot="1" x14ac:dyDescent="0.3">
      <c r="A35" s="56"/>
      <c r="B35" s="87" t="s">
        <v>2174</v>
      </c>
      <c r="C35" s="96" t="s">
        <v>2187</v>
      </c>
      <c r="D35" s="88"/>
      <c r="E35" s="87"/>
      <c r="F35" s="89"/>
      <c r="G35" s="87"/>
      <c r="H35" s="87"/>
      <c r="I35" s="87"/>
    </row>
    <row r="36" spans="1:9" ht="15.75" thickBot="1" x14ac:dyDescent="0.3">
      <c r="A36" s="56"/>
      <c r="B36" s="56"/>
      <c r="C36" s="80" t="s">
        <v>23</v>
      </c>
      <c r="D36" s="81" t="s">
        <v>36</v>
      </c>
      <c r="E36" s="82" t="s">
        <v>21</v>
      </c>
      <c r="F36" s="82" t="s">
        <v>13</v>
      </c>
      <c r="G36" s="82" t="s">
        <v>14</v>
      </c>
      <c r="H36" s="82" t="s">
        <v>15</v>
      </c>
      <c r="I36" s="83" t="s">
        <v>29</v>
      </c>
    </row>
    <row r="37" spans="1:9" ht="15.75" thickBot="1" x14ac:dyDescent="0.3">
      <c r="A37" s="428" t="s">
        <v>2137</v>
      </c>
      <c r="B37" s="40" t="s">
        <v>2142</v>
      </c>
      <c r="C37" s="5" t="s">
        <v>24</v>
      </c>
      <c r="D37" s="48"/>
      <c r="E37" s="35">
        <f>SUM(F37:I37)</f>
        <v>118022</v>
      </c>
      <c r="F37" s="37">
        <v>68881</v>
      </c>
      <c r="G37" s="38">
        <v>47287</v>
      </c>
      <c r="H37" s="38">
        <v>1854</v>
      </c>
      <c r="I37" s="6">
        <v>0</v>
      </c>
    </row>
    <row r="38" spans="1:9" ht="30.75" thickBot="1" x14ac:dyDescent="0.3">
      <c r="A38" s="429"/>
      <c r="B38" s="30" t="s">
        <v>2143</v>
      </c>
      <c r="C38" s="31" t="s">
        <v>33</v>
      </c>
      <c r="D38" s="32" t="s">
        <v>2144</v>
      </c>
      <c r="E38" s="33">
        <f>SUM(F38:I38)</f>
        <v>7231</v>
      </c>
      <c r="F38" s="33">
        <v>5335</v>
      </c>
      <c r="G38" s="33">
        <v>1896</v>
      </c>
      <c r="H38" s="33">
        <v>0</v>
      </c>
      <c r="I38" s="34"/>
    </row>
    <row r="39" spans="1:9" ht="15.75" thickBot="1" x14ac:dyDescent="0.3">
      <c r="A39" s="429"/>
      <c r="B39" s="69"/>
      <c r="C39" s="66"/>
      <c r="D39" s="67"/>
      <c r="E39" s="68"/>
      <c r="F39" s="68"/>
      <c r="G39" s="68"/>
      <c r="H39" s="68"/>
      <c r="I39" s="70"/>
    </row>
    <row r="40" spans="1:9" ht="45" x14ac:dyDescent="0.25">
      <c r="A40" s="429"/>
      <c r="B40" s="41" t="s">
        <v>2145</v>
      </c>
      <c r="C40" s="11" t="s">
        <v>33</v>
      </c>
      <c r="D40" s="12" t="s">
        <v>2146</v>
      </c>
      <c r="E40" s="13">
        <f>SUM(F40:H40)</f>
        <v>2882</v>
      </c>
      <c r="F40" s="100">
        <v>2882</v>
      </c>
      <c r="G40" s="36" t="s">
        <v>8</v>
      </c>
      <c r="H40" s="14">
        <v>0</v>
      </c>
      <c r="I40" s="15"/>
    </row>
    <row r="41" spans="1:9" ht="45" x14ac:dyDescent="0.25">
      <c r="A41" s="429"/>
      <c r="B41" s="42" t="s">
        <v>2141</v>
      </c>
      <c r="C41" s="3"/>
      <c r="D41" s="7" t="s">
        <v>2147</v>
      </c>
      <c r="E41" s="8"/>
      <c r="F41" s="9">
        <f>F40/F38</f>
        <v>0.54020618556701028</v>
      </c>
      <c r="G41" s="4"/>
      <c r="H41" s="4"/>
      <c r="I41" s="21"/>
    </row>
    <row r="42" spans="1:9" ht="15.75" thickBot="1" x14ac:dyDescent="0.3">
      <c r="A42" s="429"/>
      <c r="B42" s="43" t="s">
        <v>52</v>
      </c>
      <c r="C42" s="18"/>
      <c r="D42" s="49"/>
      <c r="E42" s="18"/>
      <c r="F42" s="22">
        <f>F40/F37</f>
        <v>4.1840275257327857E-2</v>
      </c>
      <c r="G42" s="18"/>
      <c r="H42" s="18"/>
      <c r="I42" s="19"/>
    </row>
    <row r="43" spans="1:9" ht="15.75" thickBot="1" x14ac:dyDescent="0.3">
      <c r="A43" s="429"/>
      <c r="B43" s="69"/>
      <c r="C43" s="66"/>
      <c r="D43" s="67"/>
      <c r="E43" s="68"/>
      <c r="F43" s="68"/>
      <c r="G43" s="68"/>
      <c r="H43" s="68"/>
      <c r="I43" s="70"/>
    </row>
    <row r="44" spans="1:9" ht="30" x14ac:dyDescent="0.25">
      <c r="A44" s="429"/>
      <c r="B44" s="10" t="s">
        <v>44</v>
      </c>
      <c r="C44" s="13"/>
      <c r="D44" s="12" t="s">
        <v>2184</v>
      </c>
      <c r="E44" s="13">
        <f>SUM(F44:I44)</f>
        <v>7231</v>
      </c>
      <c r="F44" s="13">
        <f>F38</f>
        <v>5335</v>
      </c>
      <c r="G44" s="13">
        <f t="shared" ref="G44:I44" si="4">G38</f>
        <v>1896</v>
      </c>
      <c r="H44" s="13">
        <f t="shared" si="4"/>
        <v>0</v>
      </c>
      <c r="I44" s="13">
        <f t="shared" si="4"/>
        <v>0</v>
      </c>
    </row>
    <row r="45" spans="1:9" ht="15.75" thickBot="1" x14ac:dyDescent="0.3">
      <c r="A45" s="429"/>
      <c r="B45" s="20" t="s">
        <v>49</v>
      </c>
      <c r="C45" s="4"/>
      <c r="D45" s="44"/>
      <c r="E45" s="9">
        <f>E44/E37</f>
        <v>6.1268238125095319E-2</v>
      </c>
      <c r="F45" s="9">
        <f>F44/F37</f>
        <v>7.7452417938183249E-2</v>
      </c>
      <c r="G45" s="9">
        <f t="shared" ref="G45" si="5">G44/G37</f>
        <v>4.0095586524837697E-2</v>
      </c>
      <c r="H45" s="8"/>
      <c r="I45" s="23"/>
    </row>
    <row r="46" spans="1:9" ht="60" x14ac:dyDescent="0.25">
      <c r="A46" s="429"/>
      <c r="B46" s="24" t="s">
        <v>46</v>
      </c>
      <c r="C46" s="3"/>
      <c r="D46" s="12" t="s">
        <v>56</v>
      </c>
      <c r="E46" s="93">
        <f>E44-E40</f>
        <v>4349</v>
      </c>
      <c r="F46" s="4">
        <f>F44-F40</f>
        <v>2453</v>
      </c>
      <c r="G46" s="36" t="s">
        <v>8</v>
      </c>
      <c r="H46" s="4">
        <f>H44-H40</f>
        <v>0</v>
      </c>
      <c r="I46" s="21">
        <f>I44-I40</f>
        <v>0</v>
      </c>
    </row>
    <row r="47" spans="1:9" ht="15.75" thickBot="1" x14ac:dyDescent="0.3">
      <c r="A47" s="430"/>
      <c r="B47" s="43" t="s">
        <v>48</v>
      </c>
      <c r="C47" s="16"/>
      <c r="D47" s="46"/>
      <c r="E47" s="16"/>
      <c r="F47" s="17">
        <f>F46/F37</f>
        <v>3.5612142680855385E-2</v>
      </c>
      <c r="G47" s="16"/>
      <c r="H47" s="16"/>
      <c r="I47" s="25"/>
    </row>
    <row r="48" spans="1:9" x14ac:dyDescent="0.25">
      <c r="A48" s="56"/>
      <c r="B48" s="431" t="s">
        <v>2173</v>
      </c>
      <c r="C48" s="431"/>
      <c r="D48" s="431"/>
      <c r="E48" s="431"/>
      <c r="F48" s="431"/>
      <c r="G48" s="431"/>
      <c r="H48" s="431"/>
      <c r="I48" s="431"/>
    </row>
    <row r="49" spans="1:9" x14ac:dyDescent="0.25">
      <c r="A49" s="56"/>
      <c r="B49" s="90"/>
      <c r="C49" s="90"/>
      <c r="D49" s="90"/>
      <c r="E49" s="90"/>
      <c r="F49" s="90"/>
      <c r="G49" s="90"/>
      <c r="H49" s="90"/>
      <c r="I49" s="90"/>
    </row>
    <row r="50" spans="1:9" x14ac:dyDescent="0.25">
      <c r="A50" s="56"/>
      <c r="B50" s="90"/>
      <c r="C50" s="90"/>
      <c r="D50" s="90"/>
      <c r="E50" s="90"/>
      <c r="F50" s="90"/>
      <c r="G50" s="90"/>
      <c r="H50" s="90"/>
      <c r="I50" s="90"/>
    </row>
    <row r="51" spans="1:9" ht="15.75" thickBot="1" x14ac:dyDescent="0.3">
      <c r="A51" s="56"/>
      <c r="B51" s="87" t="s">
        <v>2174</v>
      </c>
      <c r="C51" s="96" t="s">
        <v>2189</v>
      </c>
      <c r="D51" s="88"/>
      <c r="E51" s="87"/>
      <c r="F51" s="89"/>
      <c r="G51" s="87"/>
      <c r="H51" s="87"/>
      <c r="I51" s="87"/>
    </row>
    <row r="52" spans="1:9" ht="15.75" thickBot="1" x14ac:dyDescent="0.3">
      <c r="A52" s="56"/>
      <c r="B52" s="56"/>
      <c r="C52" s="80" t="s">
        <v>23</v>
      </c>
      <c r="D52" s="81" t="s">
        <v>36</v>
      </c>
      <c r="E52" s="82" t="s">
        <v>21</v>
      </c>
      <c r="F52" s="82" t="s">
        <v>13</v>
      </c>
      <c r="G52" s="82" t="s">
        <v>14</v>
      </c>
      <c r="H52" s="82" t="s">
        <v>15</v>
      </c>
      <c r="I52" s="83" t="s">
        <v>29</v>
      </c>
    </row>
    <row r="53" spans="1:9" ht="15.75" thickBot="1" x14ac:dyDescent="0.3">
      <c r="A53" s="438" t="s">
        <v>2138</v>
      </c>
      <c r="B53" s="78" t="s">
        <v>2148</v>
      </c>
      <c r="C53" s="71" t="s">
        <v>24</v>
      </c>
      <c r="D53" s="72"/>
      <c r="E53" s="73">
        <f>SUM(F53:I53)</f>
        <v>9777900</v>
      </c>
      <c r="F53" s="74">
        <v>8349007</v>
      </c>
      <c r="G53" s="75">
        <v>1422992</v>
      </c>
      <c r="H53" s="75">
        <v>5901</v>
      </c>
      <c r="I53" s="76"/>
    </row>
    <row r="54" spans="1:9" ht="30.75" customHeight="1" thickBot="1" x14ac:dyDescent="0.3">
      <c r="A54" s="439"/>
      <c r="B54" s="58" t="s">
        <v>2149</v>
      </c>
      <c r="C54" s="5" t="s">
        <v>33</v>
      </c>
      <c r="D54" s="47" t="s">
        <v>2150</v>
      </c>
      <c r="E54" s="77">
        <f>SUM(F54:I54)</f>
        <v>176824</v>
      </c>
      <c r="F54" s="77">
        <v>67493</v>
      </c>
      <c r="G54" s="77">
        <v>109329</v>
      </c>
      <c r="H54" s="77">
        <v>2</v>
      </c>
      <c r="I54" s="6"/>
    </row>
    <row r="55" spans="1:9" ht="15.75" thickBot="1" x14ac:dyDescent="0.3">
      <c r="A55" s="439"/>
      <c r="B55" s="66"/>
      <c r="C55" s="66"/>
      <c r="D55" s="67"/>
      <c r="E55" s="68"/>
      <c r="F55" s="68"/>
      <c r="G55" s="68"/>
      <c r="H55" s="68"/>
      <c r="I55" s="70"/>
    </row>
    <row r="56" spans="1:9" ht="45" x14ac:dyDescent="0.25">
      <c r="A56" s="439"/>
      <c r="B56" s="60" t="s">
        <v>2151</v>
      </c>
      <c r="C56" s="11" t="s">
        <v>33</v>
      </c>
      <c r="D56" s="12" t="s">
        <v>2152</v>
      </c>
      <c r="E56" s="13">
        <f>SUM(F56:H56)</f>
        <v>22394</v>
      </c>
      <c r="F56" s="100">
        <v>22394</v>
      </c>
      <c r="G56" s="36" t="s">
        <v>8</v>
      </c>
      <c r="H56" s="14"/>
      <c r="I56" s="15"/>
    </row>
    <row r="57" spans="1:9" ht="45" x14ac:dyDescent="0.25">
      <c r="A57" s="439"/>
      <c r="B57" s="61" t="s">
        <v>2141</v>
      </c>
      <c r="C57" s="3"/>
      <c r="D57" s="7" t="s">
        <v>2153</v>
      </c>
      <c r="E57" s="8"/>
      <c r="F57" s="9">
        <f t="shared" ref="F57" si="6">F56/F54</f>
        <v>0.33179737157927491</v>
      </c>
      <c r="G57" s="4"/>
      <c r="H57" s="4"/>
      <c r="I57" s="21"/>
    </row>
    <row r="58" spans="1:9" ht="15.75" thickBot="1" x14ac:dyDescent="0.3">
      <c r="A58" s="439"/>
      <c r="B58" s="62" t="s">
        <v>52</v>
      </c>
      <c r="C58" s="18"/>
      <c r="D58" s="49"/>
      <c r="E58" s="18"/>
      <c r="F58" s="92">
        <f>F56/F53</f>
        <v>2.6822351448501599E-3</v>
      </c>
      <c r="G58" s="18"/>
      <c r="H58" s="18"/>
      <c r="I58" s="19"/>
    </row>
    <row r="59" spans="1:9" ht="15.75" thickBot="1" x14ac:dyDescent="0.3">
      <c r="A59" s="439"/>
      <c r="B59" s="66"/>
      <c r="C59" s="66"/>
      <c r="D59" s="67"/>
      <c r="E59" s="68"/>
      <c r="F59" s="68"/>
      <c r="G59" s="68"/>
      <c r="H59" s="68"/>
      <c r="I59" s="70"/>
    </row>
    <row r="60" spans="1:9" ht="75" customHeight="1" x14ac:dyDescent="0.25">
      <c r="A60" s="439"/>
      <c r="B60" s="63" t="s">
        <v>44</v>
      </c>
      <c r="C60" s="13"/>
      <c r="D60" s="12" t="s">
        <v>2185</v>
      </c>
      <c r="E60" s="13">
        <f>SUM(F60:I60)</f>
        <v>176824</v>
      </c>
      <c r="F60" s="13">
        <f>F54</f>
        <v>67493</v>
      </c>
      <c r="G60" s="13">
        <f t="shared" ref="G60:I60" si="7">G54</f>
        <v>109329</v>
      </c>
      <c r="H60" s="13">
        <f t="shared" si="7"/>
        <v>2</v>
      </c>
      <c r="I60" s="13">
        <f t="shared" si="7"/>
        <v>0</v>
      </c>
    </row>
    <row r="61" spans="1:9" ht="15.75" thickBot="1" x14ac:dyDescent="0.3">
      <c r="A61" s="439"/>
      <c r="B61" s="64" t="s">
        <v>49</v>
      </c>
      <c r="C61" s="4"/>
      <c r="D61" s="44"/>
      <c r="E61" s="9">
        <f>E60/E53</f>
        <v>1.808404667668927E-2</v>
      </c>
      <c r="F61" s="9">
        <f>F60/F53</f>
        <v>8.0839553733755409E-3</v>
      </c>
      <c r="G61" s="9">
        <f>G60/G53</f>
        <v>7.6830368687947653E-2</v>
      </c>
      <c r="H61" s="8"/>
      <c r="I61" s="23"/>
    </row>
    <row r="62" spans="1:9" ht="60" x14ac:dyDescent="0.25">
      <c r="A62" s="439"/>
      <c r="B62" s="65" t="s">
        <v>46</v>
      </c>
      <c r="C62" s="3"/>
      <c r="D62" s="12" t="s">
        <v>57</v>
      </c>
      <c r="E62" s="93">
        <f>E60-E56</f>
        <v>154430</v>
      </c>
      <c r="F62" s="4">
        <f>F60-F56</f>
        <v>45099</v>
      </c>
      <c r="G62" s="36" t="s">
        <v>8</v>
      </c>
      <c r="H62" s="4">
        <f>H60-H56</f>
        <v>2</v>
      </c>
      <c r="I62" s="21">
        <f>I60-I56</f>
        <v>0</v>
      </c>
    </row>
    <row r="63" spans="1:9" ht="15.75" thickBot="1" x14ac:dyDescent="0.3">
      <c r="A63" s="440"/>
      <c r="B63" s="62" t="s">
        <v>48</v>
      </c>
      <c r="C63" s="16"/>
      <c r="D63" s="46"/>
      <c r="E63" s="16"/>
      <c r="F63" s="17">
        <f>F62/F53</f>
        <v>5.4017202285253805E-3</v>
      </c>
      <c r="G63" s="16"/>
      <c r="H63" s="16"/>
      <c r="I63" s="25"/>
    </row>
    <row r="64" spans="1:9" ht="15" customHeight="1" x14ac:dyDescent="0.25">
      <c r="A64" s="56"/>
      <c r="B64" s="431" t="s">
        <v>2176</v>
      </c>
      <c r="C64" s="431"/>
      <c r="D64" s="431"/>
      <c r="E64" s="431"/>
      <c r="F64" s="431"/>
      <c r="G64" s="431"/>
      <c r="H64" s="431"/>
      <c r="I64" s="431"/>
    </row>
    <row r="65" spans="1:9" ht="55.5" customHeight="1" x14ac:dyDescent="0.25">
      <c r="A65" s="56"/>
      <c r="B65" s="441" t="s">
        <v>2177</v>
      </c>
      <c r="C65" s="441"/>
      <c r="D65" s="441"/>
      <c r="E65" s="441"/>
      <c r="F65" s="441"/>
      <c r="G65" s="441"/>
      <c r="H65" s="441"/>
      <c r="I65" s="441"/>
    </row>
    <row r="66" spans="1:9" x14ac:dyDescent="0.25">
      <c r="A66" s="56"/>
      <c r="B66" s="56"/>
      <c r="F66" s="57"/>
    </row>
    <row r="67" spans="1:9" ht="15.75" thickBot="1" x14ac:dyDescent="0.3">
      <c r="A67" s="56"/>
      <c r="B67" s="87" t="s">
        <v>2174</v>
      </c>
      <c r="C67" s="96" t="s">
        <v>2188</v>
      </c>
      <c r="D67" s="88"/>
      <c r="E67" s="87"/>
      <c r="F67" s="89"/>
      <c r="G67" s="87"/>
      <c r="H67" s="87"/>
      <c r="I67" s="87"/>
    </row>
    <row r="68" spans="1:9" ht="15.75" thickBot="1" x14ac:dyDescent="0.3">
      <c r="A68" s="56"/>
      <c r="B68" s="56"/>
      <c r="C68" s="80" t="s">
        <v>23</v>
      </c>
      <c r="D68" s="81" t="s">
        <v>36</v>
      </c>
      <c r="E68" s="82" t="s">
        <v>21</v>
      </c>
      <c r="F68" s="82" t="s">
        <v>13</v>
      </c>
      <c r="G68" s="82" t="s">
        <v>14</v>
      </c>
      <c r="H68" s="82" t="s">
        <v>15</v>
      </c>
      <c r="I68" s="83" t="s">
        <v>29</v>
      </c>
    </row>
    <row r="69" spans="1:9" ht="15.75" customHeight="1" thickBot="1" x14ac:dyDescent="0.3">
      <c r="A69" s="432" t="s">
        <v>2171</v>
      </c>
      <c r="B69" s="5" t="s">
        <v>2155</v>
      </c>
      <c r="C69" s="5" t="s">
        <v>24</v>
      </c>
      <c r="D69" s="48"/>
      <c r="E69" s="35">
        <f>SUM(F69:I69)</f>
        <v>621204</v>
      </c>
      <c r="F69" s="37">
        <v>481833</v>
      </c>
      <c r="G69" s="38">
        <v>136604</v>
      </c>
      <c r="H69" s="38">
        <v>2767</v>
      </c>
      <c r="I69" s="6">
        <v>0</v>
      </c>
    </row>
    <row r="70" spans="1:9" ht="30.75" thickBot="1" x14ac:dyDescent="0.3">
      <c r="A70" s="433"/>
      <c r="B70" s="30" t="s">
        <v>2156</v>
      </c>
      <c r="C70" s="31" t="s">
        <v>33</v>
      </c>
      <c r="D70" s="32" t="s">
        <v>2154</v>
      </c>
      <c r="E70" s="33">
        <f>SUM(F70:I70)</f>
        <v>695203</v>
      </c>
      <c r="F70" s="33">
        <v>146787</v>
      </c>
      <c r="G70" s="86">
        <v>548410</v>
      </c>
      <c r="H70" s="33">
        <v>6</v>
      </c>
      <c r="I70" s="34"/>
    </row>
    <row r="71" spans="1:9" ht="15.75" thickBot="1" x14ac:dyDescent="0.3">
      <c r="A71" s="433"/>
      <c r="B71" s="66"/>
      <c r="C71" s="66"/>
      <c r="D71" s="67"/>
      <c r="E71" s="68"/>
      <c r="F71" s="68"/>
      <c r="G71" s="68"/>
      <c r="H71" s="68"/>
      <c r="I71" s="70"/>
    </row>
    <row r="72" spans="1:9" ht="45" x14ac:dyDescent="0.25">
      <c r="A72" s="433"/>
      <c r="B72" s="41" t="s">
        <v>2157</v>
      </c>
      <c r="C72" s="11" t="s">
        <v>33</v>
      </c>
      <c r="D72" s="12" t="s">
        <v>2159</v>
      </c>
      <c r="E72" s="13">
        <f>SUM(F72:H72)</f>
        <v>76232</v>
      </c>
      <c r="F72" s="100">
        <v>76230</v>
      </c>
      <c r="G72" s="36" t="s">
        <v>8</v>
      </c>
      <c r="H72" s="14">
        <v>2</v>
      </c>
      <c r="I72" s="15"/>
    </row>
    <row r="73" spans="1:9" ht="45" x14ac:dyDescent="0.25">
      <c r="A73" s="433"/>
      <c r="B73" s="42" t="s">
        <v>2158</v>
      </c>
      <c r="C73" s="3"/>
      <c r="D73" s="7" t="s">
        <v>2160</v>
      </c>
      <c r="E73" s="8"/>
      <c r="F73" s="9">
        <f t="shared" ref="F73:H73" si="8">F72/F70</f>
        <v>0.5193239183306424</v>
      </c>
      <c r="G73" s="8"/>
      <c r="H73" s="8">
        <f t="shared" si="8"/>
        <v>0.33333333333333331</v>
      </c>
      <c r="I73" s="21"/>
    </row>
    <row r="74" spans="1:9" ht="15.75" thickBot="1" x14ac:dyDescent="0.3">
      <c r="A74" s="433"/>
      <c r="B74" s="43" t="s">
        <v>52</v>
      </c>
      <c r="C74" s="18"/>
      <c r="D74" s="49"/>
      <c r="E74" s="18"/>
      <c r="F74" s="92">
        <f>F72/F69</f>
        <v>0.15820834189439079</v>
      </c>
      <c r="G74" s="18"/>
      <c r="H74" s="18"/>
      <c r="I74" s="19"/>
    </row>
    <row r="75" spans="1:9" ht="15.75" thickBot="1" x14ac:dyDescent="0.3">
      <c r="A75" s="433"/>
      <c r="B75" s="66"/>
      <c r="C75" s="66"/>
      <c r="D75" s="67"/>
      <c r="E75" s="68"/>
      <c r="F75" s="68"/>
      <c r="G75" s="68"/>
      <c r="H75" s="68"/>
      <c r="I75" s="70"/>
    </row>
    <row r="76" spans="1:9" ht="45" x14ac:dyDescent="0.25">
      <c r="A76" s="433"/>
      <c r="B76" s="10" t="s">
        <v>44</v>
      </c>
      <c r="C76" s="13"/>
      <c r="D76" s="12" t="s">
        <v>2186</v>
      </c>
      <c r="E76" s="13">
        <f>SUM(F76:I76)</f>
        <v>695203</v>
      </c>
      <c r="F76" s="13">
        <f>F70</f>
        <v>146787</v>
      </c>
      <c r="G76" s="13">
        <f t="shared" ref="G76:I76" si="9">G70</f>
        <v>548410</v>
      </c>
      <c r="H76" s="13">
        <f t="shared" si="9"/>
        <v>6</v>
      </c>
      <c r="I76" s="13">
        <f t="shared" si="9"/>
        <v>0</v>
      </c>
    </row>
    <row r="77" spans="1:9" ht="15.75" thickBot="1" x14ac:dyDescent="0.3">
      <c r="A77" s="433"/>
      <c r="B77" s="20" t="s">
        <v>49</v>
      </c>
      <c r="C77" s="4"/>
      <c r="D77" s="44"/>
      <c r="E77" s="9">
        <f>E76/E69</f>
        <v>1.119121898764335</v>
      </c>
      <c r="F77" s="9">
        <f>F76/F69</f>
        <v>0.30464289494492908</v>
      </c>
      <c r="G77" s="9">
        <f t="shared" ref="G77:H77" si="10">G76/G69</f>
        <v>4.0145969371321488</v>
      </c>
      <c r="H77" s="8">
        <f t="shared" si="10"/>
        <v>2.1684134441633538E-3</v>
      </c>
      <c r="I77" s="8"/>
    </row>
    <row r="78" spans="1:9" ht="60" x14ac:dyDescent="0.25">
      <c r="A78" s="433"/>
      <c r="B78" s="24" t="s">
        <v>46</v>
      </c>
      <c r="C78" s="3"/>
      <c r="D78" s="12" t="s">
        <v>2161</v>
      </c>
      <c r="E78" s="93">
        <f>E76-E72</f>
        <v>618971</v>
      </c>
      <c r="F78" s="4">
        <f>F76-F72</f>
        <v>70557</v>
      </c>
      <c r="G78" s="36" t="s">
        <v>8</v>
      </c>
      <c r="H78" s="4">
        <f t="shared" ref="H78:I78" si="11">H76-H72</f>
        <v>4</v>
      </c>
      <c r="I78" s="4">
        <f t="shared" si="11"/>
        <v>0</v>
      </c>
    </row>
    <row r="79" spans="1:9" ht="15.75" thickBot="1" x14ac:dyDescent="0.3">
      <c r="A79" s="434"/>
      <c r="B79" s="43" t="s">
        <v>48</v>
      </c>
      <c r="C79" s="16"/>
      <c r="D79" s="46"/>
      <c r="E79" s="16"/>
      <c r="F79" s="17">
        <f>F78/F69</f>
        <v>0.14643455305053826</v>
      </c>
      <c r="G79" s="16"/>
      <c r="H79" s="16"/>
      <c r="I79" s="25"/>
    </row>
    <row r="80" spans="1:9" x14ac:dyDescent="0.25">
      <c r="A80" s="56"/>
      <c r="B80" s="431" t="s">
        <v>2178</v>
      </c>
      <c r="C80" s="431"/>
      <c r="D80" s="431"/>
      <c r="E80" s="431"/>
      <c r="F80" s="431"/>
      <c r="G80" s="431"/>
      <c r="H80" s="431"/>
      <c r="I80" s="431"/>
    </row>
    <row r="81" spans="1:9" ht="15.75" thickBot="1" x14ac:dyDescent="0.3">
      <c r="A81" s="56"/>
      <c r="B81" s="56"/>
      <c r="F81" s="57"/>
    </row>
    <row r="82" spans="1:9" ht="15.75" thickBot="1" x14ac:dyDescent="0.3">
      <c r="A82" s="56"/>
      <c r="B82" s="56"/>
      <c r="C82" s="80" t="s">
        <v>23</v>
      </c>
      <c r="D82" s="81" t="s">
        <v>36</v>
      </c>
      <c r="E82" s="82" t="s">
        <v>21</v>
      </c>
      <c r="F82" s="82" t="s">
        <v>13</v>
      </c>
      <c r="G82" s="82" t="s">
        <v>14</v>
      </c>
      <c r="H82" s="82" t="s">
        <v>15</v>
      </c>
      <c r="I82" s="83" t="s">
        <v>29</v>
      </c>
    </row>
    <row r="83" spans="1:9" ht="15.75" customHeight="1" thickBot="1" x14ac:dyDescent="0.3">
      <c r="A83" s="432" t="s">
        <v>2139</v>
      </c>
      <c r="B83" s="5" t="s">
        <v>2162</v>
      </c>
      <c r="C83" s="5" t="s">
        <v>24</v>
      </c>
      <c r="D83" s="48"/>
      <c r="E83" s="35">
        <f>SUM(F83:I83)</f>
        <v>43236437</v>
      </c>
      <c r="F83" s="37">
        <f t="shared" ref="F83:H84" si="12">F22+F37+F53+F69+F99</f>
        <v>26600552</v>
      </c>
      <c r="G83" s="37">
        <f t="shared" si="12"/>
        <v>14709421</v>
      </c>
      <c r="H83" s="37">
        <f t="shared" si="12"/>
        <v>1926464</v>
      </c>
      <c r="I83" s="37">
        <f>I22+I37+I53+I69</f>
        <v>0</v>
      </c>
    </row>
    <row r="84" spans="1:9" ht="30.75" thickBot="1" x14ac:dyDescent="0.3">
      <c r="A84" s="433"/>
      <c r="B84" s="30" t="s">
        <v>2163</v>
      </c>
      <c r="C84" s="31" t="s">
        <v>33</v>
      </c>
      <c r="D84" s="32" t="s">
        <v>2164</v>
      </c>
      <c r="E84" s="33">
        <f>SUM(F84:I84)</f>
        <v>6652437</v>
      </c>
      <c r="F84" s="37">
        <f t="shared" si="12"/>
        <v>3201965</v>
      </c>
      <c r="G84" s="37">
        <f t="shared" si="12"/>
        <v>3450430</v>
      </c>
      <c r="H84" s="37">
        <f t="shared" si="12"/>
        <v>42</v>
      </c>
      <c r="I84" s="37">
        <f>I23+I38+I54+I70+I100</f>
        <v>0</v>
      </c>
    </row>
    <row r="85" spans="1:9" ht="15.75" thickBot="1" x14ac:dyDescent="0.3">
      <c r="A85" s="433"/>
      <c r="B85" s="66"/>
      <c r="C85" s="66"/>
      <c r="D85" s="67"/>
      <c r="E85" s="68"/>
      <c r="F85" s="68"/>
      <c r="G85" s="68"/>
      <c r="H85" s="68"/>
      <c r="I85" s="70"/>
    </row>
    <row r="86" spans="1:9" ht="45.75" thickBot="1" x14ac:dyDescent="0.3">
      <c r="A86" s="433"/>
      <c r="B86" s="41" t="s">
        <v>2151</v>
      </c>
      <c r="C86" s="11" t="s">
        <v>33</v>
      </c>
      <c r="D86" s="12" t="s">
        <v>2165</v>
      </c>
      <c r="E86" s="13">
        <f>SUM(F86:H86)</f>
        <v>2454302</v>
      </c>
      <c r="F86" s="100">
        <f>F25+F40+F56+F72+F102</f>
        <v>2454276</v>
      </c>
      <c r="G86" s="36" t="s">
        <v>8</v>
      </c>
      <c r="H86" s="91">
        <f>H25+H40+H56+H72</f>
        <v>26</v>
      </c>
      <c r="I86" s="91">
        <f>I25+I40+I56+I72</f>
        <v>0</v>
      </c>
    </row>
    <row r="87" spans="1:9" ht="45" x14ac:dyDescent="0.25">
      <c r="A87" s="433"/>
      <c r="B87" s="42" t="s">
        <v>2141</v>
      </c>
      <c r="C87" s="3"/>
      <c r="D87" s="7" t="s">
        <v>2166</v>
      </c>
      <c r="E87" s="8"/>
      <c r="F87" s="9">
        <f>F86/F84</f>
        <v>0.76649057688013456</v>
      </c>
      <c r="G87" s="4"/>
      <c r="H87" s="4"/>
      <c r="I87" s="21"/>
    </row>
    <row r="88" spans="1:9" ht="15.75" thickBot="1" x14ac:dyDescent="0.3">
      <c r="A88" s="433"/>
      <c r="B88" s="43" t="s">
        <v>52</v>
      </c>
      <c r="C88" s="18"/>
      <c r="D88" s="49"/>
      <c r="E88" s="18"/>
      <c r="F88" s="92">
        <f>F86/F83</f>
        <v>9.2264100384082254E-2</v>
      </c>
      <c r="G88" s="18"/>
      <c r="H88" s="18"/>
      <c r="I88" s="19"/>
    </row>
    <row r="89" spans="1:9" ht="15.75" thickBot="1" x14ac:dyDescent="0.3">
      <c r="A89" s="433"/>
      <c r="B89" s="66"/>
      <c r="C89" s="66"/>
      <c r="D89" s="67"/>
      <c r="E89" s="68"/>
      <c r="F89" s="68"/>
      <c r="G89" s="68"/>
      <c r="H89" s="68"/>
      <c r="I89" s="70"/>
    </row>
    <row r="90" spans="1:9" ht="45" customHeight="1" x14ac:dyDescent="0.25">
      <c r="A90" s="433"/>
      <c r="B90" s="10" t="s">
        <v>44</v>
      </c>
      <c r="C90" s="13"/>
      <c r="D90" s="12" t="s">
        <v>2167</v>
      </c>
      <c r="E90" s="13">
        <f>SUM(F90:I90)</f>
        <v>6652437</v>
      </c>
      <c r="F90" s="13">
        <f>F60+F44+F29+F76+F106</f>
        <v>3201965</v>
      </c>
      <c r="G90" s="13">
        <f>G60+G44+G29+G76+G106</f>
        <v>3450430</v>
      </c>
      <c r="H90" s="13">
        <f>H60+H44+H29+H76+H106</f>
        <v>42</v>
      </c>
      <c r="I90" s="13">
        <f>I60+I44+I29+I76+I106</f>
        <v>0</v>
      </c>
    </row>
    <row r="91" spans="1:9" ht="15.75" thickBot="1" x14ac:dyDescent="0.3">
      <c r="A91" s="433"/>
      <c r="B91" s="20" t="s">
        <v>49</v>
      </c>
      <c r="C91" s="4"/>
      <c r="D91" s="44"/>
      <c r="E91" s="9">
        <f>E90/E83</f>
        <v>0.15386182261040612</v>
      </c>
      <c r="F91" s="9">
        <f>F90/F83</f>
        <v>0.12037212611227015</v>
      </c>
      <c r="G91" s="9">
        <f t="shared" ref="G91" si="13">G90/G83</f>
        <v>0.23457279521743241</v>
      </c>
      <c r="H91" s="8"/>
      <c r="I91" s="23"/>
    </row>
    <row r="92" spans="1:9" ht="60" x14ac:dyDescent="0.25">
      <c r="A92" s="433"/>
      <c r="B92" s="24" t="s">
        <v>46</v>
      </c>
      <c r="C92" s="3"/>
      <c r="D92" s="12" t="s">
        <v>2140</v>
      </c>
      <c r="E92" s="4">
        <f>E90-E86</f>
        <v>4198135</v>
      </c>
      <c r="F92" s="13">
        <f>F62+F46+F31+F78+F108</f>
        <v>747689</v>
      </c>
      <c r="G92" s="36" t="s">
        <v>8</v>
      </c>
      <c r="H92" s="13">
        <f>H62+H46+H31+H78</f>
        <v>10</v>
      </c>
      <c r="I92" s="15">
        <f>I62+I46+I31+I78</f>
        <v>0</v>
      </c>
    </row>
    <row r="93" spans="1:9" ht="15.75" thickBot="1" x14ac:dyDescent="0.3">
      <c r="A93" s="434"/>
      <c r="B93" s="43" t="s">
        <v>48</v>
      </c>
      <c r="C93" s="16"/>
      <c r="D93" s="46"/>
      <c r="E93" s="16"/>
      <c r="F93" s="17">
        <f>F92/F83</f>
        <v>2.8108025728187897E-2</v>
      </c>
      <c r="G93" s="16"/>
      <c r="H93" s="16"/>
      <c r="I93" s="25"/>
    </row>
    <row r="97" spans="1:9" ht="15.75" thickBot="1" x14ac:dyDescent="0.3">
      <c r="A97" s="56"/>
      <c r="B97" s="87" t="s">
        <v>2174</v>
      </c>
      <c r="C97" s="96" t="s">
        <v>2190</v>
      </c>
      <c r="D97" s="88"/>
      <c r="E97" s="87"/>
      <c r="F97" s="89"/>
      <c r="G97" s="87"/>
      <c r="H97" s="87"/>
      <c r="I97" s="87"/>
    </row>
    <row r="98" spans="1:9" ht="15.75" thickBot="1" x14ac:dyDescent="0.3">
      <c r="A98" s="56"/>
      <c r="B98" s="56"/>
      <c r="C98" s="80" t="s">
        <v>23</v>
      </c>
      <c r="D98" s="81" t="s">
        <v>36</v>
      </c>
      <c r="E98" s="82" t="s">
        <v>21</v>
      </c>
      <c r="F98" s="82" t="s">
        <v>13</v>
      </c>
      <c r="G98" s="82" t="s">
        <v>14</v>
      </c>
      <c r="H98" s="82" t="s">
        <v>15</v>
      </c>
      <c r="I98" s="83" t="s">
        <v>29</v>
      </c>
    </row>
    <row r="99" spans="1:9" ht="15.75" thickBot="1" x14ac:dyDescent="0.3">
      <c r="A99" s="432" t="s">
        <v>2191</v>
      </c>
      <c r="B99" s="5" t="s">
        <v>2192</v>
      </c>
      <c r="C99" s="5" t="s">
        <v>24</v>
      </c>
      <c r="D99" s="48"/>
      <c r="E99" s="35">
        <f>SUM(F99:I99)</f>
        <v>606950</v>
      </c>
      <c r="F99" s="37">
        <v>411912</v>
      </c>
      <c r="G99" s="38">
        <v>179035</v>
      </c>
      <c r="H99" s="38">
        <v>16003</v>
      </c>
      <c r="I99" s="6">
        <v>0</v>
      </c>
    </row>
    <row r="100" spans="1:9" ht="30.75" thickBot="1" x14ac:dyDescent="0.3">
      <c r="A100" s="433"/>
      <c r="B100" s="30" t="s">
        <v>2193</v>
      </c>
      <c r="C100" s="31" t="s">
        <v>33</v>
      </c>
      <c r="D100" s="32" t="s">
        <v>2197</v>
      </c>
      <c r="E100" s="33">
        <f>SUM(F100:I100)</f>
        <v>208471</v>
      </c>
      <c r="F100" s="33">
        <v>35973</v>
      </c>
      <c r="G100" s="86">
        <v>172492</v>
      </c>
      <c r="H100" s="33">
        <v>6</v>
      </c>
      <c r="I100" s="34"/>
    </row>
    <row r="101" spans="1:9" ht="15.75" thickBot="1" x14ac:dyDescent="0.3">
      <c r="A101" s="433"/>
      <c r="B101" s="66"/>
      <c r="C101" s="66"/>
      <c r="D101" s="67"/>
      <c r="E101" s="68"/>
      <c r="F101" s="68"/>
      <c r="G101" s="68"/>
      <c r="H101" s="68"/>
      <c r="I101" s="70"/>
    </row>
    <row r="102" spans="1:9" ht="30" x14ac:dyDescent="0.25">
      <c r="A102" s="433"/>
      <c r="B102" s="41" t="s">
        <v>2194</v>
      </c>
      <c r="C102" s="11" t="s">
        <v>33</v>
      </c>
      <c r="D102" s="12" t="s">
        <v>2198</v>
      </c>
      <c r="E102" s="13">
        <f>SUM(F102:H102)</f>
        <v>14427</v>
      </c>
      <c r="F102" s="100">
        <v>14425</v>
      </c>
      <c r="G102" s="36" t="s">
        <v>8</v>
      </c>
      <c r="H102" s="14">
        <v>2</v>
      </c>
      <c r="I102" s="15"/>
    </row>
    <row r="103" spans="1:9" ht="45" x14ac:dyDescent="0.25">
      <c r="A103" s="433"/>
      <c r="B103" s="42" t="s">
        <v>2195</v>
      </c>
      <c r="C103" s="3"/>
      <c r="D103" s="7" t="s">
        <v>2199</v>
      </c>
      <c r="E103" s="8"/>
      <c r="F103" s="9">
        <f t="shared" ref="F103" si="14">F102/F100</f>
        <v>0.40099519083757262</v>
      </c>
      <c r="G103" s="8"/>
      <c r="H103" s="8">
        <f t="shared" ref="H103" si="15">H102/H100</f>
        <v>0.33333333333333331</v>
      </c>
      <c r="I103" s="21"/>
    </row>
    <row r="104" spans="1:9" ht="15.75" thickBot="1" x14ac:dyDescent="0.3">
      <c r="A104" s="433"/>
      <c r="B104" s="43" t="s">
        <v>2196</v>
      </c>
      <c r="C104" s="18"/>
      <c r="D104" s="49"/>
      <c r="E104" s="18"/>
      <c r="F104" s="92">
        <f>F102/F99</f>
        <v>3.5019615840276561E-2</v>
      </c>
      <c r="G104" s="18"/>
      <c r="H104" s="18"/>
      <c r="I104" s="19"/>
    </row>
    <row r="105" spans="1:9" ht="15.75" thickBot="1" x14ac:dyDescent="0.3">
      <c r="A105" s="433"/>
      <c r="B105" s="66"/>
      <c r="C105" s="66"/>
      <c r="D105" s="67"/>
      <c r="E105" s="68"/>
      <c r="F105" s="68"/>
      <c r="G105" s="68"/>
      <c r="H105" s="68"/>
      <c r="I105" s="70"/>
    </row>
    <row r="106" spans="1:9" ht="45" x14ac:dyDescent="0.25">
      <c r="A106" s="433"/>
      <c r="B106" s="10" t="s">
        <v>44</v>
      </c>
      <c r="C106" s="13"/>
      <c r="D106" s="12" t="s">
        <v>2200</v>
      </c>
      <c r="E106" s="13">
        <f>SUM(F106:I106)</f>
        <v>208471</v>
      </c>
      <c r="F106" s="13">
        <f>F100</f>
        <v>35973</v>
      </c>
      <c r="G106" s="13">
        <f t="shared" ref="G106:I106" si="16">G100</f>
        <v>172492</v>
      </c>
      <c r="H106" s="13">
        <f t="shared" si="16"/>
        <v>6</v>
      </c>
      <c r="I106" s="13">
        <f t="shared" si="16"/>
        <v>0</v>
      </c>
    </row>
    <row r="107" spans="1:9" ht="15.75" thickBot="1" x14ac:dyDescent="0.3">
      <c r="A107" s="433"/>
      <c r="B107" s="20" t="s">
        <v>49</v>
      </c>
      <c r="C107" s="4"/>
      <c r="D107" s="44"/>
      <c r="E107" s="9">
        <f>E106/E99</f>
        <v>0.34347310322102315</v>
      </c>
      <c r="F107" s="9">
        <f>F106/F99</f>
        <v>8.73317601817864E-2</v>
      </c>
      <c r="G107" s="9">
        <f t="shared" ref="G107:H107" si="17">G106/G99</f>
        <v>0.96345407322590559</v>
      </c>
      <c r="H107" s="8">
        <f t="shared" si="17"/>
        <v>3.7492970068112231E-4</v>
      </c>
      <c r="I107" s="8"/>
    </row>
    <row r="108" spans="1:9" ht="60" x14ac:dyDescent="0.25">
      <c r="A108" s="433"/>
      <c r="B108" s="24" t="s">
        <v>46</v>
      </c>
      <c r="C108" s="3"/>
      <c r="D108" s="12" t="s">
        <v>2201</v>
      </c>
      <c r="E108" s="93">
        <f>E106-E102</f>
        <v>194044</v>
      </c>
      <c r="F108" s="4">
        <f>F106-F102</f>
        <v>21548</v>
      </c>
      <c r="G108" s="36" t="s">
        <v>8</v>
      </c>
      <c r="H108" s="4">
        <f t="shared" ref="H108:I108" si="18">H106-H102</f>
        <v>4</v>
      </c>
      <c r="I108" s="4">
        <f t="shared" si="18"/>
        <v>0</v>
      </c>
    </row>
    <row r="109" spans="1:9" ht="15.75" thickBot="1" x14ac:dyDescent="0.3">
      <c r="A109" s="434"/>
      <c r="B109" s="43" t="s">
        <v>48</v>
      </c>
      <c r="C109" s="16"/>
      <c r="D109" s="46"/>
      <c r="E109" s="16"/>
      <c r="F109" s="17">
        <f>F108/F99</f>
        <v>5.2312144341509839E-2</v>
      </c>
      <c r="G109" s="16"/>
      <c r="H109" s="16"/>
      <c r="I109" s="25"/>
    </row>
    <row r="112" spans="1:9" x14ac:dyDescent="0.25">
      <c r="B112" t="s">
        <v>16</v>
      </c>
    </row>
    <row r="113" spans="2:9" x14ac:dyDescent="0.25">
      <c r="B113" s="87" t="s">
        <v>2174</v>
      </c>
      <c r="C113" s="96" t="s">
        <v>2216</v>
      </c>
      <c r="D113" s="88"/>
      <c r="E113" s="87"/>
      <c r="F113" s="87"/>
      <c r="G113" s="87"/>
      <c r="H113" s="87"/>
      <c r="I113" s="87"/>
    </row>
  </sheetData>
  <mergeCells count="13">
    <mergeCell ref="A99:A109"/>
    <mergeCell ref="A83:A93"/>
    <mergeCell ref="A53:A63"/>
    <mergeCell ref="B33:I33"/>
    <mergeCell ref="B80:I80"/>
    <mergeCell ref="A69:A79"/>
    <mergeCell ref="A1:A16"/>
    <mergeCell ref="B48:I48"/>
    <mergeCell ref="C20:I20"/>
    <mergeCell ref="B64:I64"/>
    <mergeCell ref="B65:I65"/>
    <mergeCell ref="A22:A32"/>
    <mergeCell ref="A37:A47"/>
  </mergeCells>
  <hyperlinks>
    <hyperlink ref="D8" r:id="rId1"/>
    <hyperlink ref="C20" r:id="rId2"/>
    <hyperlink ref="C97" r:id="rId3"/>
    <hyperlink ref="C35" r:id="rId4"/>
    <hyperlink ref="C51" r:id="rId5"/>
    <hyperlink ref="C67" r:id="rId6"/>
    <hyperlink ref="C113" r:id="rId7"/>
  </hyperlinks>
  <pageMargins left="0.7" right="0.7" top="0.75" bottom="0.75" header="0.3" footer="0.3"/>
  <pageSetup paperSize="9" orientation="portrait" r:id="rId8"/>
  <drawing r:id="rId9"/>
  <legacyDrawing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8"/>
  <sheetViews>
    <sheetView zoomScale="80" zoomScaleNormal="80" workbookViewId="0">
      <selection activeCell="F109" sqref="F109"/>
    </sheetView>
  </sheetViews>
  <sheetFormatPr defaultColWidth="11.42578125" defaultRowHeight="15" x14ac:dyDescent="0.25"/>
  <cols>
    <col min="1" max="1" width="20.28515625" customWidth="1"/>
    <col min="2" max="2" width="37.85546875" bestFit="1" customWidth="1"/>
    <col min="3" max="3" width="24" customWidth="1"/>
    <col min="4" max="4" width="28.42578125" customWidth="1"/>
    <col min="5" max="5" width="36.28515625" customWidth="1"/>
    <col min="6" max="6" width="31" customWidth="1"/>
    <col min="7" max="7" width="16" bestFit="1" customWidth="1"/>
    <col min="8" max="8" width="23.85546875" customWidth="1"/>
    <col min="9" max="9" width="34.42578125" bestFit="1" customWidth="1"/>
    <col min="10" max="10" width="24.28515625" customWidth="1"/>
    <col min="11" max="11" width="17" customWidth="1"/>
    <col min="12" max="12" width="19.42578125" customWidth="1"/>
  </cols>
  <sheetData>
    <row r="3" spans="2:8" x14ac:dyDescent="0.25">
      <c r="B3" s="461" t="s">
        <v>2343</v>
      </c>
      <c r="C3" s="461"/>
      <c r="D3" s="461"/>
      <c r="F3" s="461" t="s">
        <v>2342</v>
      </c>
      <c r="G3" s="461"/>
      <c r="H3" s="461"/>
    </row>
    <row r="4" spans="2:8" x14ac:dyDescent="0.25">
      <c r="C4" s="3" t="s">
        <v>2334</v>
      </c>
      <c r="D4" s="3" t="s">
        <v>2339</v>
      </c>
      <c r="G4" s="3" t="s">
        <v>2334</v>
      </c>
      <c r="H4" s="3" t="s">
        <v>2339</v>
      </c>
    </row>
    <row r="5" spans="2:8" x14ac:dyDescent="0.25">
      <c r="B5" s="3" t="s">
        <v>17</v>
      </c>
      <c r="C5" s="172">
        <v>14472407</v>
      </c>
      <c r="D5" s="172">
        <v>2871881</v>
      </c>
      <c r="F5" s="3" t="s">
        <v>17</v>
      </c>
      <c r="G5" s="172">
        <v>4664179</v>
      </c>
      <c r="H5" s="172">
        <v>1059123</v>
      </c>
    </row>
    <row r="6" spans="2:8" x14ac:dyDescent="0.25">
      <c r="B6" s="3" t="s">
        <v>18</v>
      </c>
      <c r="C6" s="172">
        <v>10792132</v>
      </c>
      <c r="D6" s="172">
        <v>1970905</v>
      </c>
      <c r="F6" s="3" t="s">
        <v>18</v>
      </c>
      <c r="G6" s="172">
        <v>3531896</v>
      </c>
      <c r="H6" s="172">
        <v>717167</v>
      </c>
    </row>
    <row r="7" spans="2:8" x14ac:dyDescent="0.25">
      <c r="B7" s="3" t="s">
        <v>19</v>
      </c>
      <c r="C7" s="172">
        <v>2153669</v>
      </c>
      <c r="D7" s="172">
        <v>753660</v>
      </c>
      <c r="F7" s="3" t="s">
        <v>19</v>
      </c>
      <c r="G7" s="172">
        <v>864768</v>
      </c>
      <c r="H7" s="172">
        <v>305391</v>
      </c>
    </row>
    <row r="8" spans="2:8" x14ac:dyDescent="0.25">
      <c r="B8" s="3" t="s">
        <v>20</v>
      </c>
      <c r="C8" s="172">
        <v>1526606</v>
      </c>
      <c r="D8" s="172">
        <v>147316</v>
      </c>
      <c r="F8" s="3" t="s">
        <v>20</v>
      </c>
      <c r="G8" s="172">
        <v>267515</v>
      </c>
      <c r="H8" s="172">
        <v>36565</v>
      </c>
    </row>
    <row r="9" spans="2:8" x14ac:dyDescent="0.25">
      <c r="C9" s="173"/>
      <c r="D9" s="173"/>
      <c r="G9" s="173"/>
      <c r="H9" s="173"/>
    </row>
    <row r="10" spans="2:8" x14ac:dyDescent="0.25">
      <c r="B10" s="3" t="s">
        <v>2295</v>
      </c>
      <c r="C10" s="172">
        <f>C7+C8</f>
        <v>3680275</v>
      </c>
      <c r="D10" s="172">
        <f>D7+D8</f>
        <v>900976</v>
      </c>
      <c r="F10" s="3" t="s">
        <v>2295</v>
      </c>
      <c r="G10" s="172">
        <f>G7+G8</f>
        <v>1132283</v>
      </c>
      <c r="H10" s="172">
        <f>H7+H8</f>
        <v>341956</v>
      </c>
    </row>
    <row r="11" spans="2:8" x14ac:dyDescent="0.25">
      <c r="B11" s="3" t="s">
        <v>2315</v>
      </c>
      <c r="C11" s="8">
        <f>C10/C5</f>
        <v>0.25429598545701487</v>
      </c>
      <c r="D11" s="169">
        <f>D10/D5</f>
        <v>0.31372330538765358</v>
      </c>
      <c r="F11" s="3" t="s">
        <v>2315</v>
      </c>
      <c r="G11" s="8">
        <f>G10/G5</f>
        <v>0.24276148063785716</v>
      </c>
      <c r="H11" s="169">
        <f>H10/H5</f>
        <v>0.32286712685873126</v>
      </c>
    </row>
    <row r="12" spans="2:8" x14ac:dyDescent="0.25">
      <c r="C12" s="173"/>
      <c r="D12" s="173"/>
      <c r="G12" s="173"/>
      <c r="H12" s="173"/>
    </row>
    <row r="13" spans="2:8" x14ac:dyDescent="0.25">
      <c r="B13" s="3" t="s">
        <v>18</v>
      </c>
      <c r="C13" s="172">
        <f>C6</f>
        <v>10792132</v>
      </c>
      <c r="D13" s="172">
        <f>D6</f>
        <v>1970905</v>
      </c>
      <c r="F13" s="3" t="s">
        <v>18</v>
      </c>
      <c r="G13" s="172">
        <f>G6</f>
        <v>3531896</v>
      </c>
      <c r="H13" s="172">
        <f>H6</f>
        <v>717167</v>
      </c>
    </row>
    <row r="14" spans="2:8" x14ac:dyDescent="0.25">
      <c r="B14" s="3" t="s">
        <v>2315</v>
      </c>
      <c r="C14" s="8">
        <f>C13/C5</f>
        <v>0.74570401454298518</v>
      </c>
      <c r="D14" s="169">
        <f>D13/D5</f>
        <v>0.68627669461234642</v>
      </c>
      <c r="F14" s="3" t="s">
        <v>2315</v>
      </c>
      <c r="G14" s="8">
        <f>G13/G5</f>
        <v>0.75723851936214281</v>
      </c>
      <c r="H14" s="169">
        <f>H13/H5</f>
        <v>0.6771328731412688</v>
      </c>
    </row>
    <row r="16" spans="2:8" x14ac:dyDescent="0.25">
      <c r="F16" s="461" t="s">
        <v>2340</v>
      </c>
      <c r="G16" s="461"/>
      <c r="H16" s="461"/>
    </row>
    <row r="17" spans="1:8" x14ac:dyDescent="0.25">
      <c r="B17" s="171" t="s">
        <v>2335</v>
      </c>
      <c r="C17" s="174" t="s">
        <v>2334</v>
      </c>
      <c r="D17" s="174" t="s">
        <v>2333</v>
      </c>
      <c r="G17" s="3" t="s">
        <v>2334</v>
      </c>
      <c r="H17" s="3" t="s">
        <v>2339</v>
      </c>
    </row>
    <row r="18" spans="1:8" x14ac:dyDescent="0.25">
      <c r="A18" s="171" t="s">
        <v>2336</v>
      </c>
      <c r="B18" s="3" t="s">
        <v>2332</v>
      </c>
      <c r="C18" s="4">
        <v>10792132</v>
      </c>
      <c r="D18" s="4">
        <v>1970905</v>
      </c>
      <c r="F18" s="3" t="s">
        <v>17</v>
      </c>
      <c r="G18" s="172">
        <v>3619381</v>
      </c>
      <c r="H18" s="172">
        <v>814156</v>
      </c>
    </row>
    <row r="19" spans="1:8" x14ac:dyDescent="0.25">
      <c r="A19" t="s">
        <v>2318</v>
      </c>
      <c r="B19" s="3" t="s">
        <v>2331</v>
      </c>
      <c r="C19" s="4">
        <v>8182550</v>
      </c>
      <c r="D19" s="4">
        <v>887042</v>
      </c>
      <c r="F19" s="3" t="s">
        <v>18</v>
      </c>
      <c r="G19" s="172">
        <v>2449700</v>
      </c>
      <c r="H19" s="172">
        <v>533528</v>
      </c>
    </row>
    <row r="20" spans="1:8" x14ac:dyDescent="0.25">
      <c r="A20" t="s">
        <v>2322</v>
      </c>
      <c r="B20" s="3" t="s">
        <v>2322</v>
      </c>
      <c r="C20" s="4">
        <v>1801985</v>
      </c>
      <c r="D20" s="4">
        <v>827189</v>
      </c>
      <c r="F20" s="3" t="s">
        <v>19</v>
      </c>
      <c r="G20" s="172">
        <v>791961</v>
      </c>
      <c r="H20" s="172">
        <v>239531</v>
      </c>
    </row>
    <row r="21" spans="1:8" x14ac:dyDescent="0.25">
      <c r="A21" t="s">
        <v>2318</v>
      </c>
      <c r="B21" s="3" t="s">
        <v>2329</v>
      </c>
      <c r="C21" s="4">
        <v>262619</v>
      </c>
      <c r="D21" s="4">
        <v>88070</v>
      </c>
      <c r="F21" s="3" t="s">
        <v>20</v>
      </c>
      <c r="G21" s="172">
        <v>377720</v>
      </c>
      <c r="H21" s="172">
        <v>41097</v>
      </c>
    </row>
    <row r="22" spans="1:8" x14ac:dyDescent="0.25">
      <c r="A22" t="s">
        <v>2318</v>
      </c>
      <c r="B22" s="3" t="s">
        <v>2330</v>
      </c>
      <c r="C22" s="4">
        <v>246274</v>
      </c>
      <c r="D22" s="4">
        <v>103648</v>
      </c>
      <c r="G22" s="173"/>
      <c r="H22" s="173"/>
    </row>
    <row r="23" spans="1:8" x14ac:dyDescent="0.25">
      <c r="A23" t="s">
        <v>2318</v>
      </c>
      <c r="B23" s="3" t="s">
        <v>2325</v>
      </c>
      <c r="C23" s="4">
        <v>163613</v>
      </c>
      <c r="D23" s="4">
        <v>5949</v>
      </c>
      <c r="F23" s="3" t="s">
        <v>2295</v>
      </c>
      <c r="G23" s="172">
        <f>G20+G21</f>
        <v>1169681</v>
      </c>
      <c r="H23" s="172">
        <f>H20+H21</f>
        <v>280628</v>
      </c>
    </row>
    <row r="24" spans="1:8" x14ac:dyDescent="0.25">
      <c r="A24" t="s">
        <v>2318</v>
      </c>
      <c r="B24" s="3" t="s">
        <v>2327</v>
      </c>
      <c r="C24" s="4">
        <v>64755</v>
      </c>
      <c r="D24" s="4">
        <v>25670</v>
      </c>
      <c r="F24" s="3" t="s">
        <v>2315</v>
      </c>
      <c r="G24" s="8">
        <f>G23/G18</f>
        <v>0.32317155889363403</v>
      </c>
      <c r="H24" s="169">
        <f>H23/H18</f>
        <v>0.34468578503382646</v>
      </c>
    </row>
    <row r="25" spans="1:8" x14ac:dyDescent="0.25">
      <c r="A25" t="s">
        <v>2247</v>
      </c>
      <c r="B25" s="3" t="s">
        <v>2328</v>
      </c>
      <c r="C25" s="4">
        <v>47964</v>
      </c>
      <c r="D25" s="4">
        <v>32504</v>
      </c>
      <c r="G25" s="173"/>
      <c r="H25" s="173"/>
    </row>
    <row r="26" spans="1:8" x14ac:dyDescent="0.25">
      <c r="A26" t="s">
        <v>2318</v>
      </c>
      <c r="B26" s="3" t="s">
        <v>2326</v>
      </c>
      <c r="C26" s="4">
        <v>16996</v>
      </c>
      <c r="D26" s="3">
        <v>490</v>
      </c>
      <c r="F26" s="3" t="s">
        <v>18</v>
      </c>
      <c r="G26" s="172">
        <f>G19</f>
        <v>2449700</v>
      </c>
      <c r="H26" s="172">
        <f>H19</f>
        <v>533528</v>
      </c>
    </row>
    <row r="27" spans="1:8" x14ac:dyDescent="0.25">
      <c r="A27" t="s">
        <v>2318</v>
      </c>
      <c r="B27" s="3" t="s">
        <v>2324</v>
      </c>
      <c r="C27" s="4">
        <v>3019</v>
      </c>
      <c r="D27" s="3">
        <v>81</v>
      </c>
      <c r="F27" s="3" t="s">
        <v>2315</v>
      </c>
      <c r="G27" s="8">
        <f>G26/G18</f>
        <v>0.67682844110636597</v>
      </c>
      <c r="H27" s="169">
        <f>H26/H18</f>
        <v>0.65531421496617359</v>
      </c>
    </row>
    <row r="28" spans="1:8" x14ac:dyDescent="0.25">
      <c r="A28" t="s">
        <v>2318</v>
      </c>
      <c r="B28" s="3" t="s">
        <v>2319</v>
      </c>
      <c r="C28" s="4">
        <v>1282</v>
      </c>
      <c r="D28" s="3">
        <v>12</v>
      </c>
    </row>
    <row r="29" spans="1:8" x14ac:dyDescent="0.25">
      <c r="A29" t="s">
        <v>2322</v>
      </c>
      <c r="B29" s="3" t="s">
        <v>2321</v>
      </c>
      <c r="C29" s="3">
        <v>584</v>
      </c>
      <c r="D29" s="3">
        <v>76</v>
      </c>
      <c r="F29" s="461" t="s">
        <v>2341</v>
      </c>
      <c r="G29" s="461"/>
      <c r="H29" s="461"/>
    </row>
    <row r="30" spans="1:8" x14ac:dyDescent="0.25">
      <c r="A30" t="s">
        <v>2318</v>
      </c>
      <c r="B30" s="3" t="s">
        <v>2320</v>
      </c>
      <c r="C30" s="3">
        <v>289</v>
      </c>
      <c r="D30" s="3">
        <v>174</v>
      </c>
      <c r="G30" s="3" t="s">
        <v>2334</v>
      </c>
      <c r="H30" s="3" t="s">
        <v>2339</v>
      </c>
    </row>
    <row r="31" spans="1:8" x14ac:dyDescent="0.25">
      <c r="A31" t="s">
        <v>2318</v>
      </c>
      <c r="B31" s="3" t="s">
        <v>2338</v>
      </c>
      <c r="C31" s="3">
        <v>126</v>
      </c>
      <c r="D31" s="3">
        <v>0</v>
      </c>
      <c r="F31" s="3" t="s">
        <v>17</v>
      </c>
      <c r="G31" s="172">
        <v>6188847</v>
      </c>
      <c r="H31" s="172">
        <v>998602</v>
      </c>
    </row>
    <row r="32" spans="1:8" x14ac:dyDescent="0.25">
      <c r="A32" t="s">
        <v>2318</v>
      </c>
      <c r="B32" s="3" t="s">
        <v>2337</v>
      </c>
      <c r="C32" s="3">
        <v>75</v>
      </c>
      <c r="D32" s="3">
        <v>0</v>
      </c>
      <c r="F32" s="3" t="s">
        <v>18</v>
      </c>
      <c r="G32" s="172">
        <v>4810536</v>
      </c>
      <c r="H32" s="172">
        <v>720210</v>
      </c>
    </row>
    <row r="33" spans="1:8" x14ac:dyDescent="0.25">
      <c r="A33" t="s">
        <v>2318</v>
      </c>
      <c r="B33" s="3" t="s">
        <v>2323</v>
      </c>
      <c r="C33" s="3">
        <v>1</v>
      </c>
      <c r="D33" s="3">
        <v>0</v>
      </c>
      <c r="F33" s="3" t="s">
        <v>19</v>
      </c>
      <c r="G33" s="172">
        <v>496940</v>
      </c>
      <c r="H33" s="172">
        <v>208738</v>
      </c>
    </row>
    <row r="34" spans="1:8" x14ac:dyDescent="0.25">
      <c r="F34" s="3" t="s">
        <v>20</v>
      </c>
      <c r="G34" s="172">
        <v>881371</v>
      </c>
      <c r="H34" s="172">
        <v>69654</v>
      </c>
    </row>
    <row r="35" spans="1:8" x14ac:dyDescent="0.25">
      <c r="G35" s="173"/>
      <c r="H35" s="173"/>
    </row>
    <row r="36" spans="1:8" x14ac:dyDescent="0.25">
      <c r="F36" s="3" t="s">
        <v>2295</v>
      </c>
      <c r="G36" s="172">
        <f>G33+G34</f>
        <v>1378311</v>
      </c>
      <c r="H36" s="172">
        <f>H33+H34</f>
        <v>278392</v>
      </c>
    </row>
    <row r="37" spans="1:8" x14ac:dyDescent="0.25">
      <c r="F37" s="3" t="s">
        <v>2315</v>
      </c>
      <c r="G37" s="8">
        <f>G36/G31</f>
        <v>0.22270885029150017</v>
      </c>
      <c r="H37" s="169">
        <f>H36/H31</f>
        <v>0.27878173686814167</v>
      </c>
    </row>
    <row r="38" spans="1:8" x14ac:dyDescent="0.25">
      <c r="B38" s="3" t="s">
        <v>2317</v>
      </c>
      <c r="C38" s="3"/>
      <c r="D38" s="170">
        <f>D20+D29</f>
        <v>827265</v>
      </c>
      <c r="G38" s="173"/>
      <c r="H38" s="173"/>
    </row>
    <row r="39" spans="1:8" x14ac:dyDescent="0.25">
      <c r="B39" s="3" t="s">
        <v>2315</v>
      </c>
      <c r="C39" s="3"/>
      <c r="D39" s="169">
        <f>D38/D18</f>
        <v>0.41973864798151106</v>
      </c>
      <c r="F39" s="3" t="s">
        <v>18</v>
      </c>
      <c r="G39" s="172">
        <f>G32</f>
        <v>4810536</v>
      </c>
      <c r="H39" s="172">
        <f>H32</f>
        <v>720210</v>
      </c>
    </row>
    <row r="40" spans="1:8" x14ac:dyDescent="0.25">
      <c r="F40" s="3" t="s">
        <v>2315</v>
      </c>
      <c r="G40" s="8">
        <f>G39/G31</f>
        <v>0.77729114970849977</v>
      </c>
      <c r="H40" s="169">
        <f>H39/H31</f>
        <v>0.72121826313185833</v>
      </c>
    </row>
    <row r="41" spans="1:8" x14ac:dyDescent="0.25">
      <c r="B41" s="3" t="s">
        <v>2316</v>
      </c>
      <c r="C41" s="3"/>
      <c r="D41" s="170">
        <f>D18-D38</f>
        <v>1143640</v>
      </c>
    </row>
    <row r="42" spans="1:8" x14ac:dyDescent="0.25">
      <c r="B42" s="3" t="s">
        <v>2315</v>
      </c>
      <c r="C42" s="3"/>
      <c r="D42" s="169">
        <f>D41/D18</f>
        <v>0.58026135201848894</v>
      </c>
    </row>
    <row r="58" ht="15" customHeight="1" x14ac:dyDescent="0.25"/>
  </sheetData>
  <mergeCells count="4">
    <mergeCell ref="B3:D3"/>
    <mergeCell ref="F16:H16"/>
    <mergeCell ref="F3:H3"/>
    <mergeCell ref="F29:H29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6"/>
  <sheetViews>
    <sheetView topLeftCell="A94" zoomScale="90" zoomScaleNormal="90" workbookViewId="0">
      <selection activeCell="G140" sqref="G140"/>
    </sheetView>
  </sheetViews>
  <sheetFormatPr defaultColWidth="8.85546875" defaultRowHeight="15" x14ac:dyDescent="0.25"/>
  <cols>
    <col min="1" max="1" width="4" customWidth="1"/>
    <col min="2" max="2" width="33.85546875" customWidth="1"/>
    <col min="3" max="3" width="26.140625" customWidth="1"/>
    <col min="4" max="4" width="41.42578125" style="2" customWidth="1"/>
    <col min="5" max="5" width="24" bestFit="1" customWidth="1"/>
    <col min="6" max="7" width="16" customWidth="1"/>
    <col min="8" max="8" width="20.140625" bestFit="1" customWidth="1"/>
    <col min="9" max="9" width="17.42578125" bestFit="1" customWidth="1"/>
    <col min="10" max="10" width="14.42578125" customWidth="1"/>
    <col min="12" max="12" width="19.42578125" customWidth="1"/>
  </cols>
  <sheetData>
    <row r="1" spans="1:12" ht="15.75" thickBot="1" x14ac:dyDescent="0.3">
      <c r="B1" s="84" t="s">
        <v>2174</v>
      </c>
      <c r="C1" s="422" t="s">
        <v>2175</v>
      </c>
      <c r="D1" s="423"/>
      <c r="E1" s="423"/>
      <c r="F1" s="423"/>
      <c r="G1" s="423"/>
      <c r="H1" s="423"/>
      <c r="I1" s="423"/>
    </row>
    <row r="2" spans="1:12" ht="15.75" thickBot="1" x14ac:dyDescent="0.3">
      <c r="C2" s="80" t="s">
        <v>23</v>
      </c>
      <c r="D2" s="81" t="s">
        <v>36</v>
      </c>
      <c r="E2" s="82" t="s">
        <v>21</v>
      </c>
      <c r="F2" s="82" t="s">
        <v>13</v>
      </c>
      <c r="G2" s="82" t="s">
        <v>14</v>
      </c>
      <c r="H2" s="82" t="s">
        <v>15</v>
      </c>
      <c r="I2" s="83" t="s">
        <v>29</v>
      </c>
    </row>
    <row r="3" spans="1:12" ht="15.75" customHeight="1" thickBot="1" x14ac:dyDescent="0.3">
      <c r="A3" s="424" t="s">
        <v>2136</v>
      </c>
      <c r="B3" s="58" t="s">
        <v>54</v>
      </c>
      <c r="C3" s="5" t="s">
        <v>24</v>
      </c>
      <c r="D3" s="48"/>
      <c r="E3" s="35">
        <f>SUM(F3:I3)</f>
        <v>328724</v>
      </c>
      <c r="F3" s="37">
        <v>161719</v>
      </c>
      <c r="G3" s="38">
        <v>167005</v>
      </c>
      <c r="H3" s="38">
        <v>0</v>
      </c>
      <c r="I3" s="6">
        <v>0</v>
      </c>
      <c r="J3" s="243"/>
    </row>
    <row r="4" spans="1:12" ht="54" customHeight="1" thickBot="1" x14ac:dyDescent="0.3">
      <c r="A4" s="425"/>
      <c r="B4" s="59" t="s">
        <v>40</v>
      </c>
      <c r="C4" s="31" t="s">
        <v>33</v>
      </c>
      <c r="D4" s="32" t="s">
        <v>42</v>
      </c>
      <c r="E4" s="33">
        <f>SUM(F4:I4)</f>
        <v>57184.304255209718</v>
      </c>
      <c r="F4" s="33">
        <v>27454</v>
      </c>
      <c r="G4" s="245">
        <f>MAX(F4*G3/F3,G3*'Details-GLOBAL-202301-202303'!H4/'Details-GLOBAL-202301-202303'!H3)</f>
        <v>29730.304255209714</v>
      </c>
      <c r="H4" s="33">
        <v>0</v>
      </c>
      <c r="I4" s="34"/>
      <c r="J4" s="243"/>
      <c r="L4" s="243"/>
    </row>
    <row r="5" spans="1:12" ht="17.25" customHeight="1" thickBot="1" x14ac:dyDescent="0.3">
      <c r="A5" s="425"/>
      <c r="B5" s="66"/>
      <c r="C5" s="66"/>
      <c r="D5" s="67"/>
      <c r="E5" s="68"/>
      <c r="F5" s="68"/>
      <c r="G5" s="68"/>
      <c r="H5" s="68"/>
      <c r="I5" s="68"/>
    </row>
    <row r="6" spans="1:12" ht="60" customHeight="1" x14ac:dyDescent="0.25">
      <c r="A6" s="425"/>
      <c r="B6" s="60" t="s">
        <v>41</v>
      </c>
      <c r="C6" s="11" t="s">
        <v>33</v>
      </c>
      <c r="D6" s="12" t="s">
        <v>43</v>
      </c>
      <c r="E6" s="13">
        <f>SUM(F6:H6)</f>
        <v>14544</v>
      </c>
      <c r="F6" s="100">
        <v>14544</v>
      </c>
      <c r="G6" s="36" t="s">
        <v>8</v>
      </c>
      <c r="H6" s="99">
        <v>0</v>
      </c>
      <c r="I6" s="15"/>
    </row>
    <row r="7" spans="1:12" ht="45" x14ac:dyDescent="0.25">
      <c r="A7" s="425"/>
      <c r="B7" s="61" t="s">
        <v>50</v>
      </c>
      <c r="C7" s="3"/>
      <c r="D7" s="7" t="s">
        <v>51</v>
      </c>
      <c r="E7" s="8"/>
      <c r="F7" s="9">
        <f>F6/F4</f>
        <v>0.52975886938151084</v>
      </c>
      <c r="G7" s="4"/>
      <c r="H7" s="4"/>
      <c r="I7" s="21"/>
    </row>
    <row r="8" spans="1:12" ht="15.75" thickBot="1" x14ac:dyDescent="0.3">
      <c r="A8" s="425"/>
      <c r="B8" s="62" t="s">
        <v>52</v>
      </c>
      <c r="C8" s="18"/>
      <c r="D8" s="49"/>
      <c r="E8" s="18"/>
      <c r="F8" s="92">
        <f>F6/F3</f>
        <v>8.9933774015421811E-2</v>
      </c>
      <c r="G8" s="18"/>
      <c r="H8" s="18"/>
      <c r="I8" s="19"/>
    </row>
    <row r="9" spans="1:12" ht="14.25" customHeight="1" thickBot="1" x14ac:dyDescent="0.3">
      <c r="A9" s="425"/>
      <c r="B9" s="66"/>
      <c r="C9" s="66"/>
      <c r="D9" s="67"/>
      <c r="E9" s="68"/>
      <c r="F9" s="68"/>
      <c r="G9" s="68"/>
      <c r="H9" s="68"/>
      <c r="I9" s="68"/>
    </row>
    <row r="10" spans="1:12" ht="30" customHeight="1" x14ac:dyDescent="0.25">
      <c r="A10" s="425"/>
      <c r="B10" s="63" t="s">
        <v>44</v>
      </c>
      <c r="C10" s="13"/>
      <c r="D10" s="12" t="s">
        <v>45</v>
      </c>
      <c r="E10" s="13">
        <f>E4</f>
        <v>57184.304255209718</v>
      </c>
      <c r="F10" s="13">
        <f>F4</f>
        <v>27454</v>
      </c>
      <c r="G10" s="13">
        <f>G4</f>
        <v>29730.304255209714</v>
      </c>
      <c r="H10" s="13">
        <f>H4</f>
        <v>0</v>
      </c>
      <c r="I10" s="15">
        <f>I4</f>
        <v>0</v>
      </c>
    </row>
    <row r="11" spans="1:12" ht="15.75" thickBot="1" x14ac:dyDescent="0.3">
      <c r="A11" s="425"/>
      <c r="B11" s="64" t="s">
        <v>49</v>
      </c>
      <c r="C11" s="4"/>
      <c r="D11" s="44"/>
      <c r="E11" s="9">
        <f>E10/E3</f>
        <v>0.17395840965432921</v>
      </c>
      <c r="F11" s="9">
        <f>F10/F3</f>
        <v>0.16976360229781287</v>
      </c>
      <c r="G11" s="9">
        <f t="shared" ref="G11" si="0">G10/G3</f>
        <v>0.17802044402987763</v>
      </c>
      <c r="H11" s="8"/>
      <c r="I11" s="23"/>
    </row>
    <row r="12" spans="1:12" ht="45" x14ac:dyDescent="0.25">
      <c r="A12" s="425"/>
      <c r="B12" s="65" t="s">
        <v>46</v>
      </c>
      <c r="C12" s="3"/>
      <c r="D12" s="44" t="s">
        <v>47</v>
      </c>
      <c r="E12" s="4">
        <f>E10-E6</f>
        <v>42640.304255209718</v>
      </c>
      <c r="F12" s="4">
        <f>F10-F6</f>
        <v>12910</v>
      </c>
      <c r="G12" s="142">
        <f>F12*G10/F10</f>
        <v>13980.411886601494</v>
      </c>
      <c r="H12" s="4">
        <f>H10-H6</f>
        <v>0</v>
      </c>
      <c r="I12" s="21">
        <f>I10-I6</f>
        <v>0</v>
      </c>
    </row>
    <row r="13" spans="1:12" ht="15.75" thickBot="1" x14ac:dyDescent="0.3">
      <c r="A13" s="426"/>
      <c r="B13" s="62" t="s">
        <v>48</v>
      </c>
      <c r="C13" s="16"/>
      <c r="D13" s="46"/>
      <c r="E13" s="16"/>
      <c r="F13" s="17">
        <f>F12/F3</f>
        <v>7.982982828239106E-2</v>
      </c>
      <c r="G13" s="16"/>
      <c r="H13" s="16"/>
      <c r="I13" s="25"/>
    </row>
    <row r="14" spans="1:12" ht="30.75" customHeight="1" x14ac:dyDescent="0.25">
      <c r="A14" s="85"/>
      <c r="B14" s="427" t="s">
        <v>2183</v>
      </c>
      <c r="C14" s="427"/>
      <c r="D14" s="427"/>
      <c r="E14" s="427"/>
      <c r="F14" s="427"/>
      <c r="G14" s="427"/>
      <c r="H14" s="427"/>
      <c r="I14" s="427"/>
    </row>
    <row r="15" spans="1:12" x14ac:dyDescent="0.25">
      <c r="A15" s="56"/>
      <c r="B15" s="56"/>
      <c r="F15" s="57"/>
    </row>
    <row r="16" spans="1:12" ht="15.75" thickBot="1" x14ac:dyDescent="0.3">
      <c r="A16" s="56"/>
      <c r="B16" s="87" t="s">
        <v>2174</v>
      </c>
      <c r="C16" s="96" t="s">
        <v>2187</v>
      </c>
      <c r="D16" s="88"/>
      <c r="E16" s="87"/>
      <c r="F16" s="89"/>
      <c r="G16" s="87"/>
      <c r="H16" s="87"/>
      <c r="I16" s="87"/>
    </row>
    <row r="17" spans="1:9" ht="15.75" thickBot="1" x14ac:dyDescent="0.3">
      <c r="A17" s="56"/>
      <c r="B17" s="56"/>
      <c r="C17" s="80" t="s">
        <v>23</v>
      </c>
      <c r="D17" s="81" t="s">
        <v>36</v>
      </c>
      <c r="E17" s="82" t="s">
        <v>21</v>
      </c>
      <c r="F17" s="82" t="s">
        <v>13</v>
      </c>
      <c r="G17" s="82" t="s">
        <v>14</v>
      </c>
      <c r="H17" s="82" t="s">
        <v>15</v>
      </c>
      <c r="I17" s="83" t="s">
        <v>29</v>
      </c>
    </row>
    <row r="18" spans="1:9" ht="15.75" thickBot="1" x14ac:dyDescent="0.3">
      <c r="A18" s="428" t="s">
        <v>2137</v>
      </c>
      <c r="B18" s="40" t="s">
        <v>2142</v>
      </c>
      <c r="C18" s="5" t="s">
        <v>24</v>
      </c>
      <c r="D18" s="48"/>
      <c r="E18" s="35">
        <f>SUM(F18:I18)</f>
        <v>144</v>
      </c>
      <c r="F18" s="37">
        <v>63</v>
      </c>
      <c r="G18" s="38">
        <v>81</v>
      </c>
      <c r="H18" s="38">
        <v>0</v>
      </c>
      <c r="I18" s="6">
        <v>0</v>
      </c>
    </row>
    <row r="19" spans="1:9" ht="30.75" thickBot="1" x14ac:dyDescent="0.3">
      <c r="A19" s="429"/>
      <c r="B19" s="30" t="s">
        <v>2143</v>
      </c>
      <c r="C19" s="31" t="s">
        <v>33</v>
      </c>
      <c r="D19" s="32" t="s">
        <v>2144</v>
      </c>
      <c r="E19" s="33">
        <f>SUM(F19:I19)</f>
        <v>9.1428571428571423</v>
      </c>
      <c r="F19" s="33">
        <v>4</v>
      </c>
      <c r="G19" s="245">
        <f>MAX(F19*G18/F18,G18*'Details-GLOBAL-202301-202303'!H19/'Details-GLOBAL-202301-202303'!H18)</f>
        <v>5.1428571428571432</v>
      </c>
      <c r="H19" s="33">
        <v>0</v>
      </c>
      <c r="I19" s="34"/>
    </row>
    <row r="20" spans="1:9" ht="15.75" thickBot="1" x14ac:dyDescent="0.3">
      <c r="A20" s="429"/>
      <c r="B20" s="69"/>
      <c r="C20" s="66"/>
      <c r="D20" s="67"/>
      <c r="E20" s="68"/>
      <c r="F20" s="68"/>
      <c r="G20" s="68"/>
      <c r="H20" s="68"/>
      <c r="I20" s="70"/>
    </row>
    <row r="21" spans="1:9" ht="45" x14ac:dyDescent="0.25">
      <c r="A21" s="429"/>
      <c r="B21" s="41" t="s">
        <v>2145</v>
      </c>
      <c r="C21" s="11" t="s">
        <v>33</v>
      </c>
      <c r="D21" s="12" t="s">
        <v>2146</v>
      </c>
      <c r="E21" s="13">
        <f>SUM(F21:H21)</f>
        <v>2</v>
      </c>
      <c r="F21" s="100">
        <v>2</v>
      </c>
      <c r="G21" s="36" t="s">
        <v>8</v>
      </c>
      <c r="H21" s="14">
        <v>0</v>
      </c>
      <c r="I21" s="15"/>
    </row>
    <row r="22" spans="1:9" ht="45" x14ac:dyDescent="0.25">
      <c r="A22" s="429"/>
      <c r="B22" s="42" t="s">
        <v>2141</v>
      </c>
      <c r="C22" s="3"/>
      <c r="D22" s="7" t="s">
        <v>2147</v>
      </c>
      <c r="E22" s="8"/>
      <c r="F22" s="9">
        <f>F21/F19</f>
        <v>0.5</v>
      </c>
      <c r="G22" s="4"/>
      <c r="H22" s="4"/>
      <c r="I22" s="21"/>
    </row>
    <row r="23" spans="1:9" ht="15.75" thickBot="1" x14ac:dyDescent="0.3">
      <c r="A23" s="429"/>
      <c r="B23" s="43" t="s">
        <v>52</v>
      </c>
      <c r="C23" s="18"/>
      <c r="D23" s="49"/>
      <c r="E23" s="18"/>
      <c r="F23" s="22">
        <f>F21/F18</f>
        <v>3.1746031746031744E-2</v>
      </c>
      <c r="G23" s="18"/>
      <c r="H23" s="18"/>
      <c r="I23" s="19"/>
    </row>
    <row r="24" spans="1:9" ht="15.75" thickBot="1" x14ac:dyDescent="0.3">
      <c r="A24" s="429"/>
      <c r="B24" s="69"/>
      <c r="C24" s="66"/>
      <c r="D24" s="67"/>
      <c r="E24" s="68"/>
      <c r="F24" s="68"/>
      <c r="G24" s="68"/>
      <c r="H24" s="68"/>
      <c r="I24" s="70"/>
    </row>
    <row r="25" spans="1:9" ht="30" x14ac:dyDescent="0.25">
      <c r="A25" s="429"/>
      <c r="B25" s="10" t="s">
        <v>44</v>
      </c>
      <c r="C25" s="13"/>
      <c r="D25" s="12" t="s">
        <v>2184</v>
      </c>
      <c r="E25" s="13">
        <f>SUM(F25:I25)</f>
        <v>9.1428571428571423</v>
      </c>
      <c r="F25" s="13">
        <f>F19</f>
        <v>4</v>
      </c>
      <c r="G25" s="13">
        <f t="shared" ref="G25:I25" si="1">G19</f>
        <v>5.1428571428571432</v>
      </c>
      <c r="H25" s="13">
        <f t="shared" si="1"/>
        <v>0</v>
      </c>
      <c r="I25" s="13">
        <f t="shared" si="1"/>
        <v>0</v>
      </c>
    </row>
    <row r="26" spans="1:9" ht="15.75" thickBot="1" x14ac:dyDescent="0.3">
      <c r="A26" s="429"/>
      <c r="B26" s="20" t="s">
        <v>49</v>
      </c>
      <c r="C26" s="4"/>
      <c r="D26" s="44"/>
      <c r="E26" s="9">
        <f>E25/E18</f>
        <v>6.3492063492063489E-2</v>
      </c>
      <c r="F26" s="9">
        <f>F25/F18</f>
        <v>6.3492063492063489E-2</v>
      </c>
      <c r="G26" s="9">
        <f t="shared" ref="G26" si="2">G25/G18</f>
        <v>6.3492063492063502E-2</v>
      </c>
      <c r="H26" s="8"/>
      <c r="I26" s="23"/>
    </row>
    <row r="27" spans="1:9" ht="60" x14ac:dyDescent="0.25">
      <c r="A27" s="429"/>
      <c r="B27" s="24" t="s">
        <v>46</v>
      </c>
      <c r="C27" s="3"/>
      <c r="D27" s="12" t="s">
        <v>56</v>
      </c>
      <c r="E27" s="93">
        <f>E25-E21</f>
        <v>7.1428571428571423</v>
      </c>
      <c r="F27" s="4">
        <f>F25-F21</f>
        <v>2</v>
      </c>
      <c r="G27" s="142">
        <f>F27*G25/F25</f>
        <v>2.5714285714285716</v>
      </c>
      <c r="H27" s="4">
        <f>H25-H21</f>
        <v>0</v>
      </c>
      <c r="I27" s="21">
        <f>I25-I21</f>
        <v>0</v>
      </c>
    </row>
    <row r="28" spans="1:9" ht="15.75" thickBot="1" x14ac:dyDescent="0.3">
      <c r="A28" s="430"/>
      <c r="B28" s="43" t="s">
        <v>48</v>
      </c>
      <c r="C28" s="16"/>
      <c r="D28" s="46"/>
      <c r="E28" s="16"/>
      <c r="F28" s="17">
        <f>F27/F18</f>
        <v>3.1746031746031744E-2</v>
      </c>
      <c r="G28" s="16"/>
      <c r="H28" s="16"/>
      <c r="I28" s="25"/>
    </row>
    <row r="29" spans="1:9" x14ac:dyDescent="0.25">
      <c r="A29" s="56"/>
      <c r="B29" s="431" t="s">
        <v>2173</v>
      </c>
      <c r="C29" s="431"/>
      <c r="D29" s="431"/>
      <c r="E29" s="431"/>
      <c r="F29" s="431"/>
      <c r="G29" s="431"/>
      <c r="H29" s="431"/>
      <c r="I29" s="431"/>
    </row>
    <row r="30" spans="1:9" x14ac:dyDescent="0.25">
      <c r="A30" s="56"/>
      <c r="B30" s="90"/>
      <c r="C30" s="90"/>
      <c r="D30" s="90"/>
      <c r="E30" s="90"/>
      <c r="F30" s="90"/>
      <c r="G30" s="90"/>
      <c r="H30" s="90"/>
      <c r="I30" s="90"/>
    </row>
    <row r="31" spans="1:9" x14ac:dyDescent="0.25">
      <c r="A31" s="56"/>
      <c r="B31" s="90"/>
      <c r="C31" s="90"/>
      <c r="D31" s="90"/>
      <c r="E31" s="90"/>
      <c r="F31" s="90"/>
      <c r="G31" s="90"/>
      <c r="H31" s="90"/>
      <c r="I31" s="90"/>
    </row>
    <row r="32" spans="1:9" ht="15.75" thickBot="1" x14ac:dyDescent="0.3">
      <c r="A32" s="56"/>
      <c r="B32" s="87" t="s">
        <v>2174</v>
      </c>
      <c r="C32" s="96" t="s">
        <v>2189</v>
      </c>
      <c r="D32" s="88"/>
      <c r="E32" s="87"/>
      <c r="F32" s="89"/>
      <c r="G32" s="87"/>
      <c r="H32" s="87"/>
      <c r="I32" s="87"/>
    </row>
    <row r="33" spans="1:9" ht="15.75" thickBot="1" x14ac:dyDescent="0.3">
      <c r="A33" s="56"/>
      <c r="B33" s="56"/>
      <c r="C33" s="80" t="s">
        <v>23</v>
      </c>
      <c r="D33" s="81" t="s">
        <v>36</v>
      </c>
      <c r="E33" s="82" t="s">
        <v>21</v>
      </c>
      <c r="F33" s="82" t="s">
        <v>13</v>
      </c>
      <c r="G33" s="82" t="s">
        <v>14</v>
      </c>
      <c r="H33" s="82" t="s">
        <v>15</v>
      </c>
      <c r="I33" s="83" t="s">
        <v>29</v>
      </c>
    </row>
    <row r="34" spans="1:9" ht="15.75" thickBot="1" x14ac:dyDescent="0.3">
      <c r="A34" s="438" t="s">
        <v>2138</v>
      </c>
      <c r="B34" s="78" t="s">
        <v>2148</v>
      </c>
      <c r="C34" s="71" t="s">
        <v>24</v>
      </c>
      <c r="D34" s="72"/>
      <c r="E34" s="73">
        <f>SUM(F34:I34)</f>
        <v>11519</v>
      </c>
      <c r="F34" s="74">
        <v>6618</v>
      </c>
      <c r="G34" s="75">
        <v>4901</v>
      </c>
      <c r="H34" s="75"/>
      <c r="I34" s="76"/>
    </row>
    <row r="35" spans="1:9" ht="30.75" customHeight="1" thickBot="1" x14ac:dyDescent="0.3">
      <c r="A35" s="439"/>
      <c r="B35" s="58" t="s">
        <v>2149</v>
      </c>
      <c r="C35" s="5" t="s">
        <v>33</v>
      </c>
      <c r="D35" s="47" t="s">
        <v>2150</v>
      </c>
      <c r="E35" s="77">
        <f>SUM(F35:I35)</f>
        <v>1913.8711090964039</v>
      </c>
      <c r="F35" s="77">
        <v>1099</v>
      </c>
      <c r="G35" s="246">
        <f>MAX(795,F35*G34/F34,G34*'Details-GLOBAL-202301-202303'!H35/'Details-GLOBAL-202301-202303'!H34)</f>
        <v>813.87110909640376</v>
      </c>
      <c r="H35" s="77">
        <v>1</v>
      </c>
      <c r="I35" s="6"/>
    </row>
    <row r="36" spans="1:9" ht="15.75" thickBot="1" x14ac:dyDescent="0.3">
      <c r="A36" s="439"/>
      <c r="B36" s="66"/>
      <c r="C36" s="66"/>
      <c r="D36" s="67"/>
      <c r="E36" s="68"/>
      <c r="F36" s="68"/>
      <c r="G36" s="68"/>
      <c r="H36" s="68"/>
      <c r="I36" s="70"/>
    </row>
    <row r="37" spans="1:9" ht="45" x14ac:dyDescent="0.25">
      <c r="A37" s="439"/>
      <c r="B37" s="60" t="s">
        <v>2151</v>
      </c>
      <c r="C37" s="11" t="s">
        <v>33</v>
      </c>
      <c r="D37" s="12" t="s">
        <v>2152</v>
      </c>
      <c r="E37" s="13">
        <f>SUM(F37:H37)</f>
        <v>559</v>
      </c>
      <c r="F37" s="100">
        <v>558</v>
      </c>
      <c r="G37" s="36" t="s">
        <v>8</v>
      </c>
      <c r="H37" s="14">
        <v>1</v>
      </c>
      <c r="I37" s="15"/>
    </row>
    <row r="38" spans="1:9" ht="45" x14ac:dyDescent="0.25">
      <c r="A38" s="439"/>
      <c r="B38" s="61" t="s">
        <v>2141</v>
      </c>
      <c r="C38" s="3"/>
      <c r="D38" s="7" t="s">
        <v>2153</v>
      </c>
      <c r="E38" s="8"/>
      <c r="F38" s="9">
        <f t="shared" ref="F38" si="3">F37/F35</f>
        <v>0.50773430391264784</v>
      </c>
      <c r="G38" s="4"/>
      <c r="H38" s="4"/>
      <c r="I38" s="21"/>
    </row>
    <row r="39" spans="1:9" ht="15.75" thickBot="1" x14ac:dyDescent="0.3">
      <c r="A39" s="439"/>
      <c r="B39" s="62" t="s">
        <v>52</v>
      </c>
      <c r="C39" s="18"/>
      <c r="D39" s="49"/>
      <c r="E39" s="18"/>
      <c r="F39" s="92">
        <f>F37/F34</f>
        <v>8.4315503173164094E-2</v>
      </c>
      <c r="G39" s="18"/>
      <c r="H39" s="18"/>
      <c r="I39" s="19"/>
    </row>
    <row r="40" spans="1:9" ht="15.75" thickBot="1" x14ac:dyDescent="0.3">
      <c r="A40" s="439"/>
      <c r="B40" s="66"/>
      <c r="C40" s="66"/>
      <c r="D40" s="67"/>
      <c r="E40" s="68"/>
      <c r="F40" s="68"/>
      <c r="G40" s="68"/>
      <c r="H40" s="68"/>
      <c r="I40" s="70"/>
    </row>
    <row r="41" spans="1:9" ht="75" customHeight="1" x14ac:dyDescent="0.25">
      <c r="A41" s="439"/>
      <c r="B41" s="63" t="s">
        <v>44</v>
      </c>
      <c r="C41" s="13"/>
      <c r="D41" s="12" t="s">
        <v>2185</v>
      </c>
      <c r="E41" s="13">
        <f>SUM(F41:I41)</f>
        <v>1913.8711090964039</v>
      </c>
      <c r="F41" s="13">
        <f>F35</f>
        <v>1099</v>
      </c>
      <c r="G41" s="13">
        <f t="shared" ref="G41:I41" si="4">G35</f>
        <v>813.87110909640376</v>
      </c>
      <c r="H41" s="13">
        <f t="shared" si="4"/>
        <v>1</v>
      </c>
      <c r="I41" s="13">
        <f t="shared" si="4"/>
        <v>0</v>
      </c>
    </row>
    <row r="42" spans="1:9" ht="15.75" thickBot="1" x14ac:dyDescent="0.3">
      <c r="A42" s="439"/>
      <c r="B42" s="64" t="s">
        <v>49</v>
      </c>
      <c r="C42" s="4"/>
      <c r="D42" s="44"/>
      <c r="E42" s="9">
        <f>E41/E34</f>
        <v>0.16614906754895423</v>
      </c>
      <c r="F42" s="9">
        <f>F41/F34</f>
        <v>0.16606225445754005</v>
      </c>
      <c r="G42" s="9">
        <f>G41/G34</f>
        <v>0.16606225445754005</v>
      </c>
      <c r="H42" s="8"/>
      <c r="I42" s="23"/>
    </row>
    <row r="43" spans="1:9" ht="60" x14ac:dyDescent="0.25">
      <c r="A43" s="439"/>
      <c r="B43" s="65" t="s">
        <v>46</v>
      </c>
      <c r="C43" s="3"/>
      <c r="D43" s="12" t="s">
        <v>57</v>
      </c>
      <c r="E43" s="93">
        <f>E41-E37</f>
        <v>1354.8711090964039</v>
      </c>
      <c r="F43" s="4">
        <f>F41-F37</f>
        <v>541</v>
      </c>
      <c r="G43" s="142">
        <f>F43*G41/F41</f>
        <v>400.6408280447265</v>
      </c>
      <c r="H43" s="4">
        <f>H41-H37</f>
        <v>0</v>
      </c>
      <c r="I43" s="21">
        <f>I41-I37</f>
        <v>0</v>
      </c>
    </row>
    <row r="44" spans="1:9" ht="15.75" thickBot="1" x14ac:dyDescent="0.3">
      <c r="A44" s="440"/>
      <c r="B44" s="62" t="s">
        <v>48</v>
      </c>
      <c r="C44" s="16"/>
      <c r="D44" s="46"/>
      <c r="E44" s="16"/>
      <c r="F44" s="22">
        <f>F43/F34</f>
        <v>8.1746751284375946E-2</v>
      </c>
      <c r="G44" s="16"/>
      <c r="H44" s="16"/>
      <c r="I44" s="25"/>
    </row>
    <row r="45" spans="1:9" ht="15" customHeight="1" x14ac:dyDescent="0.25">
      <c r="A45" s="56"/>
      <c r="B45" s="431" t="s">
        <v>2176</v>
      </c>
      <c r="C45" s="431"/>
      <c r="D45" s="431"/>
      <c r="E45" s="431"/>
      <c r="F45" s="431"/>
      <c r="G45" s="431"/>
      <c r="H45" s="431"/>
      <c r="I45" s="431"/>
    </row>
    <row r="46" spans="1:9" ht="55.5" customHeight="1" x14ac:dyDescent="0.25">
      <c r="A46" s="56"/>
      <c r="B46" s="441" t="s">
        <v>2177</v>
      </c>
      <c r="C46" s="441"/>
      <c r="D46" s="441"/>
      <c r="E46" s="441"/>
      <c r="F46" s="441"/>
      <c r="G46" s="441"/>
      <c r="H46" s="441"/>
      <c r="I46" s="441"/>
    </row>
    <row r="47" spans="1:9" x14ac:dyDescent="0.25">
      <c r="A47" s="56"/>
      <c r="B47" s="56"/>
      <c r="F47" s="57"/>
    </row>
    <row r="48" spans="1:9" ht="15.75" thickBot="1" x14ac:dyDescent="0.3">
      <c r="A48" s="56"/>
      <c r="B48" s="87" t="s">
        <v>2174</v>
      </c>
      <c r="C48" s="96" t="s">
        <v>2188</v>
      </c>
      <c r="D48" s="88"/>
      <c r="E48" s="87"/>
      <c r="F48" s="89"/>
      <c r="G48" s="87"/>
      <c r="H48" s="87"/>
      <c r="I48" s="87"/>
    </row>
    <row r="49" spans="1:9" ht="15.75" thickBot="1" x14ac:dyDescent="0.3">
      <c r="A49" s="56"/>
      <c r="B49" s="56"/>
      <c r="C49" s="80" t="s">
        <v>23</v>
      </c>
      <c r="D49" s="81" t="s">
        <v>36</v>
      </c>
      <c r="E49" s="82" t="s">
        <v>21</v>
      </c>
      <c r="F49" s="82" t="s">
        <v>13</v>
      </c>
      <c r="G49" s="82" t="s">
        <v>14</v>
      </c>
      <c r="H49" s="82" t="s">
        <v>15</v>
      </c>
      <c r="I49" s="83" t="s">
        <v>29</v>
      </c>
    </row>
    <row r="50" spans="1:9" ht="15.75" customHeight="1" thickBot="1" x14ac:dyDescent="0.3">
      <c r="A50" s="432" t="s">
        <v>2171</v>
      </c>
      <c r="B50" s="5" t="s">
        <v>2155</v>
      </c>
      <c r="C50" s="5" t="s">
        <v>24</v>
      </c>
      <c r="D50" s="48"/>
      <c r="E50" s="35">
        <f>SUM(F50:I50)</f>
        <v>5448</v>
      </c>
      <c r="F50" s="37">
        <v>3972</v>
      </c>
      <c r="G50" s="38">
        <v>1476</v>
      </c>
      <c r="H50" s="38">
        <v>0</v>
      </c>
      <c r="I50" s="6">
        <v>0</v>
      </c>
    </row>
    <row r="51" spans="1:9" ht="30.75" thickBot="1" x14ac:dyDescent="0.3">
      <c r="A51" s="433"/>
      <c r="B51" s="30" t="s">
        <v>2156</v>
      </c>
      <c r="C51" s="31" t="s">
        <v>33</v>
      </c>
      <c r="D51" s="32" t="s">
        <v>2154</v>
      </c>
      <c r="E51" s="33">
        <f>SUM(F51:I51)</f>
        <v>4201.2210526315794</v>
      </c>
      <c r="F51" s="33">
        <v>1432</v>
      </c>
      <c r="G51" s="245">
        <f>MAX(F51*G50/F50,G50*'Details-GLOBAL-202301-202303'!H51/'Details-GLOBAL-202301-202303'!H50)</f>
        <v>2769.2210526315789</v>
      </c>
      <c r="H51" s="33">
        <v>0</v>
      </c>
      <c r="I51" s="34"/>
    </row>
    <row r="52" spans="1:9" ht="15.75" thickBot="1" x14ac:dyDescent="0.3">
      <c r="A52" s="433"/>
      <c r="B52" s="66"/>
      <c r="C52" s="66"/>
      <c r="D52" s="67"/>
      <c r="E52" s="68"/>
      <c r="F52" s="68"/>
      <c r="G52" s="68"/>
      <c r="H52" s="68"/>
      <c r="I52" s="70"/>
    </row>
    <row r="53" spans="1:9" ht="45" x14ac:dyDescent="0.25">
      <c r="A53" s="433"/>
      <c r="B53" s="41" t="s">
        <v>2157</v>
      </c>
      <c r="C53" s="11" t="s">
        <v>33</v>
      </c>
      <c r="D53" s="12" t="s">
        <v>2159</v>
      </c>
      <c r="E53" s="13">
        <f>SUM(F53:H53)</f>
        <v>760</v>
      </c>
      <c r="F53" s="100">
        <v>760</v>
      </c>
      <c r="G53" s="36" t="s">
        <v>8</v>
      </c>
      <c r="H53" s="14">
        <v>0</v>
      </c>
      <c r="I53" s="15"/>
    </row>
    <row r="54" spans="1:9" ht="45" x14ac:dyDescent="0.25">
      <c r="A54" s="433"/>
      <c r="B54" s="42" t="s">
        <v>2158</v>
      </c>
      <c r="C54" s="3"/>
      <c r="D54" s="7" t="s">
        <v>2160</v>
      </c>
      <c r="E54" s="8"/>
      <c r="F54" s="9">
        <f t="shared" ref="F54:H54" si="5">F53/F51</f>
        <v>0.53072625698324027</v>
      </c>
      <c r="G54" s="8"/>
      <c r="H54" s="8" t="e">
        <f t="shared" si="5"/>
        <v>#DIV/0!</v>
      </c>
      <c r="I54" s="21"/>
    </row>
    <row r="55" spans="1:9" ht="15.75" thickBot="1" x14ac:dyDescent="0.3">
      <c r="A55" s="433"/>
      <c r="B55" s="43" t="s">
        <v>52</v>
      </c>
      <c r="C55" s="18"/>
      <c r="D55" s="49"/>
      <c r="E55" s="18"/>
      <c r="F55" s="92">
        <f>F53/F50</f>
        <v>0.19133937562940584</v>
      </c>
      <c r="G55" s="18"/>
      <c r="H55" s="18"/>
      <c r="I55" s="19"/>
    </row>
    <row r="56" spans="1:9" ht="15.75" thickBot="1" x14ac:dyDescent="0.3">
      <c r="A56" s="433"/>
      <c r="B56" s="66"/>
      <c r="C56" s="66"/>
      <c r="D56" s="67"/>
      <c r="E56" s="68"/>
      <c r="F56" s="68"/>
      <c r="G56" s="68"/>
      <c r="H56" s="68"/>
      <c r="I56" s="70"/>
    </row>
    <row r="57" spans="1:9" ht="45" x14ac:dyDescent="0.25">
      <c r="A57" s="433"/>
      <c r="B57" s="10" t="s">
        <v>44</v>
      </c>
      <c r="C57" s="13"/>
      <c r="D57" s="12" t="s">
        <v>2186</v>
      </c>
      <c r="E57" s="13">
        <f>SUM(F57:I57)</f>
        <v>4201.2210526315794</v>
      </c>
      <c r="F57" s="13">
        <f>F51</f>
        <v>1432</v>
      </c>
      <c r="G57" s="13">
        <f t="shared" ref="G57:I57" si="6">G51</f>
        <v>2769.2210526315789</v>
      </c>
      <c r="H57" s="13">
        <f t="shared" si="6"/>
        <v>0</v>
      </c>
      <c r="I57" s="13">
        <f t="shared" si="6"/>
        <v>0</v>
      </c>
    </row>
    <row r="58" spans="1:9" ht="15.75" thickBot="1" x14ac:dyDescent="0.3">
      <c r="A58" s="433"/>
      <c r="B58" s="20" t="s">
        <v>49</v>
      </c>
      <c r="C58" s="4"/>
      <c r="D58" s="44"/>
      <c r="E58" s="9">
        <f>E57/E50</f>
        <v>0.77114923873560559</v>
      </c>
      <c r="F58" s="9">
        <f>F57/F50</f>
        <v>0.3605236656596173</v>
      </c>
      <c r="G58" s="9">
        <f t="shared" ref="G58:H58" si="7">G57/G50</f>
        <v>1.8761660248181429</v>
      </c>
      <c r="H58" s="8" t="e">
        <f t="shared" si="7"/>
        <v>#DIV/0!</v>
      </c>
      <c r="I58" s="8"/>
    </row>
    <row r="59" spans="1:9" ht="60" x14ac:dyDescent="0.25">
      <c r="A59" s="433"/>
      <c r="B59" s="24" t="s">
        <v>46</v>
      </c>
      <c r="C59" s="3"/>
      <c r="D59" s="12" t="s">
        <v>2161</v>
      </c>
      <c r="E59" s="93">
        <f>E57-E53</f>
        <v>3441.2210526315794</v>
      </c>
      <c r="F59" s="4">
        <f>F57-F53</f>
        <v>672</v>
      </c>
      <c r="G59" s="142">
        <f>F59*G57/F57</f>
        <v>1299.5227286092324</v>
      </c>
      <c r="H59" s="4">
        <f t="shared" ref="H59:I59" si="8">H57-H53</f>
        <v>0</v>
      </c>
      <c r="I59" s="4">
        <f t="shared" si="8"/>
        <v>0</v>
      </c>
    </row>
    <row r="60" spans="1:9" ht="15.75" thickBot="1" x14ac:dyDescent="0.3">
      <c r="A60" s="434"/>
      <c r="B60" s="43" t="s">
        <v>48</v>
      </c>
      <c r="C60" s="16"/>
      <c r="D60" s="46"/>
      <c r="E60" s="16"/>
      <c r="F60" s="17">
        <f>F59/F50</f>
        <v>0.16918429003021149</v>
      </c>
      <c r="G60" s="16"/>
      <c r="H60" s="16"/>
      <c r="I60" s="25"/>
    </row>
    <row r="61" spans="1:9" x14ac:dyDescent="0.25">
      <c r="A61" s="56"/>
      <c r="B61" s="431" t="s">
        <v>2178</v>
      </c>
      <c r="C61" s="431"/>
      <c r="D61" s="431"/>
      <c r="E61" s="431"/>
      <c r="F61" s="431"/>
      <c r="G61" s="431"/>
      <c r="H61" s="431"/>
      <c r="I61" s="431"/>
    </row>
    <row r="62" spans="1:9" ht="15.75" thickBot="1" x14ac:dyDescent="0.3">
      <c r="A62" s="56"/>
      <c r="B62" s="56"/>
      <c r="F62" s="57"/>
    </row>
    <row r="63" spans="1:9" ht="15.75" thickBot="1" x14ac:dyDescent="0.3">
      <c r="A63" s="56"/>
      <c r="B63" s="56"/>
      <c r="C63" s="80" t="s">
        <v>23</v>
      </c>
      <c r="D63" s="81" t="s">
        <v>36</v>
      </c>
      <c r="E63" s="82" t="s">
        <v>21</v>
      </c>
      <c r="F63" s="82" t="s">
        <v>13</v>
      </c>
      <c r="G63" s="82" t="s">
        <v>14</v>
      </c>
      <c r="H63" s="82" t="s">
        <v>15</v>
      </c>
      <c r="I63" s="83" t="s">
        <v>29</v>
      </c>
    </row>
    <row r="64" spans="1:9" ht="15.75" customHeight="1" thickBot="1" x14ac:dyDescent="0.3">
      <c r="A64" s="432" t="s">
        <v>2139</v>
      </c>
      <c r="B64" s="5" t="s">
        <v>2162</v>
      </c>
      <c r="C64" s="5" t="s">
        <v>24</v>
      </c>
      <c r="D64" s="48"/>
      <c r="E64" s="35">
        <f>SUM(F64:I64)</f>
        <v>347430</v>
      </c>
      <c r="F64" s="37">
        <f>F3+F18+F34+F50+F80</f>
        <v>173248</v>
      </c>
      <c r="G64" s="37">
        <f t="shared" ref="G64:H65" si="9">G3+G18+G34+G50+G80</f>
        <v>174182</v>
      </c>
      <c r="H64" s="37">
        <f t="shared" si="9"/>
        <v>0</v>
      </c>
      <c r="I64" s="37">
        <f>I3+I18+I34+I50</f>
        <v>0</v>
      </c>
    </row>
    <row r="65" spans="1:9" ht="30.75" thickBot="1" x14ac:dyDescent="0.3">
      <c r="A65" s="433"/>
      <c r="B65" s="30" t="s">
        <v>2163</v>
      </c>
      <c r="C65" s="31" t="s">
        <v>33</v>
      </c>
      <c r="D65" s="32" t="s">
        <v>2164</v>
      </c>
      <c r="E65" s="33">
        <f>SUM(F65:I65)</f>
        <v>63452.380598281467</v>
      </c>
      <c r="F65" s="37">
        <f>F4+F19+F35+F51+F81</f>
        <v>30068</v>
      </c>
      <c r="G65" s="37">
        <f t="shared" si="9"/>
        <v>33383.380598281467</v>
      </c>
      <c r="H65" s="37">
        <f t="shared" si="9"/>
        <v>1</v>
      </c>
      <c r="I65" s="37">
        <f>I4+I19+I35+I51+I81</f>
        <v>0</v>
      </c>
    </row>
    <row r="66" spans="1:9" ht="15.75" thickBot="1" x14ac:dyDescent="0.3">
      <c r="A66" s="433"/>
      <c r="B66" s="66"/>
      <c r="C66" s="66"/>
      <c r="D66" s="67"/>
      <c r="E66" s="68"/>
      <c r="F66" s="68"/>
      <c r="G66" s="68"/>
      <c r="H66" s="68"/>
      <c r="I66" s="70"/>
    </row>
    <row r="67" spans="1:9" ht="45.75" thickBot="1" x14ac:dyDescent="0.3">
      <c r="A67" s="433"/>
      <c r="B67" s="41" t="s">
        <v>2151</v>
      </c>
      <c r="C67" s="11" t="s">
        <v>33</v>
      </c>
      <c r="D67" s="12" t="s">
        <v>2165</v>
      </c>
      <c r="E67" s="13">
        <f>SUM(F67:H67)</f>
        <v>15894</v>
      </c>
      <c r="F67" s="100">
        <f>F6+F21+F37+F53+F83</f>
        <v>15893</v>
      </c>
      <c r="G67" s="36" t="s">
        <v>8</v>
      </c>
      <c r="H67" s="91">
        <f>H6+H21+H37+H53</f>
        <v>1</v>
      </c>
      <c r="I67" s="91">
        <f>I6+I21+I37+I53</f>
        <v>0</v>
      </c>
    </row>
    <row r="68" spans="1:9" ht="45" x14ac:dyDescent="0.25">
      <c r="A68" s="433"/>
      <c r="B68" s="42" t="s">
        <v>2141</v>
      </c>
      <c r="C68" s="3"/>
      <c r="D68" s="7" t="s">
        <v>2166</v>
      </c>
      <c r="E68" s="8"/>
      <c r="F68" s="9">
        <f>F67/F65</f>
        <v>0.52856857789011569</v>
      </c>
      <c r="G68" s="4"/>
      <c r="H68" s="4"/>
      <c r="I68" s="21"/>
    </row>
    <row r="69" spans="1:9" ht="15.75" thickBot="1" x14ac:dyDescent="0.3">
      <c r="A69" s="433"/>
      <c r="B69" s="43" t="s">
        <v>52</v>
      </c>
      <c r="C69" s="18"/>
      <c r="D69" s="49"/>
      <c r="E69" s="18"/>
      <c r="F69" s="92">
        <f>F67/F64</f>
        <v>9.1735546730698184E-2</v>
      </c>
      <c r="G69" s="18"/>
      <c r="H69" s="18"/>
      <c r="I69" s="19"/>
    </row>
    <row r="70" spans="1:9" ht="15.75" thickBot="1" x14ac:dyDescent="0.3">
      <c r="A70" s="433"/>
      <c r="B70" s="66"/>
      <c r="C70" s="66"/>
      <c r="D70" s="67"/>
      <c r="E70" s="68"/>
      <c r="F70" s="68"/>
      <c r="G70" s="68"/>
      <c r="H70" s="68"/>
      <c r="I70" s="70"/>
    </row>
    <row r="71" spans="1:9" ht="45" customHeight="1" x14ac:dyDescent="0.25">
      <c r="A71" s="433"/>
      <c r="B71" s="10" t="s">
        <v>44</v>
      </c>
      <c r="C71" s="13"/>
      <c r="D71" s="12" t="s">
        <v>2167</v>
      </c>
      <c r="E71" s="13">
        <f>SUM(F71:I71)</f>
        <v>63452.380598281467</v>
      </c>
      <c r="F71" s="13">
        <f>F41+F25+F10+F57+F87</f>
        <v>30068</v>
      </c>
      <c r="G71" s="13">
        <f>G41+G25+G10+G57+G87</f>
        <v>33383.380598281467</v>
      </c>
      <c r="H71" s="13">
        <f>H41+H25+H10+H57+H87</f>
        <v>1</v>
      </c>
      <c r="I71" s="13">
        <f>I41+I25+I10+I57+I87</f>
        <v>0</v>
      </c>
    </row>
    <row r="72" spans="1:9" ht="15.75" thickBot="1" x14ac:dyDescent="0.3">
      <c r="A72" s="433"/>
      <c r="B72" s="20" t="s">
        <v>49</v>
      </c>
      <c r="C72" s="4"/>
      <c r="D72" s="44"/>
      <c r="E72" s="9">
        <f>E71/E64</f>
        <v>0.18263356819584223</v>
      </c>
      <c r="F72" s="9">
        <f>F71/F64</f>
        <v>0.17355467306981898</v>
      </c>
      <c r="G72" s="9">
        <f t="shared" ref="G72" si="10">G71/G64</f>
        <v>0.19165803928236824</v>
      </c>
      <c r="H72" s="8"/>
      <c r="I72" s="23"/>
    </row>
    <row r="73" spans="1:9" ht="60" x14ac:dyDescent="0.25">
      <c r="A73" s="433"/>
      <c r="B73" s="24" t="s">
        <v>46</v>
      </c>
      <c r="C73" s="3"/>
      <c r="D73" s="12" t="s">
        <v>2140</v>
      </c>
      <c r="E73" s="4">
        <f>E71-E67</f>
        <v>47558.380598281467</v>
      </c>
      <c r="F73" s="13">
        <f>F43+F27+F12+F59+F89</f>
        <v>14175</v>
      </c>
      <c r="G73" s="142">
        <f>F73*G71/F71</f>
        <v>15737.974590283351</v>
      </c>
      <c r="H73" s="13">
        <f>H43+H27+H12+H59</f>
        <v>0</v>
      </c>
      <c r="I73" s="15">
        <f>I43+I27+I12+I59</f>
        <v>0</v>
      </c>
    </row>
    <row r="74" spans="1:9" ht="15.75" thickBot="1" x14ac:dyDescent="0.3">
      <c r="A74" s="434"/>
      <c r="B74" s="43" t="s">
        <v>48</v>
      </c>
      <c r="C74" s="16"/>
      <c r="D74" s="46"/>
      <c r="E74" s="16"/>
      <c r="F74" s="17">
        <f>F73/F64</f>
        <v>8.1819126339120793E-2</v>
      </c>
      <c r="G74" s="16"/>
      <c r="H74" s="16"/>
      <c r="I74" s="25"/>
    </row>
    <row r="78" spans="1:9" ht="15.75" thickBot="1" x14ac:dyDescent="0.3">
      <c r="A78" s="56"/>
      <c r="B78" s="87" t="s">
        <v>2174</v>
      </c>
      <c r="C78" s="96" t="s">
        <v>2190</v>
      </c>
      <c r="D78" s="88"/>
      <c r="E78" s="87"/>
      <c r="F78" s="89"/>
      <c r="G78" s="87"/>
      <c r="H78" s="87"/>
      <c r="I78" s="87"/>
    </row>
    <row r="79" spans="1:9" ht="15.75" thickBot="1" x14ac:dyDescent="0.3">
      <c r="A79" s="56"/>
      <c r="B79" s="56"/>
      <c r="C79" s="80" t="s">
        <v>23</v>
      </c>
      <c r="D79" s="81" t="s">
        <v>36</v>
      </c>
      <c r="E79" s="82" t="s">
        <v>21</v>
      </c>
      <c r="F79" s="82" t="s">
        <v>13</v>
      </c>
      <c r="G79" s="82" t="s">
        <v>14</v>
      </c>
      <c r="H79" s="82" t="s">
        <v>15</v>
      </c>
      <c r="I79" s="83" t="s">
        <v>29</v>
      </c>
    </row>
    <row r="80" spans="1:9" ht="15.75" thickBot="1" x14ac:dyDescent="0.3">
      <c r="A80" s="432" t="s">
        <v>2191</v>
      </c>
      <c r="B80" s="5" t="s">
        <v>2192</v>
      </c>
      <c r="C80" s="5" t="s">
        <v>24</v>
      </c>
      <c r="D80" s="48"/>
      <c r="E80" s="35">
        <f>SUM(F80:I80)</f>
        <v>1595</v>
      </c>
      <c r="F80" s="37">
        <v>876</v>
      </c>
      <c r="G80" s="38">
        <v>719</v>
      </c>
      <c r="H80" s="38">
        <v>0</v>
      </c>
      <c r="I80" s="6">
        <v>0</v>
      </c>
    </row>
    <row r="81" spans="1:9" ht="30.75" thickBot="1" x14ac:dyDescent="0.3">
      <c r="A81" s="433"/>
      <c r="B81" s="30" t="s">
        <v>2193</v>
      </c>
      <c r="C81" s="31" t="s">
        <v>33</v>
      </c>
      <c r="D81" s="32" t="s">
        <v>2197</v>
      </c>
      <c r="E81" s="33">
        <f>SUM(F81:I81)</f>
        <v>143.84132420091325</v>
      </c>
      <c r="F81" s="33">
        <v>79</v>
      </c>
      <c r="G81" s="245">
        <f>MAX(F81*G80/F80,G80*'Details-GLOBAL-202301-202303'!H81/'Details-GLOBAL-202301-202303'!H80)</f>
        <v>64.841324200913249</v>
      </c>
      <c r="H81" s="33">
        <v>0</v>
      </c>
      <c r="I81" s="34"/>
    </row>
    <row r="82" spans="1:9" ht="15.75" thickBot="1" x14ac:dyDescent="0.3">
      <c r="A82" s="433"/>
      <c r="B82" s="66"/>
      <c r="C82" s="66"/>
      <c r="D82" s="67"/>
      <c r="E82" s="68"/>
      <c r="F82" s="68"/>
      <c r="G82" s="68"/>
      <c r="H82" s="68"/>
      <c r="I82" s="70"/>
    </row>
    <row r="83" spans="1:9" ht="30" x14ac:dyDescent="0.25">
      <c r="A83" s="433"/>
      <c r="B83" s="41" t="s">
        <v>2194</v>
      </c>
      <c r="C83" s="11" t="s">
        <v>33</v>
      </c>
      <c r="D83" s="12" t="s">
        <v>2198</v>
      </c>
      <c r="E83" s="13">
        <f>SUM(F83:H83)</f>
        <v>29</v>
      </c>
      <c r="F83" s="100">
        <v>29</v>
      </c>
      <c r="G83" s="36" t="s">
        <v>8</v>
      </c>
      <c r="H83" s="14">
        <v>0</v>
      </c>
      <c r="I83" s="15"/>
    </row>
    <row r="84" spans="1:9" ht="45" x14ac:dyDescent="0.25">
      <c r="A84" s="433"/>
      <c r="B84" s="42" t="s">
        <v>2195</v>
      </c>
      <c r="C84" s="3"/>
      <c r="D84" s="7" t="s">
        <v>2199</v>
      </c>
      <c r="E84" s="8"/>
      <c r="F84" s="9">
        <f t="shared" ref="F84" si="11">F83/F81</f>
        <v>0.36708860759493672</v>
      </c>
      <c r="G84" s="8"/>
      <c r="H84" s="8" t="e">
        <f t="shared" ref="H84" si="12">H83/H81</f>
        <v>#DIV/0!</v>
      </c>
      <c r="I84" s="21"/>
    </row>
    <row r="85" spans="1:9" ht="15.75" thickBot="1" x14ac:dyDescent="0.3">
      <c r="A85" s="433"/>
      <c r="B85" s="43" t="s">
        <v>2196</v>
      </c>
      <c r="C85" s="18"/>
      <c r="D85" s="49"/>
      <c r="E85" s="18"/>
      <c r="F85" s="92">
        <f>F83/F80</f>
        <v>3.3105022831050226E-2</v>
      </c>
      <c r="G85" s="18"/>
      <c r="H85" s="18"/>
      <c r="I85" s="19"/>
    </row>
    <row r="86" spans="1:9" ht="15.75" thickBot="1" x14ac:dyDescent="0.3">
      <c r="A86" s="433"/>
      <c r="B86" s="66"/>
      <c r="C86" s="66"/>
      <c r="D86" s="67"/>
      <c r="E86" s="68"/>
      <c r="F86" s="68"/>
      <c r="G86" s="68"/>
      <c r="H86" s="68"/>
      <c r="I86" s="70"/>
    </row>
    <row r="87" spans="1:9" ht="45" x14ac:dyDescent="0.25">
      <c r="A87" s="433"/>
      <c r="B87" s="10" t="s">
        <v>44</v>
      </c>
      <c r="C87" s="13"/>
      <c r="D87" s="12" t="s">
        <v>2200</v>
      </c>
      <c r="E87" s="13">
        <f>SUM(F87:I87)</f>
        <v>143.84132420091325</v>
      </c>
      <c r="F87" s="13">
        <f>F81</f>
        <v>79</v>
      </c>
      <c r="G87" s="13">
        <f t="shared" ref="G87:I87" si="13">G81</f>
        <v>64.841324200913249</v>
      </c>
      <c r="H87" s="13">
        <f t="shared" si="13"/>
        <v>0</v>
      </c>
      <c r="I87" s="13">
        <f t="shared" si="13"/>
        <v>0</v>
      </c>
    </row>
    <row r="88" spans="1:9" ht="15.75" thickBot="1" x14ac:dyDescent="0.3">
      <c r="A88" s="433"/>
      <c r="B88" s="20" t="s">
        <v>49</v>
      </c>
      <c r="C88" s="4"/>
      <c r="D88" s="44"/>
      <c r="E88" s="9">
        <f>E87/E80</f>
        <v>9.0182648401826493E-2</v>
      </c>
      <c r="F88" s="9">
        <f>F87/F80</f>
        <v>9.0182648401826479E-2</v>
      </c>
      <c r="G88" s="9">
        <f t="shared" ref="G88:H88" si="14">G87/G80</f>
        <v>9.0182648401826493E-2</v>
      </c>
      <c r="H88" s="8" t="e">
        <f t="shared" si="14"/>
        <v>#DIV/0!</v>
      </c>
      <c r="I88" s="8"/>
    </row>
    <row r="89" spans="1:9" ht="60" x14ac:dyDescent="0.25">
      <c r="A89" s="433"/>
      <c r="B89" s="24" t="s">
        <v>46</v>
      </c>
      <c r="C89" s="3"/>
      <c r="D89" s="12" t="s">
        <v>2201</v>
      </c>
      <c r="E89" s="93">
        <f>E87-E83</f>
        <v>114.84132420091325</v>
      </c>
      <c r="F89" s="4">
        <f>F87-F83</f>
        <v>50</v>
      </c>
      <c r="G89" s="142">
        <f>F89*G87/F87</f>
        <v>41.038812785388131</v>
      </c>
      <c r="H89" s="4">
        <f t="shared" ref="H89:I89" si="15">H87-H83</f>
        <v>0</v>
      </c>
      <c r="I89" s="4">
        <f t="shared" si="15"/>
        <v>0</v>
      </c>
    </row>
    <row r="90" spans="1:9" ht="15.75" thickBot="1" x14ac:dyDescent="0.3">
      <c r="A90" s="434"/>
      <c r="B90" s="43" t="s">
        <v>48</v>
      </c>
      <c r="C90" s="16"/>
      <c r="D90" s="46"/>
      <c r="E90" s="16"/>
      <c r="F90" s="17">
        <f>F89/F80</f>
        <v>5.7077625570776253E-2</v>
      </c>
      <c r="G90" s="16"/>
      <c r="H90" s="16"/>
      <c r="I90" s="25"/>
    </row>
    <row r="92" spans="1:9" ht="15.75" thickBot="1" x14ac:dyDescent="0.3"/>
    <row r="93" spans="1:9" ht="15.75" thickBot="1" x14ac:dyDescent="0.3">
      <c r="A93" s="435" t="s">
        <v>2224</v>
      </c>
      <c r="B93" t="s">
        <v>16</v>
      </c>
      <c r="C93" s="80" t="s">
        <v>23</v>
      </c>
      <c r="D93" s="81" t="s">
        <v>36</v>
      </c>
      <c r="E93" s="82" t="s">
        <v>21</v>
      </c>
      <c r="F93" s="82" t="s">
        <v>13</v>
      </c>
      <c r="G93" s="82" t="s">
        <v>14</v>
      </c>
      <c r="H93" s="82" t="s">
        <v>15</v>
      </c>
      <c r="I93" s="83" t="s">
        <v>29</v>
      </c>
    </row>
    <row r="94" spans="1:9" ht="39.75" customHeight="1" x14ac:dyDescent="0.25">
      <c r="A94" s="436"/>
      <c r="B94" s="87" t="s">
        <v>2174</v>
      </c>
      <c r="C94" s="409" t="s">
        <v>2248</v>
      </c>
      <c r="D94" s="409"/>
      <c r="E94" s="409"/>
      <c r="F94" s="409"/>
      <c r="G94" s="409"/>
      <c r="H94" s="409"/>
      <c r="I94" s="409"/>
    </row>
    <row r="95" spans="1:9" x14ac:dyDescent="0.25">
      <c r="A95" s="436"/>
      <c r="B95" s="65" t="s">
        <v>2225</v>
      </c>
      <c r="C95" s="3" t="s">
        <v>33</v>
      </c>
      <c r="D95" s="104"/>
      <c r="E95" s="4">
        <v>87218</v>
      </c>
      <c r="F95" s="4"/>
      <c r="G95" s="4"/>
      <c r="H95" s="4"/>
      <c r="I95" s="4"/>
    </row>
    <row r="96" spans="1:9" x14ac:dyDescent="0.25">
      <c r="A96" s="436"/>
      <c r="B96" s="65" t="s">
        <v>2223</v>
      </c>
      <c r="C96" s="3" t="s">
        <v>33</v>
      </c>
      <c r="D96" s="104"/>
      <c r="E96" s="4">
        <f>SUM(F96:I96)</f>
        <v>25198</v>
      </c>
      <c r="F96" s="4">
        <v>12916</v>
      </c>
      <c r="G96" s="4">
        <v>12255</v>
      </c>
      <c r="H96" s="4">
        <v>4</v>
      </c>
      <c r="I96" s="4">
        <v>23</v>
      </c>
    </row>
    <row r="97" spans="1:10" x14ac:dyDescent="0.25">
      <c r="A97" s="436"/>
      <c r="B97" s="65" t="s">
        <v>2226</v>
      </c>
      <c r="C97" s="3"/>
      <c r="D97" s="104"/>
      <c r="E97" s="93">
        <f>E95-E96</f>
        <v>62020</v>
      </c>
      <c r="F97" s="4"/>
      <c r="G97" s="4"/>
      <c r="H97" s="4"/>
      <c r="I97" s="4"/>
    </row>
    <row r="98" spans="1:10" ht="15.75" thickBot="1" x14ac:dyDescent="0.3">
      <c r="A98" s="437"/>
      <c r="B98" s="65" t="s">
        <v>2279</v>
      </c>
      <c r="C98" s="3"/>
      <c r="D98" s="44"/>
      <c r="E98" s="4">
        <f>SUM(F98:H98)</f>
        <v>61523</v>
      </c>
      <c r="F98" s="4">
        <v>27274</v>
      </c>
      <c r="G98" s="4">
        <v>34242</v>
      </c>
      <c r="H98" s="4">
        <v>7</v>
      </c>
      <c r="I98" s="4">
        <v>499</v>
      </c>
    </row>
    <row r="99" spans="1:10" ht="15.75" thickBot="1" x14ac:dyDescent="0.3"/>
    <row r="100" spans="1:10" x14ac:dyDescent="0.25">
      <c r="C100" s="105" t="s">
        <v>23</v>
      </c>
      <c r="D100" s="106" t="s">
        <v>36</v>
      </c>
      <c r="E100" s="107" t="s">
        <v>21</v>
      </c>
      <c r="F100" s="107" t="s">
        <v>13</v>
      </c>
      <c r="G100" s="107" t="s">
        <v>14</v>
      </c>
      <c r="H100" s="107" t="s">
        <v>15</v>
      </c>
      <c r="I100" s="108" t="s">
        <v>29</v>
      </c>
    </row>
    <row r="101" spans="1:10" x14ac:dyDescent="0.25">
      <c r="B101" s="109" t="s">
        <v>2229</v>
      </c>
      <c r="C101" s="109" t="s">
        <v>2228</v>
      </c>
      <c r="D101" s="110"/>
      <c r="E101" s="109"/>
      <c r="F101" s="109"/>
      <c r="G101" s="109"/>
      <c r="H101" s="109"/>
      <c r="I101" s="109"/>
    </row>
    <row r="102" spans="1:10" x14ac:dyDescent="0.25">
      <c r="B102" s="3" t="s">
        <v>2227</v>
      </c>
      <c r="C102" s="3" t="s">
        <v>33</v>
      </c>
      <c r="D102" s="44"/>
      <c r="E102" s="111">
        <f>SUM(F102:I102)</f>
        <v>186435</v>
      </c>
      <c r="F102" s="4">
        <v>89655</v>
      </c>
      <c r="G102" s="4">
        <v>95038</v>
      </c>
      <c r="H102" s="4">
        <v>13</v>
      </c>
      <c r="I102" s="4">
        <v>1729</v>
      </c>
    </row>
    <row r="103" spans="1:10" x14ac:dyDescent="0.25">
      <c r="B103" s="3"/>
      <c r="C103" s="3"/>
      <c r="D103" s="44"/>
      <c r="E103" s="3"/>
      <c r="F103" s="3"/>
      <c r="G103" s="3"/>
      <c r="H103" s="3"/>
      <c r="I103" s="3"/>
    </row>
    <row r="104" spans="1:10" x14ac:dyDescent="0.25">
      <c r="B104" s="112" t="s">
        <v>2230</v>
      </c>
      <c r="C104" s="84" t="s">
        <v>2232</v>
      </c>
      <c r="D104" s="113"/>
      <c r="E104" s="112"/>
      <c r="F104" s="112"/>
      <c r="G104" s="112"/>
      <c r="H104" s="112"/>
      <c r="I104" s="112"/>
    </row>
    <row r="105" spans="1:10" x14ac:dyDescent="0.25">
      <c r="B105" s="3" t="s">
        <v>2233</v>
      </c>
      <c r="C105" s="249" t="s">
        <v>2366</v>
      </c>
      <c r="D105" s="44" t="s">
        <v>2231</v>
      </c>
      <c r="E105" s="4">
        <f>SUM(F105:H105)</f>
        <v>98840</v>
      </c>
      <c r="F105" s="4">
        <v>55541</v>
      </c>
      <c r="G105" s="4">
        <v>43299</v>
      </c>
      <c r="H105" s="4">
        <v>0</v>
      </c>
      <c r="I105" s="4">
        <v>1221</v>
      </c>
      <c r="J105" s="144"/>
    </row>
    <row r="106" spans="1:10" ht="15.75" thickBot="1" x14ac:dyDescent="0.3"/>
    <row r="107" spans="1:10" ht="15.75" thickBot="1" x14ac:dyDescent="0.3">
      <c r="B107" s="112" t="s">
        <v>2234</v>
      </c>
      <c r="C107" s="114" t="s">
        <v>2238</v>
      </c>
      <c r="D107" s="113"/>
      <c r="E107" s="82" t="s">
        <v>21</v>
      </c>
      <c r="F107" s="82" t="s">
        <v>13</v>
      </c>
      <c r="G107" s="82" t="s">
        <v>14</v>
      </c>
      <c r="H107" s="82" t="s">
        <v>15</v>
      </c>
      <c r="I107" s="83" t="s">
        <v>29</v>
      </c>
    </row>
    <row r="108" spans="1:10" x14ac:dyDescent="0.25">
      <c r="B108" s="146" t="s">
        <v>2235</v>
      </c>
      <c r="C108" s="3" t="s">
        <v>33</v>
      </c>
      <c r="D108" s="44"/>
      <c r="E108" s="4">
        <f>SUM(F108:H108)</f>
        <v>25304</v>
      </c>
      <c r="F108" s="4">
        <v>12114</v>
      </c>
      <c r="G108" s="4">
        <v>13188</v>
      </c>
      <c r="H108" s="4">
        <v>2</v>
      </c>
      <c r="I108" s="4"/>
    </row>
    <row r="109" spans="1:10" x14ac:dyDescent="0.25">
      <c r="B109" s="146" t="s">
        <v>2236</v>
      </c>
      <c r="C109" s="3" t="s">
        <v>33</v>
      </c>
      <c r="D109" s="44"/>
      <c r="E109" s="4">
        <f>SUM(F109:H109)</f>
        <v>64014</v>
      </c>
      <c r="F109" s="4">
        <v>32311</v>
      </c>
      <c r="G109" s="4">
        <v>31699</v>
      </c>
      <c r="H109" s="4">
        <v>4</v>
      </c>
      <c r="I109" s="4"/>
    </row>
    <row r="110" spans="1:10" x14ac:dyDescent="0.25">
      <c r="B110" s="146" t="s">
        <v>2237</v>
      </c>
      <c r="C110" s="3" t="s">
        <v>33</v>
      </c>
      <c r="D110" s="44"/>
      <c r="E110" s="4">
        <f>SUM(E108:E109)</f>
        <v>89318</v>
      </c>
      <c r="F110" s="4">
        <f>SUM(F108:F109)</f>
        <v>44425</v>
      </c>
      <c r="G110" s="4">
        <f t="shared" ref="G110:I110" si="16">SUM(G108:G109)</f>
        <v>44887</v>
      </c>
      <c r="H110" s="4">
        <f t="shared" si="16"/>
        <v>6</v>
      </c>
      <c r="I110" s="4">
        <f t="shared" si="16"/>
        <v>0</v>
      </c>
    </row>
    <row r="114" spans="2:9" ht="15.75" thickBot="1" x14ac:dyDescent="0.3"/>
    <row r="115" spans="2:9" ht="15.75" thickBot="1" x14ac:dyDescent="0.3">
      <c r="B115" s="10"/>
      <c r="C115" s="80" t="s">
        <v>23</v>
      </c>
      <c r="D115" s="81" t="s">
        <v>36</v>
      </c>
      <c r="E115" s="82" t="s">
        <v>21</v>
      </c>
      <c r="F115" s="82" t="s">
        <v>2182</v>
      </c>
      <c r="G115" s="82" t="s">
        <v>2181</v>
      </c>
      <c r="H115" s="82" t="s">
        <v>2180</v>
      </c>
      <c r="I115" s="83" t="s">
        <v>2179</v>
      </c>
    </row>
    <row r="116" spans="2:9" x14ac:dyDescent="0.25">
      <c r="B116" s="24" t="s">
        <v>2212</v>
      </c>
      <c r="C116" s="3" t="s">
        <v>31</v>
      </c>
      <c r="D116" s="44"/>
      <c r="E116" s="4">
        <f t="shared" ref="E116:E124" si="17">SUM(F116:I116)</f>
        <v>301489</v>
      </c>
      <c r="F116" s="4">
        <v>140795</v>
      </c>
      <c r="G116" s="4">
        <v>160694</v>
      </c>
      <c r="H116" s="157" t="s">
        <v>8</v>
      </c>
      <c r="I116" s="26"/>
    </row>
    <row r="117" spans="2:9" x14ac:dyDescent="0.25">
      <c r="B117" s="24" t="s">
        <v>2215</v>
      </c>
      <c r="C117" s="3" t="s">
        <v>31</v>
      </c>
      <c r="D117" s="44"/>
      <c r="E117" s="4">
        <f t="shared" si="17"/>
        <v>70225</v>
      </c>
      <c r="F117" s="4">
        <f>30247+11857</f>
        <v>42104</v>
      </c>
      <c r="G117" s="4">
        <f>22434+5687</f>
        <v>28121</v>
      </c>
      <c r="H117" s="157" t="s">
        <v>8</v>
      </c>
      <c r="I117" s="26"/>
    </row>
    <row r="118" spans="2:9" x14ac:dyDescent="0.25">
      <c r="B118" s="24" t="s">
        <v>2213</v>
      </c>
      <c r="C118" s="3" t="s">
        <v>22</v>
      </c>
      <c r="D118" s="44" t="s">
        <v>2203</v>
      </c>
      <c r="E118" s="4">
        <f>SUM(F118:I118)</f>
        <v>28240</v>
      </c>
      <c r="F118" s="4">
        <f>F119</f>
        <v>15938</v>
      </c>
      <c r="G118" s="4">
        <f>8305+3997</f>
        <v>12302</v>
      </c>
      <c r="H118" s="157" t="s">
        <v>8</v>
      </c>
      <c r="I118" s="95"/>
    </row>
    <row r="119" spans="2:9" x14ac:dyDescent="0.25">
      <c r="B119" s="24" t="s">
        <v>2214</v>
      </c>
      <c r="C119" s="3" t="s">
        <v>22</v>
      </c>
      <c r="D119" s="44" t="s">
        <v>2202</v>
      </c>
      <c r="E119" s="4">
        <f>SUM(F119:I119)</f>
        <v>22805</v>
      </c>
      <c r="F119" s="4">
        <f>14549+1389</f>
        <v>15938</v>
      </c>
      <c r="G119" s="4">
        <f>4877+1990</f>
        <v>6867</v>
      </c>
      <c r="H119" s="157" t="s">
        <v>8</v>
      </c>
      <c r="I119" s="21"/>
    </row>
    <row r="120" spans="2:9" x14ac:dyDescent="0.25">
      <c r="B120" s="24" t="s">
        <v>2280</v>
      </c>
      <c r="C120" s="3"/>
      <c r="D120" s="44"/>
      <c r="E120" s="4">
        <f t="shared" ref="E120:E121" si="18">SUM(F120:I120)</f>
        <v>231260</v>
      </c>
      <c r="F120" s="4">
        <v>98691</v>
      </c>
      <c r="G120" s="4">
        <f>110958+21611</f>
        <v>132569</v>
      </c>
      <c r="H120" s="157" t="s">
        <v>8</v>
      </c>
      <c r="I120" s="21"/>
    </row>
    <row r="121" spans="2:9" x14ac:dyDescent="0.25">
      <c r="B121" s="24" t="s">
        <v>2281</v>
      </c>
      <c r="C121" s="3" t="s">
        <v>22</v>
      </c>
      <c r="D121" s="44"/>
      <c r="E121" s="4">
        <f t="shared" si="18"/>
        <v>80740</v>
      </c>
      <c r="F121" s="4">
        <v>45656</v>
      </c>
      <c r="G121" s="4">
        <f>31450+3634</f>
        <v>35084</v>
      </c>
      <c r="H121" s="157" t="s">
        <v>8</v>
      </c>
      <c r="I121" s="21"/>
    </row>
    <row r="122" spans="2:9" x14ac:dyDescent="0.25">
      <c r="B122" s="24" t="s">
        <v>26</v>
      </c>
      <c r="C122" s="3" t="s">
        <v>55</v>
      </c>
      <c r="D122" s="44" t="s">
        <v>25</v>
      </c>
      <c r="E122" s="4">
        <f>SUM(F122:I122)</f>
        <v>0</v>
      </c>
      <c r="F122" s="4"/>
      <c r="G122" s="4"/>
      <c r="H122" s="4"/>
      <c r="I122" s="26"/>
    </row>
    <row r="123" spans="2:9" ht="30" x14ac:dyDescent="0.25">
      <c r="B123" s="24" t="s">
        <v>27</v>
      </c>
      <c r="C123" s="3" t="s">
        <v>32</v>
      </c>
      <c r="D123" s="44" t="s">
        <v>35</v>
      </c>
      <c r="E123" s="4">
        <f t="shared" si="17"/>
        <v>103545</v>
      </c>
      <c r="F123" s="4">
        <v>61594</v>
      </c>
      <c r="G123" s="4">
        <f>31450+4877+3634+1990</f>
        <v>41951</v>
      </c>
      <c r="H123" s="157" t="s">
        <v>8</v>
      </c>
      <c r="I123" s="21"/>
    </row>
    <row r="124" spans="2:9" ht="45" x14ac:dyDescent="0.25">
      <c r="B124" s="24" t="s">
        <v>27</v>
      </c>
      <c r="C124" s="3" t="s">
        <v>28</v>
      </c>
      <c r="D124" s="45" t="s">
        <v>2239</v>
      </c>
      <c r="E124" s="4">
        <f t="shared" si="17"/>
        <v>114790</v>
      </c>
      <c r="F124" s="39">
        <v>72856</v>
      </c>
      <c r="G124" s="4">
        <v>41934</v>
      </c>
      <c r="H124" s="157" t="s">
        <v>8</v>
      </c>
      <c r="I124" s="21"/>
    </row>
    <row r="126" spans="2:9" ht="15.75" thickBot="1" x14ac:dyDescent="0.3">
      <c r="B126" s="79" t="s">
        <v>38</v>
      </c>
      <c r="C126" s="16" t="s">
        <v>33</v>
      </c>
      <c r="D126" s="46" t="s">
        <v>39</v>
      </c>
      <c r="E126" s="18"/>
      <c r="F126" s="18"/>
      <c r="G126" s="18"/>
      <c r="H126" s="18"/>
      <c r="I126" s="19"/>
    </row>
    <row r="127" spans="2:9" ht="15.75" thickBot="1" x14ac:dyDescent="0.3"/>
    <row r="128" spans="2:9" x14ac:dyDescent="0.25">
      <c r="B128" s="122" t="s">
        <v>2263</v>
      </c>
      <c r="C128" s="3"/>
      <c r="D128" s="44"/>
      <c r="E128" s="107" t="s">
        <v>21</v>
      </c>
      <c r="F128" s="107" t="s">
        <v>2182</v>
      </c>
      <c r="G128" s="107" t="s">
        <v>2181</v>
      </c>
      <c r="H128" s="107" t="s">
        <v>2180</v>
      </c>
      <c r="I128" s="108" t="s">
        <v>2179</v>
      </c>
    </row>
    <row r="129" spans="2:9" x14ac:dyDescent="0.25">
      <c r="B129" s="123" t="s">
        <v>2260</v>
      </c>
      <c r="C129" s="3" t="s">
        <v>22</v>
      </c>
      <c r="D129" s="44" t="s">
        <v>2261</v>
      </c>
      <c r="E129" s="4">
        <f>E117</f>
        <v>70225</v>
      </c>
      <c r="F129" s="4">
        <f t="shared" ref="F129:I129" si="19">F117</f>
        <v>42104</v>
      </c>
      <c r="G129" s="4">
        <f t="shared" si="19"/>
        <v>28121</v>
      </c>
      <c r="H129" s="4" t="str">
        <f t="shared" si="19"/>
        <v>N/A</v>
      </c>
      <c r="I129" s="4">
        <f t="shared" si="19"/>
        <v>0</v>
      </c>
    </row>
    <row r="130" spans="2:9" x14ac:dyDescent="0.25">
      <c r="B130" s="123" t="s">
        <v>2262</v>
      </c>
      <c r="C130" s="3" t="s">
        <v>33</v>
      </c>
      <c r="D130" s="44"/>
      <c r="E130" s="4">
        <f>SUM(F130:I130)</f>
        <v>17111</v>
      </c>
      <c r="F130" s="4">
        <f>F18+F34+F50</f>
        <v>10653</v>
      </c>
      <c r="G130" s="4">
        <f t="shared" ref="G130:I130" si="20">G18+G34+G50</f>
        <v>6458</v>
      </c>
      <c r="H130" s="4">
        <f t="shared" si="20"/>
        <v>0</v>
      </c>
      <c r="I130" s="4">
        <f t="shared" si="20"/>
        <v>0</v>
      </c>
    </row>
    <row r="131" spans="2:9" x14ac:dyDescent="0.25">
      <c r="B131" s="124" t="s">
        <v>2267</v>
      </c>
      <c r="C131" s="3" t="s">
        <v>33</v>
      </c>
      <c r="D131" s="44"/>
      <c r="E131" s="4">
        <f>SUM(F131:I131)</f>
        <v>330319</v>
      </c>
      <c r="F131" s="4">
        <f>F3+F80</f>
        <v>162595</v>
      </c>
      <c r="G131" s="4">
        <f t="shared" ref="G131:I131" si="21">G3+G80</f>
        <v>167724</v>
      </c>
      <c r="H131" s="4">
        <f t="shared" si="21"/>
        <v>0</v>
      </c>
      <c r="I131" s="4">
        <f t="shared" si="21"/>
        <v>0</v>
      </c>
    </row>
    <row r="133" spans="2:9" x14ac:dyDescent="0.25">
      <c r="B133" s="122" t="s">
        <v>2264</v>
      </c>
      <c r="C133" s="3" t="s">
        <v>2261</v>
      </c>
      <c r="D133" s="44"/>
      <c r="E133" s="4">
        <f>IF(SUM(E129:E131)&gt;E116,E116,SUM(E129:E131))</f>
        <v>301489</v>
      </c>
      <c r="F133" s="4">
        <f t="shared" ref="F133:I133" si="22">IF(SUM(F129:F131)&gt;F116,F116,SUM(F129:F131))</f>
        <v>140795</v>
      </c>
      <c r="G133" s="4">
        <f t="shared" si="22"/>
        <v>160694</v>
      </c>
      <c r="H133" s="4">
        <f t="shared" si="22"/>
        <v>0</v>
      </c>
      <c r="I133" s="4">
        <f t="shared" si="22"/>
        <v>0</v>
      </c>
    </row>
    <row r="134" spans="2:9" ht="15.75" thickBot="1" x14ac:dyDescent="0.3"/>
    <row r="135" spans="2:9" x14ac:dyDescent="0.25">
      <c r="B135" s="122" t="s">
        <v>2265</v>
      </c>
      <c r="D135"/>
      <c r="E135" s="107" t="s">
        <v>21</v>
      </c>
      <c r="F135" s="107" t="s">
        <v>2182</v>
      </c>
      <c r="G135" s="107" t="s">
        <v>2181</v>
      </c>
      <c r="H135" s="107" t="s">
        <v>2180</v>
      </c>
      <c r="I135" s="108" t="s">
        <v>2179</v>
      </c>
    </row>
    <row r="136" spans="2:9" x14ac:dyDescent="0.25">
      <c r="B136" s="124" t="s">
        <v>2282</v>
      </c>
      <c r="C136" s="3" t="s">
        <v>2283</v>
      </c>
      <c r="D136"/>
      <c r="E136" s="4">
        <f>E133-E142</f>
        <v>197944</v>
      </c>
      <c r="F136" s="4">
        <f>F133-F142</f>
        <v>79201</v>
      </c>
      <c r="G136" s="4">
        <f t="shared" ref="G136:I136" si="23">G133-G142</f>
        <v>118743</v>
      </c>
      <c r="H136" s="4" t="e">
        <f t="shared" si="23"/>
        <v>#VALUE!</v>
      </c>
      <c r="I136" s="4">
        <f t="shared" si="23"/>
        <v>0</v>
      </c>
    </row>
    <row r="137" spans="2:9" ht="15.75" thickBot="1" x14ac:dyDescent="0.3">
      <c r="D137"/>
      <c r="E137" s="147"/>
      <c r="F137" s="147"/>
      <c r="G137" s="147"/>
    </row>
    <row r="138" spans="2:9" x14ac:dyDescent="0.25">
      <c r="B138" s="462" t="s">
        <v>2240</v>
      </c>
      <c r="C138" s="3"/>
      <c r="D138" s="44"/>
      <c r="E138" s="107" t="s">
        <v>2241</v>
      </c>
      <c r="F138" s="107" t="s">
        <v>2182</v>
      </c>
      <c r="G138" s="107" t="s">
        <v>2181</v>
      </c>
    </row>
    <row r="139" spans="2:9" ht="15.75" thickBot="1" x14ac:dyDescent="0.3">
      <c r="B139" s="463"/>
      <c r="C139" s="249" t="s">
        <v>2365</v>
      </c>
      <c r="D139" s="44"/>
      <c r="E139" s="127">
        <f>SUM(F139:G139)</f>
        <v>86443</v>
      </c>
      <c r="F139" s="4">
        <v>39854</v>
      </c>
      <c r="G139" s="4">
        <v>46589</v>
      </c>
    </row>
    <row r="140" spans="2:9" x14ac:dyDescent="0.25">
      <c r="B140" s="463"/>
      <c r="C140" s="3"/>
      <c r="D140" s="44"/>
      <c r="E140" s="107" t="s">
        <v>21</v>
      </c>
      <c r="F140" s="107" t="s">
        <v>2182</v>
      </c>
      <c r="G140" s="107" t="s">
        <v>2181</v>
      </c>
      <c r="H140" s="107" t="s">
        <v>2180</v>
      </c>
      <c r="I140" s="108" t="s">
        <v>2179</v>
      </c>
    </row>
    <row r="141" spans="2:9" x14ac:dyDescent="0.25">
      <c r="B141" s="463"/>
      <c r="C141" s="3"/>
      <c r="D141" s="44"/>
      <c r="E141" s="127">
        <f>E102</f>
        <v>186435</v>
      </c>
      <c r="F141" s="4">
        <f t="shared" ref="F141:I141" si="24">F102</f>
        <v>89655</v>
      </c>
      <c r="G141" s="4">
        <f t="shared" si="24"/>
        <v>95038</v>
      </c>
      <c r="H141" s="4">
        <f t="shared" si="24"/>
        <v>13</v>
      </c>
      <c r="I141" s="4">
        <f t="shared" si="24"/>
        <v>1729</v>
      </c>
    </row>
    <row r="142" spans="2:9" x14ac:dyDescent="0.25">
      <c r="B142" t="s">
        <v>2250</v>
      </c>
      <c r="C142" s="124" t="s">
        <v>2268</v>
      </c>
      <c r="D142" s="44"/>
      <c r="E142" s="4">
        <f>E123</f>
        <v>103545</v>
      </c>
      <c r="F142" s="4">
        <f>F123</f>
        <v>61594</v>
      </c>
      <c r="G142" s="4">
        <f t="shared" ref="G142:I142" si="25">G123</f>
        <v>41951</v>
      </c>
      <c r="H142" s="4" t="str">
        <f t="shared" si="25"/>
        <v>N/A</v>
      </c>
      <c r="I142" s="4">
        <f t="shared" si="25"/>
        <v>0</v>
      </c>
    </row>
    <row r="143" spans="2:9" x14ac:dyDescent="0.25">
      <c r="B143" s="124" t="s">
        <v>2242</v>
      </c>
      <c r="C143" s="3"/>
      <c r="D143" s="44"/>
      <c r="E143" s="129">
        <f>E110</f>
        <v>89318</v>
      </c>
      <c r="F143" s="4">
        <f t="shared" ref="F143:I143" si="26">F110</f>
        <v>44425</v>
      </c>
      <c r="G143" s="4">
        <f t="shared" si="26"/>
        <v>44887</v>
      </c>
      <c r="H143" s="4">
        <f t="shared" si="26"/>
        <v>6</v>
      </c>
      <c r="I143" s="4">
        <f t="shared" si="26"/>
        <v>0</v>
      </c>
    </row>
    <row r="144" spans="2:9" ht="15.75" thickBot="1" x14ac:dyDescent="0.3">
      <c r="E144" s="1"/>
      <c r="F144" s="1"/>
      <c r="G144" s="1"/>
    </row>
    <row r="145" spans="2:12" x14ac:dyDescent="0.25">
      <c r="E145" s="107" t="s">
        <v>21</v>
      </c>
      <c r="F145" s="107" t="s">
        <v>2182</v>
      </c>
      <c r="G145" s="107" t="s">
        <v>2181</v>
      </c>
      <c r="H145" s="107" t="s">
        <v>2180</v>
      </c>
      <c r="I145" s="108" t="s">
        <v>2179</v>
      </c>
    </row>
    <row r="146" spans="2:12" ht="30" x14ac:dyDescent="0.25">
      <c r="B146" s="24" t="s">
        <v>27</v>
      </c>
      <c r="C146" s="124" t="s">
        <v>32</v>
      </c>
      <c r="D146" s="44" t="s">
        <v>35</v>
      </c>
      <c r="E146" s="4">
        <f t="shared" ref="E146" si="27">SUM(F146:I146)</f>
        <v>103545</v>
      </c>
      <c r="F146" s="4">
        <f>F123</f>
        <v>61594</v>
      </c>
      <c r="G146" s="4">
        <f>G123</f>
        <v>41951</v>
      </c>
      <c r="H146" s="4"/>
      <c r="I146" s="21"/>
    </row>
    <row r="147" spans="2:12" x14ac:dyDescent="0.25">
      <c r="B147" s="125" t="s">
        <v>2214</v>
      </c>
      <c r="C147" s="3" t="s">
        <v>22</v>
      </c>
      <c r="D147" s="44" t="s">
        <v>2202</v>
      </c>
      <c r="E147" s="4">
        <f>SUM(F147:I147)</f>
        <v>28240</v>
      </c>
      <c r="F147" s="4">
        <f>F118</f>
        <v>15938</v>
      </c>
      <c r="G147" s="4">
        <f>G118</f>
        <v>12302</v>
      </c>
      <c r="H147" s="4"/>
      <c r="I147" s="21"/>
      <c r="L147" s="1"/>
    </row>
    <row r="148" spans="2:12" ht="15.75" thickBot="1" x14ac:dyDescent="0.3"/>
    <row r="149" spans="2:12" x14ac:dyDescent="0.25">
      <c r="B149" s="413" t="s">
        <v>2242</v>
      </c>
      <c r="C149" s="3"/>
      <c r="D149" s="44"/>
      <c r="E149" s="107" t="s">
        <v>21</v>
      </c>
      <c r="F149" s="107" t="s">
        <v>2182</v>
      </c>
      <c r="G149" s="107" t="s">
        <v>2181</v>
      </c>
      <c r="H149" s="107" t="s">
        <v>2180</v>
      </c>
      <c r="I149" s="108" t="s">
        <v>2179</v>
      </c>
    </row>
    <row r="150" spans="2:12" x14ac:dyDescent="0.25">
      <c r="B150" s="413"/>
      <c r="C150" s="3" t="s">
        <v>2243</v>
      </c>
      <c r="D150" s="44"/>
      <c r="E150" s="115">
        <f>SUM(F150:I150)</f>
        <v>14544</v>
      </c>
      <c r="F150" s="115">
        <f>F6</f>
        <v>14544</v>
      </c>
      <c r="G150" s="3"/>
      <c r="H150" s="3"/>
      <c r="I150" s="3"/>
    </row>
    <row r="151" spans="2:12" x14ac:dyDescent="0.25">
      <c r="B151" s="413"/>
      <c r="C151" s="3" t="s">
        <v>16</v>
      </c>
      <c r="D151" s="44"/>
      <c r="E151" s="115">
        <f t="shared" ref="E151:E155" si="28">SUM(F151:I151)</f>
        <v>25198</v>
      </c>
      <c r="F151" s="4">
        <f>F96</f>
        <v>12916</v>
      </c>
      <c r="G151" s="4">
        <f t="shared" ref="G151:I151" si="29">G96</f>
        <v>12255</v>
      </c>
      <c r="H151" s="4">
        <f t="shared" si="29"/>
        <v>4</v>
      </c>
      <c r="I151" s="4">
        <f t="shared" si="29"/>
        <v>23</v>
      </c>
    </row>
    <row r="152" spans="2:12" x14ac:dyDescent="0.25">
      <c r="B152" s="413"/>
      <c r="C152" s="3" t="s">
        <v>2245</v>
      </c>
      <c r="D152" s="414" t="s">
        <v>2244</v>
      </c>
      <c r="E152" s="115">
        <f t="shared" si="28"/>
        <v>558</v>
      </c>
      <c r="F152" s="115">
        <f>F37</f>
        <v>558</v>
      </c>
      <c r="G152" s="3"/>
      <c r="H152" s="3"/>
      <c r="I152" s="3"/>
    </row>
    <row r="153" spans="2:12" x14ac:dyDescent="0.25">
      <c r="B153" s="413"/>
      <c r="C153" s="3" t="s">
        <v>2246</v>
      </c>
      <c r="D153" s="415"/>
      <c r="E153" s="115">
        <f t="shared" si="28"/>
        <v>2</v>
      </c>
      <c r="F153" s="115">
        <f>F21</f>
        <v>2</v>
      </c>
      <c r="G153" s="3"/>
      <c r="H153" s="3"/>
      <c r="I153" s="3"/>
    </row>
    <row r="154" spans="2:12" x14ac:dyDescent="0.25">
      <c r="B154" s="413"/>
      <c r="C154" s="3" t="s">
        <v>2247</v>
      </c>
      <c r="D154" s="416"/>
      <c r="E154" s="115">
        <f t="shared" si="28"/>
        <v>760</v>
      </c>
      <c r="F154" s="115">
        <f>F53</f>
        <v>760</v>
      </c>
      <c r="G154" s="3"/>
      <c r="H154" s="3"/>
      <c r="I154" s="3"/>
    </row>
    <row r="155" spans="2:12" x14ac:dyDescent="0.25">
      <c r="B155" s="413"/>
      <c r="C155" s="3" t="s">
        <v>2255</v>
      </c>
      <c r="D155" s="44"/>
      <c r="E155" s="115">
        <f t="shared" si="28"/>
        <v>29</v>
      </c>
      <c r="F155" s="115">
        <f>F83</f>
        <v>29</v>
      </c>
      <c r="G155" s="3"/>
      <c r="H155" s="3"/>
      <c r="I155" s="3"/>
    </row>
    <row r="156" spans="2:12" x14ac:dyDescent="0.25">
      <c r="D156" s="120" t="s">
        <v>2269</v>
      </c>
      <c r="E156" s="117">
        <f>SUM(F156:I156)</f>
        <v>41091</v>
      </c>
      <c r="F156" s="117">
        <f>SUM(F150:F155)</f>
        <v>28809</v>
      </c>
      <c r="G156" s="117">
        <f>SUM(G150:G155)</f>
        <v>12255</v>
      </c>
      <c r="H156" s="117">
        <f t="shared" ref="H156:I156" si="30">SUM(H150:H155)</f>
        <v>4</v>
      </c>
      <c r="I156" s="117">
        <f t="shared" si="30"/>
        <v>23</v>
      </c>
    </row>
    <row r="157" spans="2:12" x14ac:dyDescent="0.25">
      <c r="E157" s="116"/>
    </row>
    <row r="158" spans="2:12" x14ac:dyDescent="0.25">
      <c r="D158" s="3" t="s">
        <v>2249</v>
      </c>
      <c r="E158" s="129">
        <f>E110</f>
        <v>89318</v>
      </c>
      <c r="F158" s="4">
        <f t="shared" ref="F158:I158" si="31">F110</f>
        <v>44425</v>
      </c>
      <c r="G158" s="4">
        <f t="shared" si="31"/>
        <v>44887</v>
      </c>
      <c r="H158" s="4">
        <f t="shared" si="31"/>
        <v>6</v>
      </c>
      <c r="I158" s="4">
        <f t="shared" si="31"/>
        <v>0</v>
      </c>
    </row>
    <row r="159" spans="2:12" x14ac:dyDescent="0.25">
      <c r="D159" s="128" t="s">
        <v>2271</v>
      </c>
      <c r="E159" s="121">
        <f>E158-E156</f>
        <v>48227</v>
      </c>
      <c r="F159" s="121">
        <f t="shared" ref="F159:I159" si="32">F158-F156</f>
        <v>15616</v>
      </c>
      <c r="G159" s="121">
        <f t="shared" si="32"/>
        <v>32632</v>
      </c>
      <c r="H159" s="121">
        <f t="shared" si="32"/>
        <v>2</v>
      </c>
      <c r="I159" s="121">
        <f t="shared" si="32"/>
        <v>-23</v>
      </c>
    </row>
    <row r="160" spans="2:12" x14ac:dyDescent="0.25">
      <c r="D160" s="128" t="s">
        <v>2272</v>
      </c>
      <c r="E160" s="130"/>
      <c r="F160" s="130"/>
      <c r="G160" s="130"/>
      <c r="H160" s="130"/>
      <c r="I160" s="130"/>
    </row>
    <row r="161" spans="2:9" x14ac:dyDescent="0.25">
      <c r="D161" s="128" t="s">
        <v>2273</v>
      </c>
      <c r="E161" s="131"/>
      <c r="F161" s="131"/>
      <c r="G161" s="131"/>
      <c r="H161" s="131"/>
      <c r="I161" s="131"/>
    </row>
    <row r="162" spans="2:9" x14ac:dyDescent="0.25">
      <c r="D162" s="119"/>
    </row>
    <row r="163" spans="2:9" x14ac:dyDescent="0.25">
      <c r="B163" s="410" t="s">
        <v>2251</v>
      </c>
      <c r="C163" s="3"/>
      <c r="D163" s="44"/>
      <c r="E163" s="112" t="s">
        <v>21</v>
      </c>
      <c r="F163" s="112" t="s">
        <v>2182</v>
      </c>
      <c r="G163" s="112" t="s">
        <v>2181</v>
      </c>
      <c r="H163" s="112" t="s">
        <v>2180</v>
      </c>
      <c r="I163" s="112" t="s">
        <v>2179</v>
      </c>
    </row>
    <row r="164" spans="2:9" x14ac:dyDescent="0.25">
      <c r="B164" s="411"/>
      <c r="C164" s="3" t="s">
        <v>2243</v>
      </c>
      <c r="D164" s="44"/>
      <c r="E164" s="4">
        <f>SUM(F164:I164)</f>
        <v>26890.411886601494</v>
      </c>
      <c r="F164" s="141">
        <f>F12</f>
        <v>12910</v>
      </c>
      <c r="G164" s="126">
        <f>G12</f>
        <v>13980.411886601494</v>
      </c>
      <c r="H164" s="4"/>
      <c r="I164" s="26"/>
    </row>
    <row r="165" spans="2:9" ht="60" x14ac:dyDescent="0.25">
      <c r="B165" s="411"/>
      <c r="C165" s="3" t="s">
        <v>16</v>
      </c>
      <c r="D165" s="45" t="s">
        <v>2344</v>
      </c>
      <c r="E165" s="4">
        <f>SUM(F165:I165)</f>
        <v>3069</v>
      </c>
      <c r="F165" s="4">
        <f>F186</f>
        <v>3022</v>
      </c>
      <c r="G165" s="4">
        <f t="shared" ref="G165" si="33">G186</f>
        <v>47</v>
      </c>
      <c r="H165" s="4"/>
      <c r="I165" s="4"/>
    </row>
    <row r="166" spans="2:9" x14ac:dyDescent="0.25">
      <c r="B166" s="411"/>
      <c r="C166" s="3" t="s">
        <v>2245</v>
      </c>
      <c r="D166" s="414" t="s">
        <v>2244</v>
      </c>
      <c r="E166" s="4">
        <f t="shared" ref="E166:E169" si="34">SUM(F166:I166)</f>
        <v>941.6408280447265</v>
      </c>
      <c r="F166" s="4">
        <f>F43</f>
        <v>541</v>
      </c>
      <c r="G166" s="126">
        <f>G43</f>
        <v>400.6408280447265</v>
      </c>
      <c r="H166" s="4"/>
      <c r="I166" s="26"/>
    </row>
    <row r="167" spans="2:9" x14ac:dyDescent="0.25">
      <c r="B167" s="411"/>
      <c r="C167" s="3" t="s">
        <v>2246</v>
      </c>
      <c r="D167" s="415"/>
      <c r="E167" s="4">
        <f t="shared" si="34"/>
        <v>4.5714285714285712</v>
      </c>
      <c r="F167" s="4">
        <f>F27</f>
        <v>2</v>
      </c>
      <c r="G167" s="126">
        <f>G27</f>
        <v>2.5714285714285716</v>
      </c>
      <c r="H167" s="4"/>
      <c r="I167" s="26"/>
    </row>
    <row r="168" spans="2:9" x14ac:dyDescent="0.25">
      <c r="B168" s="411"/>
      <c r="C168" s="3" t="s">
        <v>2247</v>
      </c>
      <c r="D168" s="416"/>
      <c r="E168" s="4">
        <f t="shared" si="34"/>
        <v>1971.5227286092324</v>
      </c>
      <c r="F168" s="4">
        <f>F59</f>
        <v>672</v>
      </c>
      <c r="G168" s="126">
        <f>G59</f>
        <v>1299.5227286092324</v>
      </c>
      <c r="H168" s="4"/>
      <c r="I168" s="26"/>
    </row>
    <row r="169" spans="2:9" x14ac:dyDescent="0.25">
      <c r="B169" s="412"/>
      <c r="C169" s="3" t="s">
        <v>2255</v>
      </c>
      <c r="D169" s="44"/>
      <c r="E169" s="4">
        <f t="shared" si="34"/>
        <v>91.038812785388131</v>
      </c>
      <c r="F169" s="4">
        <f>F89</f>
        <v>50</v>
      </c>
      <c r="G169" s="126">
        <f>G89</f>
        <v>41.038812785388131</v>
      </c>
      <c r="H169" s="4"/>
      <c r="I169" s="26"/>
    </row>
    <row r="170" spans="2:9" x14ac:dyDescent="0.25">
      <c r="D170" s="120" t="s">
        <v>2259</v>
      </c>
      <c r="E170" s="117">
        <f>SUM(E164:E169)</f>
        <v>32968.185684612268</v>
      </c>
      <c r="F170" s="117">
        <f>SUM(F164:F169)</f>
        <v>17197</v>
      </c>
      <c r="G170" s="117">
        <f>SUM(G164:G169)</f>
        <v>15771.18568461227</v>
      </c>
      <c r="H170" s="117">
        <f t="shared" ref="H170:I170" si="35">SUM(H164:H169)</f>
        <v>0</v>
      </c>
      <c r="I170" s="117">
        <f t="shared" si="35"/>
        <v>0</v>
      </c>
    </row>
    <row r="172" spans="2:9" x14ac:dyDescent="0.25">
      <c r="D172" s="3" t="s">
        <v>2254</v>
      </c>
      <c r="E172" s="115">
        <f>IF((E146-E158)&gt;0,E146-E158,0)</f>
        <v>14227</v>
      </c>
      <c r="F172" s="115">
        <f t="shared" ref="F172" si="36">IF((F146-F158)&gt;0,F146-F158,0)</f>
        <v>17169</v>
      </c>
      <c r="G172" s="115">
        <f>IF((G146-G158)&gt;0,G146-G158,0)</f>
        <v>0</v>
      </c>
      <c r="H172" s="115">
        <f t="shared" ref="H172:I172" si="37">IF((H146-H158)&gt;0,H146-H158,0)</f>
        <v>0</v>
      </c>
      <c r="I172" s="115">
        <f t="shared" si="37"/>
        <v>0</v>
      </c>
    </row>
    <row r="173" spans="2:9" ht="15.75" thickBot="1" x14ac:dyDescent="0.3">
      <c r="D173" s="132" t="s">
        <v>2271</v>
      </c>
      <c r="E173" s="145">
        <f>IF((E172-E170)&gt;0,(E172-E170),0)</f>
        <v>0</v>
      </c>
      <c r="F173" s="133">
        <f>IF((F172-F170)&gt;0,(F172-F170),0)</f>
        <v>0</v>
      </c>
      <c r="G173" s="133">
        <f>IF((G172-G170)&gt;0,(G172-G170),0)</f>
        <v>0</v>
      </c>
      <c r="H173" s="133">
        <f t="shared" ref="H173:I173" si="38">IF((H172-H170)&gt;0,(H172-H170),0)</f>
        <v>0</v>
      </c>
      <c r="I173" s="133">
        <f t="shared" si="38"/>
        <v>0</v>
      </c>
    </row>
    <row r="174" spans="2:9" x14ac:dyDescent="0.25">
      <c r="C174" s="417" t="s">
        <v>2275</v>
      </c>
      <c r="D174" s="134" t="s">
        <v>2272</v>
      </c>
      <c r="E174" s="135"/>
      <c r="F174" s="135"/>
      <c r="G174" s="135"/>
      <c r="H174" s="135"/>
      <c r="I174" s="136"/>
    </row>
    <row r="175" spans="2:9" ht="15.75" thickBot="1" x14ac:dyDescent="0.3">
      <c r="C175" s="418"/>
      <c r="D175" s="137" t="s">
        <v>2273</v>
      </c>
      <c r="E175" s="138"/>
      <c r="F175" s="138"/>
      <c r="G175" s="138"/>
      <c r="H175" s="138"/>
      <c r="I175" s="139"/>
    </row>
    <row r="176" spans="2:9" ht="15.75" thickBot="1" x14ac:dyDescent="0.3">
      <c r="C176" s="417" t="s">
        <v>2276</v>
      </c>
      <c r="D176" s="134" t="s">
        <v>2277</v>
      </c>
      <c r="E176" s="138"/>
      <c r="F176" s="138"/>
      <c r="G176" s="138"/>
      <c r="H176" s="138"/>
      <c r="I176" s="139"/>
    </row>
    <row r="177" spans="2:9" ht="15.75" thickBot="1" x14ac:dyDescent="0.3">
      <c r="C177" s="418"/>
      <c r="D177" s="137" t="s">
        <v>2273</v>
      </c>
      <c r="E177" s="135"/>
      <c r="F177" s="135"/>
      <c r="G177" s="135"/>
      <c r="H177" s="135"/>
      <c r="I177" s="140"/>
    </row>
    <row r="178" spans="2:9" x14ac:dyDescent="0.25">
      <c r="C178" s="417" t="s">
        <v>2278</v>
      </c>
      <c r="D178" s="134" t="s">
        <v>2274</v>
      </c>
      <c r="E178" s="135"/>
      <c r="F178" s="135"/>
      <c r="G178" s="135"/>
      <c r="H178" s="135"/>
      <c r="I178" s="136"/>
    </row>
    <row r="179" spans="2:9" ht="15.75" thickBot="1" x14ac:dyDescent="0.3">
      <c r="C179" s="418"/>
      <c r="D179" s="137" t="s">
        <v>2273</v>
      </c>
      <c r="E179" s="138"/>
      <c r="F179" s="138"/>
      <c r="G179" s="138"/>
      <c r="H179" s="138"/>
      <c r="I179" s="139"/>
    </row>
    <row r="183" spans="2:9" x14ac:dyDescent="0.25">
      <c r="B183" s="413" t="s">
        <v>16</v>
      </c>
      <c r="C183" s="3" t="s">
        <v>2214</v>
      </c>
      <c r="D183" s="44"/>
      <c r="E183" s="4">
        <f>SUM(F183:I183)</f>
        <v>28240</v>
      </c>
      <c r="F183" s="4">
        <f>F147</f>
        <v>15938</v>
      </c>
      <c r="G183" s="4">
        <f>G147</f>
        <v>12302</v>
      </c>
      <c r="H183" s="3"/>
      <c r="I183" s="3"/>
    </row>
    <row r="184" spans="2:9" x14ac:dyDescent="0.25">
      <c r="B184" s="413"/>
      <c r="C184" s="3" t="s">
        <v>2257</v>
      </c>
      <c r="D184" s="44"/>
      <c r="E184" s="115">
        <f>SUM(F184:I184)</f>
        <v>25171</v>
      </c>
      <c r="F184" s="4">
        <f>IF((F183-F151)&gt;0,F151,F183)</f>
        <v>12916</v>
      </c>
      <c r="G184" s="4">
        <f>IF((G183-G151)&gt;0,G151,G183)</f>
        <v>12255</v>
      </c>
      <c r="H184" s="4">
        <f t="shared" ref="H184:I184" si="39">IF((H183-H151)&gt;0,H151,H183)</f>
        <v>0</v>
      </c>
      <c r="I184" s="4">
        <f t="shared" si="39"/>
        <v>0</v>
      </c>
    </row>
    <row r="185" spans="2:9" ht="60" x14ac:dyDescent="0.25">
      <c r="B185" s="413"/>
      <c r="C185" s="3" t="s">
        <v>2258</v>
      </c>
      <c r="D185" s="45" t="s">
        <v>2344</v>
      </c>
      <c r="E185" s="4">
        <f>E98</f>
        <v>61523</v>
      </c>
      <c r="F185" s="4">
        <f>F98</f>
        <v>27274</v>
      </c>
      <c r="G185" s="4">
        <f>G98</f>
        <v>34242</v>
      </c>
      <c r="H185" s="4">
        <f>H165</f>
        <v>0</v>
      </c>
      <c r="I185" s="3"/>
    </row>
    <row r="186" spans="2:9" x14ac:dyDescent="0.25">
      <c r="B186" s="413"/>
      <c r="C186" s="179" t="s">
        <v>2256</v>
      </c>
      <c r="D186" s="180" t="s">
        <v>2353</v>
      </c>
      <c r="E186" s="118">
        <f>SUM(F186:I186)</f>
        <v>3069</v>
      </c>
      <c r="F186" s="118">
        <f>IF((F183-F184)&gt;0,MIN((F183-F184),F185),0)</f>
        <v>3022</v>
      </c>
      <c r="G186" s="118">
        <f>IF((G183-G184)&gt;0,MIN((G183-G184),G185),0)</f>
        <v>47</v>
      </c>
      <c r="H186" s="118">
        <f t="shared" ref="H186:I186" si="40">MIN((H183-H184),H185)</f>
        <v>0</v>
      </c>
      <c r="I186" s="118">
        <f t="shared" si="40"/>
        <v>0</v>
      </c>
    </row>
    <row r="190" spans="2:9" x14ac:dyDescent="0.25">
      <c r="B190" s="413" t="s">
        <v>2256</v>
      </c>
      <c r="C190" s="3" t="s">
        <v>2253</v>
      </c>
      <c r="D190" s="44"/>
      <c r="E190" s="121">
        <f>SUM(E159+E173)</f>
        <v>48227</v>
      </c>
      <c r="F190" s="121">
        <f t="shared" ref="F190:I190" si="41">SUM(F159+F173)</f>
        <v>15616</v>
      </c>
      <c r="G190" s="121">
        <f t="shared" si="41"/>
        <v>32632</v>
      </c>
      <c r="H190" s="121">
        <f t="shared" si="41"/>
        <v>2</v>
      </c>
      <c r="I190" s="115">
        <f t="shared" si="41"/>
        <v>-23</v>
      </c>
    </row>
    <row r="191" spans="2:9" x14ac:dyDescent="0.25">
      <c r="B191" s="413"/>
      <c r="C191" s="3" t="s">
        <v>16</v>
      </c>
      <c r="D191" s="44"/>
      <c r="E191" s="118">
        <f>E186</f>
        <v>3069</v>
      </c>
      <c r="F191" s="118">
        <f t="shared" ref="F191:I191" si="42">F186</f>
        <v>3022</v>
      </c>
      <c r="G191" s="118">
        <f t="shared" si="42"/>
        <v>47</v>
      </c>
      <c r="H191" s="118">
        <f t="shared" si="42"/>
        <v>0</v>
      </c>
      <c r="I191" s="115">
        <f t="shared" si="42"/>
        <v>0</v>
      </c>
    </row>
    <row r="192" spans="2:9" x14ac:dyDescent="0.25">
      <c r="B192" s="413"/>
      <c r="C192" s="3" t="s">
        <v>2270</v>
      </c>
      <c r="D192" s="44"/>
      <c r="E192" s="115">
        <f>E190-E191</f>
        <v>45158</v>
      </c>
      <c r="F192" s="115">
        <f t="shared" ref="F192:I192" si="43">F190-F191</f>
        <v>12594</v>
      </c>
      <c r="G192" s="115">
        <f t="shared" si="43"/>
        <v>32585</v>
      </c>
      <c r="H192" s="115">
        <f t="shared" si="43"/>
        <v>2</v>
      </c>
      <c r="I192" s="115">
        <f t="shared" si="43"/>
        <v>-23</v>
      </c>
    </row>
    <row r="196" spans="4:7" x14ac:dyDescent="0.25">
      <c r="D196" s="44" t="s">
        <v>2345</v>
      </c>
      <c r="E196" s="4">
        <f>SUM(F196:G196)</f>
        <v>75305</v>
      </c>
      <c r="F196" s="4">
        <f>F146-F147</f>
        <v>45656</v>
      </c>
      <c r="G196" s="4">
        <f>G146-G147</f>
        <v>29649</v>
      </c>
    </row>
  </sheetData>
  <mergeCells count="24">
    <mergeCell ref="A80:A90"/>
    <mergeCell ref="C1:I1"/>
    <mergeCell ref="A3:A13"/>
    <mergeCell ref="B14:I14"/>
    <mergeCell ref="A18:A28"/>
    <mergeCell ref="B29:I29"/>
    <mergeCell ref="A34:A44"/>
    <mergeCell ref="B45:I45"/>
    <mergeCell ref="B46:I46"/>
    <mergeCell ref="A50:A60"/>
    <mergeCell ref="B61:I61"/>
    <mergeCell ref="A64:A74"/>
    <mergeCell ref="A93:A98"/>
    <mergeCell ref="C94:I94"/>
    <mergeCell ref="B149:B155"/>
    <mergeCell ref="D152:D154"/>
    <mergeCell ref="B163:B169"/>
    <mergeCell ref="D166:D168"/>
    <mergeCell ref="B138:B141"/>
    <mergeCell ref="C174:C175"/>
    <mergeCell ref="C176:C177"/>
    <mergeCell ref="C178:C179"/>
    <mergeCell ref="B183:B186"/>
    <mergeCell ref="B190:B192"/>
  </mergeCells>
  <hyperlinks>
    <hyperlink ref="C1" r:id="rId1"/>
    <hyperlink ref="C78" r:id="rId2"/>
    <hyperlink ref="C16" r:id="rId3"/>
    <hyperlink ref="C32" r:id="rId4"/>
    <hyperlink ref="C48" r:id="rId5"/>
    <hyperlink ref="C94" r:id="rId6" display="https://dashboard.applaydu.com/question/2314-applaydu-number-of-organic-users-that-scan-at-least-1-toy?"/>
    <hyperlink ref="C107" r:id="rId7"/>
    <hyperlink ref="D124" r:id="rId8"/>
    <hyperlink ref="D185" r:id="rId9"/>
    <hyperlink ref="D165" r:id="rId10"/>
  </hyperlinks>
  <pageMargins left="0.7" right="0.7" top="0.75" bottom="0.75" header="0.3" footer="0.3"/>
  <pageSetup paperSize="9" orientation="portrait" r:id="rId11"/>
  <legacyDrawing r:id="rId1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96"/>
  <sheetViews>
    <sheetView topLeftCell="A91" zoomScale="90" zoomScaleNormal="90" workbookViewId="0">
      <selection activeCell="G140" sqref="G140"/>
    </sheetView>
  </sheetViews>
  <sheetFormatPr defaultColWidth="8.85546875" defaultRowHeight="15" x14ac:dyDescent="0.25"/>
  <cols>
    <col min="1" max="1" width="4" customWidth="1"/>
    <col min="2" max="2" width="29" customWidth="1"/>
    <col min="3" max="3" width="48.42578125" customWidth="1"/>
    <col min="4" max="4" width="41.42578125" style="2" customWidth="1"/>
    <col min="5" max="5" width="24" bestFit="1" customWidth="1"/>
    <col min="6" max="7" width="16" customWidth="1"/>
    <col min="8" max="8" width="20.140625" bestFit="1" customWidth="1"/>
    <col min="9" max="9" width="17.42578125" bestFit="1" customWidth="1"/>
    <col min="12" max="12" width="19.42578125" customWidth="1"/>
  </cols>
  <sheetData>
    <row r="1" spans="1:9" ht="15.75" thickBot="1" x14ac:dyDescent="0.3">
      <c r="B1" s="84" t="s">
        <v>2174</v>
      </c>
      <c r="C1" s="422" t="s">
        <v>2175</v>
      </c>
      <c r="D1" s="423"/>
      <c r="E1" s="423"/>
      <c r="F1" s="423"/>
      <c r="G1" s="423"/>
      <c r="H1" s="423"/>
      <c r="I1" s="423"/>
    </row>
    <row r="2" spans="1:9" ht="15.75" thickBot="1" x14ac:dyDescent="0.3">
      <c r="C2" s="80" t="s">
        <v>23</v>
      </c>
      <c r="D2" s="81" t="s">
        <v>36</v>
      </c>
      <c r="E2" s="82" t="s">
        <v>21</v>
      </c>
      <c r="F2" s="82" t="s">
        <v>13</v>
      </c>
      <c r="G2" s="82" t="s">
        <v>14</v>
      </c>
      <c r="H2" s="82" t="s">
        <v>15</v>
      </c>
      <c r="I2" s="83" t="s">
        <v>29</v>
      </c>
    </row>
    <row r="3" spans="1:9" ht="15.75" customHeight="1" thickBot="1" x14ac:dyDescent="0.3">
      <c r="A3" s="424" t="s">
        <v>2136</v>
      </c>
      <c r="B3" s="58" t="s">
        <v>54</v>
      </c>
      <c r="C3" s="5" t="s">
        <v>24</v>
      </c>
      <c r="D3" s="48"/>
      <c r="E3" s="35">
        <f>SUM(F3:I3)</f>
        <v>224782</v>
      </c>
      <c r="F3" s="37">
        <v>63793</v>
      </c>
      <c r="G3" s="38">
        <v>160989</v>
      </c>
      <c r="H3" s="38">
        <v>0</v>
      </c>
      <c r="I3" s="6">
        <v>0</v>
      </c>
    </row>
    <row r="4" spans="1:9" ht="54" customHeight="1" thickBot="1" x14ac:dyDescent="0.3">
      <c r="A4" s="425"/>
      <c r="B4" s="59" t="s">
        <v>40</v>
      </c>
      <c r="C4" s="31" t="s">
        <v>33</v>
      </c>
      <c r="D4" s="32" t="s">
        <v>42</v>
      </c>
      <c r="E4" s="33">
        <f>SUM(F4:I4)</f>
        <v>52508.917342028122</v>
      </c>
      <c r="F4" s="33">
        <v>14902</v>
      </c>
      <c r="G4" s="245">
        <f>MAX(F4*G3/F3,G3*'Details-GLOBAL-202301-202303'!H4/'Details-GLOBAL-202301-202303'!H3)</f>
        <v>37606.917342028122</v>
      </c>
      <c r="H4" s="33">
        <v>0</v>
      </c>
      <c r="I4" s="34"/>
    </row>
    <row r="5" spans="1:9" ht="17.25" customHeight="1" thickBot="1" x14ac:dyDescent="0.3">
      <c r="A5" s="425"/>
      <c r="B5" s="66"/>
      <c r="C5" s="66"/>
      <c r="D5" s="67"/>
      <c r="E5" s="68"/>
      <c r="F5" s="68"/>
      <c r="G5" s="68"/>
      <c r="H5" s="68"/>
      <c r="I5" s="68"/>
    </row>
    <row r="6" spans="1:9" ht="60" customHeight="1" x14ac:dyDescent="0.25">
      <c r="A6" s="425"/>
      <c r="B6" s="60" t="s">
        <v>41</v>
      </c>
      <c r="C6" s="11" t="s">
        <v>33</v>
      </c>
      <c r="D6" s="12" t="s">
        <v>43</v>
      </c>
      <c r="E6" s="13">
        <f>SUM(F6:H6)</f>
        <v>7768</v>
      </c>
      <c r="F6" s="100">
        <v>7768</v>
      </c>
      <c r="G6" s="36" t="s">
        <v>8</v>
      </c>
      <c r="H6" s="99">
        <v>0</v>
      </c>
      <c r="I6" s="15"/>
    </row>
    <row r="7" spans="1:9" ht="45" x14ac:dyDescent="0.25">
      <c r="A7" s="425"/>
      <c r="B7" s="61" t="s">
        <v>50</v>
      </c>
      <c r="C7" s="3"/>
      <c r="D7" s="7" t="s">
        <v>51</v>
      </c>
      <c r="E7" s="8"/>
      <c r="F7" s="9">
        <f>F6/F4</f>
        <v>0.52127231244128303</v>
      </c>
      <c r="G7" s="4"/>
      <c r="H7" s="4"/>
      <c r="I7" s="21"/>
    </row>
    <row r="8" spans="1:9" ht="15.75" thickBot="1" x14ac:dyDescent="0.3">
      <c r="A8" s="425"/>
      <c r="B8" s="62" t="s">
        <v>52</v>
      </c>
      <c r="C8" s="18"/>
      <c r="D8" s="49"/>
      <c r="E8" s="18"/>
      <c r="F8" s="92">
        <f>F6/F3</f>
        <v>0.12176884611164235</v>
      </c>
      <c r="G8" s="18"/>
      <c r="H8" s="18"/>
      <c r="I8" s="19"/>
    </row>
    <row r="9" spans="1:9" ht="14.25" customHeight="1" thickBot="1" x14ac:dyDescent="0.3">
      <c r="A9" s="425"/>
      <c r="B9" s="66"/>
      <c r="C9" s="66"/>
      <c r="D9" s="67"/>
      <c r="E9" s="68"/>
      <c r="F9" s="68"/>
      <c r="G9" s="68"/>
      <c r="H9" s="68"/>
      <c r="I9" s="68"/>
    </row>
    <row r="10" spans="1:9" ht="30" customHeight="1" x14ac:dyDescent="0.25">
      <c r="A10" s="425"/>
      <c r="B10" s="63" t="s">
        <v>44</v>
      </c>
      <c r="C10" s="13"/>
      <c r="D10" s="12" t="s">
        <v>45</v>
      </c>
      <c r="E10" s="13">
        <f>E4</f>
        <v>52508.917342028122</v>
      </c>
      <c r="F10" s="13">
        <f>F4</f>
        <v>14902</v>
      </c>
      <c r="G10" s="13">
        <f>G4</f>
        <v>37606.917342028122</v>
      </c>
      <c r="H10" s="13">
        <f>H4</f>
        <v>0</v>
      </c>
      <c r="I10" s="15">
        <f>I4</f>
        <v>0</v>
      </c>
    </row>
    <row r="11" spans="1:9" ht="15.75" thickBot="1" x14ac:dyDescent="0.3">
      <c r="A11" s="425"/>
      <c r="B11" s="64" t="s">
        <v>49</v>
      </c>
      <c r="C11" s="4"/>
      <c r="D11" s="44"/>
      <c r="E11" s="9">
        <f>E10/E3</f>
        <v>0.23359929772859092</v>
      </c>
      <c r="F11" s="9">
        <f>F10/F3</f>
        <v>0.23359929772859092</v>
      </c>
      <c r="G11" s="9">
        <f t="shared" ref="G11" si="0">G10/G3</f>
        <v>0.23359929772859092</v>
      </c>
      <c r="H11" s="8"/>
      <c r="I11" s="23"/>
    </row>
    <row r="12" spans="1:9" ht="45" x14ac:dyDescent="0.25">
      <c r="A12" s="425"/>
      <c r="B12" s="65" t="s">
        <v>46</v>
      </c>
      <c r="C12" s="3"/>
      <c r="D12" s="44" t="s">
        <v>47</v>
      </c>
      <c r="E12" s="4">
        <f>E10-E6</f>
        <v>44740.917342028122</v>
      </c>
      <c r="F12" s="4">
        <f>F10-F6</f>
        <v>7134</v>
      </c>
      <c r="G12" s="142">
        <f>F12*G10/F10</f>
        <v>18003.472575360935</v>
      </c>
      <c r="H12" s="4">
        <f>H10-H6</f>
        <v>0</v>
      </c>
      <c r="I12" s="21">
        <f>I10-I6</f>
        <v>0</v>
      </c>
    </row>
    <row r="13" spans="1:9" ht="30.75" thickBot="1" x14ac:dyDescent="0.3">
      <c r="A13" s="426"/>
      <c r="B13" s="62" t="s">
        <v>48</v>
      </c>
      <c r="C13" s="16"/>
      <c r="D13" s="46"/>
      <c r="E13" s="16"/>
      <c r="F13" s="17">
        <f>F12/F3</f>
        <v>0.11183045161694857</v>
      </c>
      <c r="G13" s="16"/>
      <c r="H13" s="16"/>
      <c r="I13" s="25"/>
    </row>
    <row r="14" spans="1:9" ht="30.75" customHeight="1" x14ac:dyDescent="0.25">
      <c r="A14" s="85"/>
      <c r="B14" s="427" t="s">
        <v>2183</v>
      </c>
      <c r="C14" s="427"/>
      <c r="D14" s="427"/>
      <c r="E14" s="427"/>
      <c r="F14" s="427"/>
      <c r="G14" s="427"/>
      <c r="H14" s="427"/>
      <c r="I14" s="427"/>
    </row>
    <row r="15" spans="1:9" x14ac:dyDescent="0.25">
      <c r="A15" s="56"/>
      <c r="B15" s="56"/>
      <c r="F15" s="57"/>
    </row>
    <row r="16" spans="1:9" ht="15.75" thickBot="1" x14ac:dyDescent="0.3">
      <c r="A16" s="56"/>
      <c r="B16" s="87" t="s">
        <v>2174</v>
      </c>
      <c r="C16" s="96" t="s">
        <v>2187</v>
      </c>
      <c r="D16" s="88"/>
      <c r="E16" s="87"/>
      <c r="F16" s="89"/>
      <c r="G16" s="87"/>
      <c r="H16" s="87"/>
      <c r="I16" s="87"/>
    </row>
    <row r="17" spans="1:9" ht="15.75" thickBot="1" x14ac:dyDescent="0.3">
      <c r="A17" s="56"/>
      <c r="B17" s="56"/>
      <c r="C17" s="80" t="s">
        <v>23</v>
      </c>
      <c r="D17" s="81" t="s">
        <v>36</v>
      </c>
      <c r="E17" s="82" t="s">
        <v>21</v>
      </c>
      <c r="F17" s="82" t="s">
        <v>13</v>
      </c>
      <c r="G17" s="82" t="s">
        <v>14</v>
      </c>
      <c r="H17" s="82" t="s">
        <v>15</v>
      </c>
      <c r="I17" s="83" t="s">
        <v>29</v>
      </c>
    </row>
    <row r="18" spans="1:9" ht="15.75" thickBot="1" x14ac:dyDescent="0.3">
      <c r="A18" s="428" t="s">
        <v>2137</v>
      </c>
      <c r="B18" s="40" t="s">
        <v>2142</v>
      </c>
      <c r="C18" s="5" t="s">
        <v>24</v>
      </c>
      <c r="D18" s="48"/>
      <c r="E18" s="35">
        <f>SUM(F18:I18)</f>
        <v>5408</v>
      </c>
      <c r="F18" s="37">
        <v>1828</v>
      </c>
      <c r="G18" s="38">
        <v>3580</v>
      </c>
      <c r="H18" s="38">
        <v>0</v>
      </c>
      <c r="I18" s="6">
        <v>0</v>
      </c>
    </row>
    <row r="19" spans="1:9" ht="30.75" thickBot="1" x14ac:dyDescent="0.3">
      <c r="A19" s="429"/>
      <c r="B19" s="30" t="s">
        <v>2143</v>
      </c>
      <c r="C19" s="31" t="s">
        <v>33</v>
      </c>
      <c r="D19" s="32" t="s">
        <v>2144</v>
      </c>
      <c r="E19" s="33">
        <f>SUM(F19:I19)</f>
        <v>319.50984682713352</v>
      </c>
      <c r="F19" s="33">
        <v>108</v>
      </c>
      <c r="G19" s="245">
        <f>MAX(F19*G18/F18,G18*'Details-GLOBAL-202301-202303'!H19/'Details-GLOBAL-202301-202303'!H18)</f>
        <v>211.50984682713349</v>
      </c>
      <c r="H19" s="33">
        <v>0</v>
      </c>
      <c r="I19" s="34"/>
    </row>
    <row r="20" spans="1:9" ht="15.75" thickBot="1" x14ac:dyDescent="0.3">
      <c r="A20" s="429"/>
      <c r="B20" s="69"/>
      <c r="C20" s="66"/>
      <c r="D20" s="67"/>
      <c r="E20" s="68"/>
      <c r="F20" s="68"/>
      <c r="G20" s="68"/>
      <c r="H20" s="68"/>
      <c r="I20" s="70"/>
    </row>
    <row r="21" spans="1:9" ht="45" x14ac:dyDescent="0.25">
      <c r="A21" s="429"/>
      <c r="B21" s="41" t="s">
        <v>2145</v>
      </c>
      <c r="C21" s="11" t="s">
        <v>33</v>
      </c>
      <c r="D21" s="12" t="s">
        <v>2146</v>
      </c>
      <c r="E21" s="13">
        <f>SUM(F21:H21)</f>
        <v>59</v>
      </c>
      <c r="F21" s="100">
        <v>59</v>
      </c>
      <c r="G21" s="36" t="s">
        <v>8</v>
      </c>
      <c r="H21" s="14">
        <v>0</v>
      </c>
      <c r="I21" s="15"/>
    </row>
    <row r="22" spans="1:9" ht="45" x14ac:dyDescent="0.25">
      <c r="A22" s="429"/>
      <c r="B22" s="42" t="s">
        <v>2141</v>
      </c>
      <c r="C22" s="3"/>
      <c r="D22" s="7" t="s">
        <v>2147</v>
      </c>
      <c r="E22" s="8"/>
      <c r="F22" s="9">
        <f>F21/F19</f>
        <v>0.54629629629629628</v>
      </c>
      <c r="G22" s="4"/>
      <c r="H22" s="4"/>
      <c r="I22" s="21"/>
    </row>
    <row r="23" spans="1:9" ht="15.75" thickBot="1" x14ac:dyDescent="0.3">
      <c r="A23" s="429"/>
      <c r="B23" s="43" t="s">
        <v>52</v>
      </c>
      <c r="C23" s="18"/>
      <c r="D23" s="49"/>
      <c r="E23" s="18"/>
      <c r="F23" s="22">
        <f>F21/F18</f>
        <v>3.2275711159737416E-2</v>
      </c>
      <c r="G23" s="18"/>
      <c r="H23" s="18"/>
      <c r="I23" s="19"/>
    </row>
    <row r="24" spans="1:9" ht="15.75" thickBot="1" x14ac:dyDescent="0.3">
      <c r="A24" s="429"/>
      <c r="B24" s="69"/>
      <c r="C24" s="66"/>
      <c r="D24" s="67"/>
      <c r="E24" s="68"/>
      <c r="F24" s="68"/>
      <c r="G24" s="68"/>
      <c r="H24" s="68"/>
      <c r="I24" s="70"/>
    </row>
    <row r="25" spans="1:9" ht="30" x14ac:dyDescent="0.25">
      <c r="A25" s="429"/>
      <c r="B25" s="10" t="s">
        <v>44</v>
      </c>
      <c r="C25" s="13"/>
      <c r="D25" s="12" t="s">
        <v>2184</v>
      </c>
      <c r="E25" s="13">
        <f>SUM(F25:I25)</f>
        <v>319.50984682713352</v>
      </c>
      <c r="F25" s="13">
        <f>F19</f>
        <v>108</v>
      </c>
      <c r="G25" s="13">
        <f t="shared" ref="G25:I25" si="1">G19</f>
        <v>211.50984682713349</v>
      </c>
      <c r="H25" s="13">
        <f t="shared" si="1"/>
        <v>0</v>
      </c>
      <c r="I25" s="13">
        <f t="shared" si="1"/>
        <v>0</v>
      </c>
    </row>
    <row r="26" spans="1:9" ht="15.75" thickBot="1" x14ac:dyDescent="0.3">
      <c r="A26" s="429"/>
      <c r="B26" s="20" t="s">
        <v>49</v>
      </c>
      <c r="C26" s="4"/>
      <c r="D26" s="44"/>
      <c r="E26" s="9">
        <f>E25/E18</f>
        <v>5.9080962800875284E-2</v>
      </c>
      <c r="F26" s="9">
        <f>F25/F18</f>
        <v>5.9080962800875277E-2</v>
      </c>
      <c r="G26" s="9">
        <f t="shared" ref="G26" si="2">G25/G18</f>
        <v>5.9080962800875277E-2</v>
      </c>
      <c r="H26" s="8"/>
      <c r="I26" s="23"/>
    </row>
    <row r="27" spans="1:9" ht="60" x14ac:dyDescent="0.25">
      <c r="A27" s="429"/>
      <c r="B27" s="24" t="s">
        <v>46</v>
      </c>
      <c r="C27" s="3"/>
      <c r="D27" s="12" t="s">
        <v>56</v>
      </c>
      <c r="E27" s="93">
        <f>E25-E21</f>
        <v>260.50984682713352</v>
      </c>
      <c r="F27" s="4">
        <f>F25-F21</f>
        <v>49</v>
      </c>
      <c r="G27" s="142">
        <f>F27*G25/F25</f>
        <v>95.962800875273516</v>
      </c>
      <c r="H27" s="4">
        <f>H25-H21</f>
        <v>0</v>
      </c>
      <c r="I27" s="21">
        <f>I25-I21</f>
        <v>0</v>
      </c>
    </row>
    <row r="28" spans="1:9" ht="30.75" thickBot="1" x14ac:dyDescent="0.3">
      <c r="A28" s="430"/>
      <c r="B28" s="43" t="s">
        <v>48</v>
      </c>
      <c r="C28" s="16"/>
      <c r="D28" s="46"/>
      <c r="E28" s="16"/>
      <c r="F28" s="17">
        <f>F27/F18</f>
        <v>2.6805251641137857E-2</v>
      </c>
      <c r="G28" s="16"/>
      <c r="H28" s="16"/>
      <c r="I28" s="25"/>
    </row>
    <row r="29" spans="1:9" x14ac:dyDescent="0.25">
      <c r="A29" s="56"/>
      <c r="B29" s="431" t="s">
        <v>2173</v>
      </c>
      <c r="C29" s="431"/>
      <c r="D29" s="431"/>
      <c r="E29" s="431"/>
      <c r="F29" s="431"/>
      <c r="G29" s="431"/>
      <c r="H29" s="431"/>
      <c r="I29" s="431"/>
    </row>
    <row r="30" spans="1:9" x14ac:dyDescent="0.25">
      <c r="A30" s="56"/>
      <c r="B30" s="90"/>
      <c r="C30" s="90"/>
      <c r="D30" s="90"/>
      <c r="E30" s="90"/>
      <c r="F30" s="90"/>
      <c r="G30" s="90"/>
      <c r="H30" s="90"/>
      <c r="I30" s="90"/>
    </row>
    <row r="31" spans="1:9" x14ac:dyDescent="0.25">
      <c r="A31" s="56"/>
      <c r="B31" s="90"/>
      <c r="C31" s="90"/>
      <c r="D31" s="90"/>
      <c r="E31" s="90"/>
      <c r="F31" s="90"/>
      <c r="G31" s="90"/>
      <c r="H31" s="90"/>
      <c r="I31" s="90"/>
    </row>
    <row r="32" spans="1:9" ht="15.75" thickBot="1" x14ac:dyDescent="0.3">
      <c r="A32" s="56"/>
      <c r="B32" s="87" t="s">
        <v>2174</v>
      </c>
      <c r="C32" s="96" t="s">
        <v>2189</v>
      </c>
      <c r="D32" s="88"/>
      <c r="E32" s="87"/>
      <c r="F32" s="89"/>
      <c r="G32" s="87"/>
      <c r="H32" s="87"/>
      <c r="I32" s="87"/>
    </row>
    <row r="33" spans="1:9" ht="15.75" thickBot="1" x14ac:dyDescent="0.3">
      <c r="A33" s="56"/>
      <c r="B33" s="56"/>
      <c r="C33" s="80" t="s">
        <v>23</v>
      </c>
      <c r="D33" s="81" t="s">
        <v>36</v>
      </c>
      <c r="E33" s="82" t="s">
        <v>21</v>
      </c>
      <c r="F33" s="82" t="s">
        <v>13</v>
      </c>
      <c r="G33" s="82" t="s">
        <v>14</v>
      </c>
      <c r="H33" s="82" t="s">
        <v>15</v>
      </c>
      <c r="I33" s="83" t="s">
        <v>29</v>
      </c>
    </row>
    <row r="34" spans="1:9" ht="15.75" thickBot="1" x14ac:dyDescent="0.3">
      <c r="A34" s="438" t="s">
        <v>2138</v>
      </c>
      <c r="B34" s="78" t="s">
        <v>2148</v>
      </c>
      <c r="C34" s="71" t="s">
        <v>24</v>
      </c>
      <c r="D34" s="72"/>
      <c r="E34" s="73">
        <f>SUM(F34:I34)</f>
        <v>352</v>
      </c>
      <c r="F34" s="74">
        <v>205</v>
      </c>
      <c r="G34" s="75">
        <v>147</v>
      </c>
      <c r="H34" s="75"/>
      <c r="I34" s="76"/>
    </row>
    <row r="35" spans="1:9" ht="30.75" customHeight="1" thickBot="1" x14ac:dyDescent="0.3">
      <c r="A35" s="439"/>
      <c r="B35" s="58" t="s">
        <v>2149</v>
      </c>
      <c r="C35" s="5" t="s">
        <v>33</v>
      </c>
      <c r="D35" s="47" t="s">
        <v>2150</v>
      </c>
      <c r="E35" s="77">
        <f>SUM(F35:I35)</f>
        <v>18</v>
      </c>
      <c r="F35" s="77">
        <v>5</v>
      </c>
      <c r="G35" s="246">
        <f>MAX(13,F35*G34/F34,G34*'Details-GLOBAL-202301-202303'!H35/'Details-GLOBAL-202301-202303'!H34)</f>
        <v>13</v>
      </c>
      <c r="H35" s="77">
        <v>0</v>
      </c>
      <c r="I35" s="6"/>
    </row>
    <row r="36" spans="1:9" ht="15.75" thickBot="1" x14ac:dyDescent="0.3">
      <c r="A36" s="439"/>
      <c r="B36" s="66"/>
      <c r="C36" s="66"/>
      <c r="D36" s="67"/>
      <c r="E36" s="68"/>
      <c r="F36" s="68"/>
      <c r="G36" s="68"/>
      <c r="H36" s="68"/>
      <c r="I36" s="70"/>
    </row>
    <row r="37" spans="1:9" ht="45" x14ac:dyDescent="0.25">
      <c r="A37" s="439"/>
      <c r="B37" s="60" t="s">
        <v>2151</v>
      </c>
      <c r="C37" s="11" t="s">
        <v>33</v>
      </c>
      <c r="D37" s="12" t="s">
        <v>2152</v>
      </c>
      <c r="E37" s="13">
        <f>SUM(F37:H37)</f>
        <v>1</v>
      </c>
      <c r="F37" s="100">
        <v>1</v>
      </c>
      <c r="G37" s="36" t="s">
        <v>8</v>
      </c>
      <c r="H37" s="14">
        <v>0</v>
      </c>
      <c r="I37" s="15"/>
    </row>
    <row r="38" spans="1:9" ht="45" x14ac:dyDescent="0.25">
      <c r="A38" s="439"/>
      <c r="B38" s="61" t="s">
        <v>2141</v>
      </c>
      <c r="C38" s="3"/>
      <c r="D38" s="7" t="s">
        <v>2153</v>
      </c>
      <c r="E38" s="8"/>
      <c r="F38" s="9">
        <f t="shared" ref="F38" si="3">F37/F35</f>
        <v>0.2</v>
      </c>
      <c r="G38" s="4"/>
      <c r="H38" s="4"/>
      <c r="I38" s="21"/>
    </row>
    <row r="39" spans="1:9" ht="15.75" thickBot="1" x14ac:dyDescent="0.3">
      <c r="A39" s="439"/>
      <c r="B39" s="62" t="s">
        <v>52</v>
      </c>
      <c r="C39" s="18"/>
      <c r="D39" s="49"/>
      <c r="E39" s="18"/>
      <c r="F39" s="92">
        <f>F37/F34</f>
        <v>4.8780487804878049E-3</v>
      </c>
      <c r="G39" s="18"/>
      <c r="H39" s="18"/>
      <c r="I39" s="19"/>
    </row>
    <row r="40" spans="1:9" ht="15.75" thickBot="1" x14ac:dyDescent="0.3">
      <c r="A40" s="439"/>
      <c r="B40" s="66"/>
      <c r="C40" s="66"/>
      <c r="D40" s="67"/>
      <c r="E40" s="68"/>
      <c r="F40" s="68"/>
      <c r="G40" s="68"/>
      <c r="H40" s="68"/>
      <c r="I40" s="70"/>
    </row>
    <row r="41" spans="1:9" ht="75" customHeight="1" x14ac:dyDescent="0.25">
      <c r="A41" s="439"/>
      <c r="B41" s="63" t="s">
        <v>44</v>
      </c>
      <c r="C41" s="13"/>
      <c r="D41" s="12" t="s">
        <v>2185</v>
      </c>
      <c r="E41" s="13">
        <f>SUM(F41:I41)</f>
        <v>18</v>
      </c>
      <c r="F41" s="13">
        <f>F35</f>
        <v>5</v>
      </c>
      <c r="G41" s="13">
        <f t="shared" ref="G41:I41" si="4">G35</f>
        <v>13</v>
      </c>
      <c r="H41" s="13">
        <f t="shared" si="4"/>
        <v>0</v>
      </c>
      <c r="I41" s="13">
        <f t="shared" si="4"/>
        <v>0</v>
      </c>
    </row>
    <row r="42" spans="1:9" ht="15.75" thickBot="1" x14ac:dyDescent="0.3">
      <c r="A42" s="439"/>
      <c r="B42" s="64" t="s">
        <v>49</v>
      </c>
      <c r="C42" s="4"/>
      <c r="D42" s="44"/>
      <c r="E42" s="9">
        <f>E41/E34</f>
        <v>5.113636363636364E-2</v>
      </c>
      <c r="F42" s="9">
        <f>F41/F34</f>
        <v>2.4390243902439025E-2</v>
      </c>
      <c r="G42" s="9">
        <f>G41/G34</f>
        <v>8.8435374149659865E-2</v>
      </c>
      <c r="H42" s="8"/>
      <c r="I42" s="23"/>
    </row>
    <row r="43" spans="1:9" ht="60" x14ac:dyDescent="0.25">
      <c r="A43" s="439"/>
      <c r="B43" s="65" t="s">
        <v>46</v>
      </c>
      <c r="C43" s="3"/>
      <c r="D43" s="12" t="s">
        <v>57</v>
      </c>
      <c r="E43" s="93">
        <f>E41-E37</f>
        <v>17</v>
      </c>
      <c r="F43" s="4">
        <f>F41-F37</f>
        <v>4</v>
      </c>
      <c r="G43" s="142">
        <f>F43*G41/F41</f>
        <v>10.4</v>
      </c>
      <c r="H43" s="4">
        <f>H41-H37</f>
        <v>0</v>
      </c>
      <c r="I43" s="21">
        <f>I41-I37</f>
        <v>0</v>
      </c>
    </row>
    <row r="44" spans="1:9" ht="30.75" thickBot="1" x14ac:dyDescent="0.3">
      <c r="A44" s="440"/>
      <c r="B44" s="62" t="s">
        <v>48</v>
      </c>
      <c r="C44" s="16"/>
      <c r="D44" s="46"/>
      <c r="E44" s="16"/>
      <c r="F44" s="22">
        <f>F43/F34</f>
        <v>1.9512195121951219E-2</v>
      </c>
      <c r="G44" s="16"/>
      <c r="H44" s="16"/>
      <c r="I44" s="25"/>
    </row>
    <row r="45" spans="1:9" ht="15" customHeight="1" x14ac:dyDescent="0.25">
      <c r="A45" s="56"/>
      <c r="B45" s="431" t="s">
        <v>2176</v>
      </c>
      <c r="C45" s="431"/>
      <c r="D45" s="431"/>
      <c r="E45" s="431"/>
      <c r="F45" s="431"/>
      <c r="G45" s="431"/>
      <c r="H45" s="431"/>
      <c r="I45" s="431"/>
    </row>
    <row r="46" spans="1:9" ht="55.5" customHeight="1" x14ac:dyDescent="0.25">
      <c r="A46" s="56"/>
      <c r="B46" s="441" t="s">
        <v>2177</v>
      </c>
      <c r="C46" s="441"/>
      <c r="D46" s="441"/>
      <c r="E46" s="441"/>
      <c r="F46" s="441"/>
      <c r="G46" s="441"/>
      <c r="H46" s="441"/>
      <c r="I46" s="441"/>
    </row>
    <row r="47" spans="1:9" x14ac:dyDescent="0.25">
      <c r="A47" s="56"/>
      <c r="B47" s="56"/>
      <c r="F47" s="57"/>
    </row>
    <row r="48" spans="1:9" ht="15.75" thickBot="1" x14ac:dyDescent="0.3">
      <c r="A48" s="56"/>
      <c r="B48" s="87" t="s">
        <v>2174</v>
      </c>
      <c r="C48" s="96" t="s">
        <v>2188</v>
      </c>
      <c r="D48" s="88"/>
      <c r="E48" s="87"/>
      <c r="F48" s="89"/>
      <c r="G48" s="87"/>
      <c r="H48" s="87"/>
      <c r="I48" s="87"/>
    </row>
    <row r="49" spans="1:9" ht="15.75" thickBot="1" x14ac:dyDescent="0.3">
      <c r="A49" s="56"/>
      <c r="B49" s="56"/>
      <c r="C49" s="80" t="s">
        <v>23</v>
      </c>
      <c r="D49" s="81" t="s">
        <v>36</v>
      </c>
      <c r="E49" s="82" t="s">
        <v>21</v>
      </c>
      <c r="F49" s="82" t="s">
        <v>13</v>
      </c>
      <c r="G49" s="82" t="s">
        <v>14</v>
      </c>
      <c r="H49" s="82" t="s">
        <v>15</v>
      </c>
      <c r="I49" s="83" t="s">
        <v>29</v>
      </c>
    </row>
    <row r="50" spans="1:9" ht="15.75" customHeight="1" thickBot="1" x14ac:dyDescent="0.3">
      <c r="A50" s="432" t="s">
        <v>2171</v>
      </c>
      <c r="B50" s="5" t="s">
        <v>2155</v>
      </c>
      <c r="C50" s="5" t="s">
        <v>24</v>
      </c>
      <c r="D50" s="48"/>
      <c r="E50" s="35">
        <f>SUM(F50:I50)</f>
        <v>5510</v>
      </c>
      <c r="F50" s="37">
        <v>4001</v>
      </c>
      <c r="G50" s="38">
        <v>1509</v>
      </c>
      <c r="H50" s="38">
        <v>0</v>
      </c>
      <c r="I50" s="6">
        <v>0</v>
      </c>
    </row>
    <row r="51" spans="1:9" ht="30.75" thickBot="1" x14ac:dyDescent="0.3">
      <c r="A51" s="433"/>
      <c r="B51" s="30" t="s">
        <v>2156</v>
      </c>
      <c r="C51" s="31" t="s">
        <v>33</v>
      </c>
      <c r="D51" s="32" t="s">
        <v>2154</v>
      </c>
      <c r="E51" s="33">
        <f>SUM(F51:I51)</f>
        <v>4124.1345314505779</v>
      </c>
      <c r="F51" s="33">
        <v>1293</v>
      </c>
      <c r="G51" s="245">
        <f>MAX(F51*G50/F50,G50*'Details-GLOBAL-202301-202303'!H51/'Details-GLOBAL-202301-202303'!H50)</f>
        <v>2831.1345314505775</v>
      </c>
      <c r="H51" s="33">
        <v>0</v>
      </c>
      <c r="I51" s="34"/>
    </row>
    <row r="52" spans="1:9" ht="15.75" thickBot="1" x14ac:dyDescent="0.3">
      <c r="A52" s="433"/>
      <c r="B52" s="66"/>
      <c r="C52" s="66"/>
      <c r="D52" s="67"/>
      <c r="E52" s="68"/>
      <c r="F52" s="68"/>
      <c r="G52" s="68"/>
      <c r="H52" s="68"/>
      <c r="I52" s="70"/>
    </row>
    <row r="53" spans="1:9" ht="45" x14ac:dyDescent="0.25">
      <c r="A53" s="433"/>
      <c r="B53" s="41" t="s">
        <v>2157</v>
      </c>
      <c r="C53" s="11" t="s">
        <v>33</v>
      </c>
      <c r="D53" s="12" t="s">
        <v>2159</v>
      </c>
      <c r="E53" s="13">
        <f>SUM(F53:H53)</f>
        <v>718</v>
      </c>
      <c r="F53" s="100">
        <v>717</v>
      </c>
      <c r="G53" s="36" t="s">
        <v>8</v>
      </c>
      <c r="H53" s="14">
        <v>1</v>
      </c>
      <c r="I53" s="15"/>
    </row>
    <row r="54" spans="1:9" ht="45" x14ac:dyDescent="0.25">
      <c r="A54" s="433"/>
      <c r="B54" s="42" t="s">
        <v>2158</v>
      </c>
      <c r="C54" s="3"/>
      <c r="D54" s="7" t="s">
        <v>2160</v>
      </c>
      <c r="E54" s="8"/>
      <c r="F54" s="9">
        <f t="shared" ref="F54:H54" si="5">F53/F51</f>
        <v>0.55452436194895594</v>
      </c>
      <c r="G54" s="8"/>
      <c r="H54" s="8" t="e">
        <f t="shared" si="5"/>
        <v>#DIV/0!</v>
      </c>
      <c r="I54" s="21"/>
    </row>
    <row r="55" spans="1:9" ht="15.75" thickBot="1" x14ac:dyDescent="0.3">
      <c r="A55" s="433"/>
      <c r="B55" s="43" t="s">
        <v>52</v>
      </c>
      <c r="C55" s="18"/>
      <c r="D55" s="49"/>
      <c r="E55" s="18"/>
      <c r="F55" s="92">
        <f>F53/F50</f>
        <v>0.17920519870032492</v>
      </c>
      <c r="G55" s="18"/>
      <c r="H55" s="18"/>
      <c r="I55" s="19"/>
    </row>
    <row r="56" spans="1:9" ht="15.75" thickBot="1" x14ac:dyDescent="0.3">
      <c r="A56" s="433"/>
      <c r="B56" s="66"/>
      <c r="C56" s="66"/>
      <c r="D56" s="67"/>
      <c r="E56" s="68"/>
      <c r="F56" s="68"/>
      <c r="G56" s="68"/>
      <c r="H56" s="68"/>
      <c r="I56" s="70"/>
    </row>
    <row r="57" spans="1:9" ht="45" x14ac:dyDescent="0.25">
      <c r="A57" s="433"/>
      <c r="B57" s="10" t="s">
        <v>44</v>
      </c>
      <c r="C57" s="13"/>
      <c r="D57" s="12" t="s">
        <v>2186</v>
      </c>
      <c r="E57" s="13">
        <f>SUM(F57:I57)</f>
        <v>4124.1345314505779</v>
      </c>
      <c r="F57" s="13">
        <f>F51</f>
        <v>1293</v>
      </c>
      <c r="G57" s="13">
        <f t="shared" ref="G57:I57" si="6">G51</f>
        <v>2831.1345314505775</v>
      </c>
      <c r="H57" s="13">
        <f t="shared" si="6"/>
        <v>0</v>
      </c>
      <c r="I57" s="13">
        <f t="shared" si="6"/>
        <v>0</v>
      </c>
    </row>
    <row r="58" spans="1:9" ht="15.75" thickBot="1" x14ac:dyDescent="0.3">
      <c r="A58" s="433"/>
      <c r="B58" s="20" t="s">
        <v>49</v>
      </c>
      <c r="C58" s="4"/>
      <c r="D58" s="44"/>
      <c r="E58" s="9">
        <f>E57/E50</f>
        <v>0.74848176614348061</v>
      </c>
      <c r="F58" s="9">
        <f>F57/F50</f>
        <v>0.3231692076980755</v>
      </c>
      <c r="G58" s="9">
        <f t="shared" ref="G58:H58" si="7">G57/G50</f>
        <v>1.8761660248181429</v>
      </c>
      <c r="H58" s="8" t="e">
        <f t="shared" si="7"/>
        <v>#DIV/0!</v>
      </c>
      <c r="I58" s="8"/>
    </row>
    <row r="59" spans="1:9" ht="60" x14ac:dyDescent="0.25">
      <c r="A59" s="433"/>
      <c r="B59" s="24" t="s">
        <v>46</v>
      </c>
      <c r="C59" s="3"/>
      <c r="D59" s="12" t="s">
        <v>2161</v>
      </c>
      <c r="E59" s="93">
        <f>E57-E53</f>
        <v>3406.1345314505779</v>
      </c>
      <c r="F59" s="4">
        <f>F57-F53</f>
        <v>576</v>
      </c>
      <c r="G59" s="142">
        <f>F59*G57/F57</f>
        <v>1261.2014618062897</v>
      </c>
      <c r="H59" s="4">
        <f t="shared" ref="H59:I59" si="8">H57-H53</f>
        <v>-1</v>
      </c>
      <c r="I59" s="4">
        <f t="shared" si="8"/>
        <v>0</v>
      </c>
    </row>
    <row r="60" spans="1:9" ht="30.75" thickBot="1" x14ac:dyDescent="0.3">
      <c r="A60" s="434"/>
      <c r="B60" s="43" t="s">
        <v>48</v>
      </c>
      <c r="C60" s="16"/>
      <c r="D60" s="46"/>
      <c r="E60" s="16"/>
      <c r="F60" s="17">
        <f>F59/F50</f>
        <v>0.14396400899775055</v>
      </c>
      <c r="G60" s="16"/>
      <c r="H60" s="16"/>
      <c r="I60" s="25"/>
    </row>
    <row r="61" spans="1:9" x14ac:dyDescent="0.25">
      <c r="A61" s="56"/>
      <c r="B61" s="431" t="s">
        <v>2178</v>
      </c>
      <c r="C61" s="431"/>
      <c r="D61" s="431"/>
      <c r="E61" s="431"/>
      <c r="F61" s="431"/>
      <c r="G61" s="431"/>
      <c r="H61" s="431"/>
      <c r="I61" s="431"/>
    </row>
    <row r="62" spans="1:9" ht="15.75" thickBot="1" x14ac:dyDescent="0.3">
      <c r="A62" s="56"/>
      <c r="B62" s="56"/>
      <c r="F62" s="57"/>
    </row>
    <row r="63" spans="1:9" ht="15.75" thickBot="1" x14ac:dyDescent="0.3">
      <c r="A63" s="56"/>
      <c r="B63" s="56"/>
      <c r="C63" s="80" t="s">
        <v>23</v>
      </c>
      <c r="D63" s="81" t="s">
        <v>36</v>
      </c>
      <c r="E63" s="82" t="s">
        <v>21</v>
      </c>
      <c r="F63" s="82" t="s">
        <v>13</v>
      </c>
      <c r="G63" s="82" t="s">
        <v>14</v>
      </c>
      <c r="H63" s="82" t="s">
        <v>15</v>
      </c>
      <c r="I63" s="83" t="s">
        <v>29</v>
      </c>
    </row>
    <row r="64" spans="1:9" ht="15.75" customHeight="1" thickBot="1" x14ac:dyDescent="0.3">
      <c r="A64" s="432" t="s">
        <v>2139</v>
      </c>
      <c r="B64" s="5" t="s">
        <v>2162</v>
      </c>
      <c r="C64" s="5" t="s">
        <v>24</v>
      </c>
      <c r="D64" s="48"/>
      <c r="E64" s="35">
        <f>SUM(F64:I64)</f>
        <v>236223</v>
      </c>
      <c r="F64" s="37">
        <f>F3+F18+F34+F50+F80</f>
        <v>69906</v>
      </c>
      <c r="G64" s="37">
        <f t="shared" ref="G64:H65" si="9">G3+G18+G34+G50+G80</f>
        <v>166317</v>
      </c>
      <c r="H64" s="37">
        <f t="shared" si="9"/>
        <v>0</v>
      </c>
      <c r="I64" s="37">
        <f>I3+I18+I34+I50</f>
        <v>0</v>
      </c>
    </row>
    <row r="65" spans="1:9" ht="30.75" thickBot="1" x14ac:dyDescent="0.3">
      <c r="A65" s="433"/>
      <c r="B65" s="30" t="s">
        <v>2163</v>
      </c>
      <c r="C65" s="31" t="s">
        <v>33</v>
      </c>
      <c r="D65" s="32" t="s">
        <v>2164</v>
      </c>
      <c r="E65" s="33">
        <f>SUM(F65:I65)</f>
        <v>56985.713619040005</v>
      </c>
      <c r="F65" s="37">
        <f>F4+F19+F35+F51+F81</f>
        <v>16315</v>
      </c>
      <c r="G65" s="37">
        <f t="shared" si="9"/>
        <v>40670.713619040005</v>
      </c>
      <c r="H65" s="37">
        <f t="shared" si="9"/>
        <v>0</v>
      </c>
      <c r="I65" s="37">
        <f>I4+I19+I35+I51+I81</f>
        <v>0</v>
      </c>
    </row>
    <row r="66" spans="1:9" ht="15.75" thickBot="1" x14ac:dyDescent="0.3">
      <c r="A66" s="433"/>
      <c r="B66" s="66"/>
      <c r="C66" s="66"/>
      <c r="D66" s="67"/>
      <c r="E66" s="68"/>
      <c r="F66" s="68"/>
      <c r="G66" s="68"/>
      <c r="H66" s="68"/>
      <c r="I66" s="70"/>
    </row>
    <row r="67" spans="1:9" ht="45.75" thickBot="1" x14ac:dyDescent="0.3">
      <c r="A67" s="433"/>
      <c r="B67" s="41" t="s">
        <v>2151</v>
      </c>
      <c r="C67" s="11" t="s">
        <v>33</v>
      </c>
      <c r="D67" s="12" t="s">
        <v>2165</v>
      </c>
      <c r="E67" s="13">
        <f>SUM(F67:H67)</f>
        <v>8548</v>
      </c>
      <c r="F67" s="100">
        <f>F6+F21+F37+F53+F83</f>
        <v>8547</v>
      </c>
      <c r="G67" s="36" t="s">
        <v>8</v>
      </c>
      <c r="H67" s="91">
        <f>H6+H21+H37+H53</f>
        <v>1</v>
      </c>
      <c r="I67" s="91">
        <f>I6+I21+I37+I53</f>
        <v>0</v>
      </c>
    </row>
    <row r="68" spans="1:9" ht="45" x14ac:dyDescent="0.25">
      <c r="A68" s="433"/>
      <c r="B68" s="42" t="s">
        <v>2141</v>
      </c>
      <c r="C68" s="3"/>
      <c r="D68" s="7" t="s">
        <v>2166</v>
      </c>
      <c r="E68" s="8"/>
      <c r="F68" s="9">
        <f>F67/F65</f>
        <v>0.52387373582592711</v>
      </c>
      <c r="G68" s="4"/>
      <c r="H68" s="4"/>
      <c r="I68" s="21"/>
    </row>
    <row r="69" spans="1:9" ht="15.75" thickBot="1" x14ac:dyDescent="0.3">
      <c r="A69" s="433"/>
      <c r="B69" s="43" t="s">
        <v>52</v>
      </c>
      <c r="C69" s="18"/>
      <c r="D69" s="49"/>
      <c r="E69" s="18"/>
      <c r="F69" s="92">
        <f>F67/F64</f>
        <v>0.12226418333190284</v>
      </c>
      <c r="G69" s="18"/>
      <c r="H69" s="18"/>
      <c r="I69" s="19"/>
    </row>
    <row r="70" spans="1:9" ht="15.75" thickBot="1" x14ac:dyDescent="0.3">
      <c r="A70" s="433"/>
      <c r="B70" s="66"/>
      <c r="C70" s="66"/>
      <c r="D70" s="67"/>
      <c r="E70" s="68"/>
      <c r="F70" s="68"/>
      <c r="G70" s="68"/>
      <c r="H70" s="68"/>
      <c r="I70" s="70"/>
    </row>
    <row r="71" spans="1:9" ht="45" customHeight="1" x14ac:dyDescent="0.25">
      <c r="A71" s="433"/>
      <c r="B71" s="10" t="s">
        <v>44</v>
      </c>
      <c r="C71" s="13"/>
      <c r="D71" s="12" t="s">
        <v>2167</v>
      </c>
      <c r="E71" s="13">
        <f>SUM(F71:I71)</f>
        <v>56985.713619040005</v>
      </c>
      <c r="F71" s="13">
        <f>F41+F25+F10+F57+F87</f>
        <v>16315</v>
      </c>
      <c r="G71" s="13">
        <f>G41+G25+G10+G57+G87</f>
        <v>40670.713619040005</v>
      </c>
      <c r="H71" s="13">
        <f>H41+H25+H10+H57+H87</f>
        <v>0</v>
      </c>
      <c r="I71" s="13">
        <f>I41+I25+I10+I57+I87</f>
        <v>0</v>
      </c>
    </row>
    <row r="72" spans="1:9" ht="15.75" thickBot="1" x14ac:dyDescent="0.3">
      <c r="A72" s="433"/>
      <c r="B72" s="20" t="s">
        <v>49</v>
      </c>
      <c r="C72" s="4"/>
      <c r="D72" s="44"/>
      <c r="E72" s="9">
        <f>E71/E64</f>
        <v>0.24123693975201402</v>
      </c>
      <c r="F72" s="9">
        <f>F71/F64</f>
        <v>0.23338483105885047</v>
      </c>
      <c r="G72" s="9">
        <f t="shared" ref="G72" si="10">G71/G64</f>
        <v>0.24453732101372683</v>
      </c>
      <c r="H72" s="8"/>
      <c r="I72" s="23"/>
    </row>
    <row r="73" spans="1:9" ht="60" x14ac:dyDescent="0.25">
      <c r="A73" s="433"/>
      <c r="B73" s="24" t="s">
        <v>46</v>
      </c>
      <c r="C73" s="3"/>
      <c r="D73" s="12" t="s">
        <v>2140</v>
      </c>
      <c r="E73" s="4">
        <f>E71-E67</f>
        <v>48437.713619040005</v>
      </c>
      <c r="F73" s="13">
        <f>F43+F27+F12+F59+F89</f>
        <v>7768</v>
      </c>
      <c r="G73" s="142">
        <f>F73*G71/F71</f>
        <v>19364.394936727109</v>
      </c>
      <c r="H73" s="13">
        <f>H43+H27+H12+H59</f>
        <v>-1</v>
      </c>
      <c r="I73" s="15">
        <f>I43+I27+I12+I59</f>
        <v>0</v>
      </c>
    </row>
    <row r="74" spans="1:9" ht="30.75" thickBot="1" x14ac:dyDescent="0.3">
      <c r="A74" s="434"/>
      <c r="B74" s="43" t="s">
        <v>48</v>
      </c>
      <c r="C74" s="16"/>
      <c r="D74" s="46"/>
      <c r="E74" s="16"/>
      <c r="F74" s="17">
        <f>F73/F64</f>
        <v>0.11112064772694762</v>
      </c>
      <c r="G74" s="16"/>
      <c r="H74" s="16"/>
      <c r="I74" s="25"/>
    </row>
    <row r="78" spans="1:9" ht="15.75" thickBot="1" x14ac:dyDescent="0.3">
      <c r="A78" s="56"/>
      <c r="B78" s="87" t="s">
        <v>2174</v>
      </c>
      <c r="C78" s="96" t="s">
        <v>2190</v>
      </c>
      <c r="D78" s="88"/>
      <c r="E78" s="87"/>
      <c r="F78" s="89"/>
      <c r="G78" s="87"/>
      <c r="H78" s="87"/>
      <c r="I78" s="87"/>
    </row>
    <row r="79" spans="1:9" ht="15.75" thickBot="1" x14ac:dyDescent="0.3">
      <c r="A79" s="56"/>
      <c r="B79" s="56"/>
      <c r="C79" s="80" t="s">
        <v>23</v>
      </c>
      <c r="D79" s="81" t="s">
        <v>36</v>
      </c>
      <c r="E79" s="82" t="s">
        <v>21</v>
      </c>
      <c r="F79" s="82" t="s">
        <v>13</v>
      </c>
      <c r="G79" s="82" t="s">
        <v>14</v>
      </c>
      <c r="H79" s="82" t="s">
        <v>15</v>
      </c>
      <c r="I79" s="83" t="s">
        <v>29</v>
      </c>
    </row>
    <row r="80" spans="1:9" ht="15.75" thickBot="1" x14ac:dyDescent="0.3">
      <c r="A80" s="432" t="s">
        <v>2191</v>
      </c>
      <c r="B80" s="5" t="s">
        <v>2192</v>
      </c>
      <c r="C80" s="5" t="s">
        <v>24</v>
      </c>
      <c r="D80" s="48"/>
      <c r="E80" s="35">
        <f>SUM(F80:I80)</f>
        <v>171</v>
      </c>
      <c r="F80" s="37">
        <v>79</v>
      </c>
      <c r="G80" s="38">
        <v>92</v>
      </c>
      <c r="H80" s="38">
        <v>0</v>
      </c>
      <c r="I80" s="6">
        <v>0</v>
      </c>
    </row>
    <row r="81" spans="1:9" ht="30.75" thickBot="1" x14ac:dyDescent="0.3">
      <c r="A81" s="433"/>
      <c r="B81" s="30" t="s">
        <v>2193</v>
      </c>
      <c r="C81" s="31" t="s">
        <v>33</v>
      </c>
      <c r="D81" s="32" t="s">
        <v>2197</v>
      </c>
      <c r="E81" s="33">
        <f>SUM(F81:I81)</f>
        <v>15.151898734177216</v>
      </c>
      <c r="F81" s="33">
        <v>7</v>
      </c>
      <c r="G81" s="245">
        <f>MAX(F81*G80/F80,G80*'Details-GLOBAL-202301-202303'!H81/'Details-GLOBAL-202301-202303'!H80)</f>
        <v>8.151898734177216</v>
      </c>
      <c r="H81" s="33">
        <v>0</v>
      </c>
      <c r="I81" s="34"/>
    </row>
    <row r="82" spans="1:9" ht="15.75" thickBot="1" x14ac:dyDescent="0.3">
      <c r="A82" s="433"/>
      <c r="B82" s="66"/>
      <c r="C82" s="66"/>
      <c r="D82" s="67"/>
      <c r="E82" s="68"/>
      <c r="F82" s="68"/>
      <c r="G82" s="68"/>
      <c r="H82" s="68"/>
      <c r="I82" s="70"/>
    </row>
    <row r="83" spans="1:9" ht="30" x14ac:dyDescent="0.25">
      <c r="A83" s="433"/>
      <c r="B83" s="41" t="s">
        <v>2194</v>
      </c>
      <c r="C83" s="11" t="s">
        <v>33</v>
      </c>
      <c r="D83" s="12" t="s">
        <v>2198</v>
      </c>
      <c r="E83" s="13">
        <f>SUM(F83:H83)</f>
        <v>2</v>
      </c>
      <c r="F83" s="100">
        <v>2</v>
      </c>
      <c r="G83" s="36" t="s">
        <v>8</v>
      </c>
      <c r="H83" s="14">
        <v>0</v>
      </c>
      <c r="I83" s="15"/>
    </row>
    <row r="84" spans="1:9" ht="45" x14ac:dyDescent="0.25">
      <c r="A84" s="433"/>
      <c r="B84" s="42" t="s">
        <v>2195</v>
      </c>
      <c r="C84" s="3"/>
      <c r="D84" s="7" t="s">
        <v>2199</v>
      </c>
      <c r="E84" s="8"/>
      <c r="F84" s="9">
        <f t="shared" ref="F84" si="11">F83/F81</f>
        <v>0.2857142857142857</v>
      </c>
      <c r="G84" s="8"/>
      <c r="H84" s="8" t="e">
        <f t="shared" ref="H84" si="12">H83/H81</f>
        <v>#DIV/0!</v>
      </c>
      <c r="I84" s="21"/>
    </row>
    <row r="85" spans="1:9" ht="30.75" thickBot="1" x14ac:dyDescent="0.3">
      <c r="A85" s="433"/>
      <c r="B85" s="43" t="s">
        <v>2196</v>
      </c>
      <c r="C85" s="18"/>
      <c r="D85" s="49"/>
      <c r="E85" s="18"/>
      <c r="F85" s="92">
        <f>F83/F80</f>
        <v>2.5316455696202531E-2</v>
      </c>
      <c r="G85" s="18"/>
      <c r="H85" s="18"/>
      <c r="I85" s="19"/>
    </row>
    <row r="86" spans="1:9" ht="15.75" thickBot="1" x14ac:dyDescent="0.3">
      <c r="A86" s="433"/>
      <c r="B86" s="66"/>
      <c r="C86" s="66"/>
      <c r="D86" s="67"/>
      <c r="E86" s="68"/>
      <c r="F86" s="68"/>
      <c r="G86" s="68"/>
      <c r="H86" s="68"/>
      <c r="I86" s="70"/>
    </row>
    <row r="87" spans="1:9" ht="45" x14ac:dyDescent="0.25">
      <c r="A87" s="433"/>
      <c r="B87" s="10" t="s">
        <v>44</v>
      </c>
      <c r="C87" s="13"/>
      <c r="D87" s="12" t="s">
        <v>2200</v>
      </c>
      <c r="E87" s="13">
        <f>SUM(F87:I87)</f>
        <v>15.151898734177216</v>
      </c>
      <c r="F87" s="13">
        <f>F81</f>
        <v>7</v>
      </c>
      <c r="G87" s="13">
        <f t="shared" ref="G87:I87" si="13">G81</f>
        <v>8.151898734177216</v>
      </c>
      <c r="H87" s="13">
        <f t="shared" si="13"/>
        <v>0</v>
      </c>
      <c r="I87" s="13">
        <f t="shared" si="13"/>
        <v>0</v>
      </c>
    </row>
    <row r="88" spans="1:9" ht="15.75" thickBot="1" x14ac:dyDescent="0.3">
      <c r="A88" s="433"/>
      <c r="B88" s="20" t="s">
        <v>49</v>
      </c>
      <c r="C88" s="4"/>
      <c r="D88" s="44"/>
      <c r="E88" s="9">
        <f>E87/E80</f>
        <v>8.8607594936708861E-2</v>
      </c>
      <c r="F88" s="9">
        <f>F87/F80</f>
        <v>8.8607594936708861E-2</v>
      </c>
      <c r="G88" s="9">
        <f t="shared" ref="G88:H88" si="14">G87/G80</f>
        <v>8.8607594936708875E-2</v>
      </c>
      <c r="H88" s="8" t="e">
        <f t="shared" si="14"/>
        <v>#DIV/0!</v>
      </c>
      <c r="I88" s="8"/>
    </row>
    <row r="89" spans="1:9" ht="60" x14ac:dyDescent="0.25">
      <c r="A89" s="433"/>
      <c r="B89" s="24" t="s">
        <v>46</v>
      </c>
      <c r="C89" s="3"/>
      <c r="D89" s="12" t="s">
        <v>2201</v>
      </c>
      <c r="E89" s="93">
        <f>E87-E83</f>
        <v>13.151898734177216</v>
      </c>
      <c r="F89" s="4">
        <f>F87-F83</f>
        <v>5</v>
      </c>
      <c r="G89" s="142">
        <f>F89*G87/F87</f>
        <v>5.8227848101265831</v>
      </c>
      <c r="H89" s="4">
        <f t="shared" ref="H89:I89" si="15">H87-H83</f>
        <v>0</v>
      </c>
      <c r="I89" s="4">
        <f t="shared" si="15"/>
        <v>0</v>
      </c>
    </row>
    <row r="90" spans="1:9" ht="30.75" thickBot="1" x14ac:dyDescent="0.3">
      <c r="A90" s="434"/>
      <c r="B90" s="43" t="s">
        <v>48</v>
      </c>
      <c r="C90" s="16"/>
      <c r="D90" s="46"/>
      <c r="E90" s="16"/>
      <c r="F90" s="17">
        <f>F89/F80</f>
        <v>6.3291139240506333E-2</v>
      </c>
      <c r="G90" s="16"/>
      <c r="H90" s="16"/>
      <c r="I90" s="25"/>
    </row>
    <row r="92" spans="1:9" ht="15.75" thickBot="1" x14ac:dyDescent="0.3"/>
    <row r="93" spans="1:9" ht="15.75" thickBot="1" x14ac:dyDescent="0.3">
      <c r="A93" s="435" t="s">
        <v>2224</v>
      </c>
      <c r="B93" t="s">
        <v>16</v>
      </c>
      <c r="C93" s="80" t="s">
        <v>23</v>
      </c>
      <c r="D93" s="81" t="s">
        <v>36</v>
      </c>
      <c r="E93" s="82" t="s">
        <v>21</v>
      </c>
      <c r="F93" s="82" t="s">
        <v>13</v>
      </c>
      <c r="G93" s="82" t="s">
        <v>14</v>
      </c>
      <c r="H93" s="82" t="s">
        <v>15</v>
      </c>
      <c r="I93" s="83" t="s">
        <v>29</v>
      </c>
    </row>
    <row r="94" spans="1:9" ht="39.75" customHeight="1" x14ac:dyDescent="0.25">
      <c r="A94" s="436"/>
      <c r="B94" s="87" t="s">
        <v>2174</v>
      </c>
      <c r="C94" s="409" t="s">
        <v>2248</v>
      </c>
      <c r="D94" s="409"/>
      <c r="E94" s="409"/>
      <c r="F94" s="409"/>
      <c r="G94" s="409"/>
      <c r="H94" s="409"/>
      <c r="I94" s="409"/>
    </row>
    <row r="95" spans="1:9" x14ac:dyDescent="0.25">
      <c r="A95" s="436"/>
      <c r="B95" s="65" t="s">
        <v>2225</v>
      </c>
      <c r="C95" s="3" t="s">
        <v>33</v>
      </c>
      <c r="D95" s="104"/>
      <c r="E95" s="4">
        <v>65804</v>
      </c>
      <c r="F95" s="4"/>
      <c r="G95" s="4"/>
      <c r="H95" s="4"/>
      <c r="I95" s="4"/>
    </row>
    <row r="96" spans="1:9" x14ac:dyDescent="0.25">
      <c r="A96" s="436"/>
      <c r="B96" s="65" t="s">
        <v>2223</v>
      </c>
      <c r="C96" s="3" t="s">
        <v>33</v>
      </c>
      <c r="D96" s="104"/>
      <c r="E96" s="4">
        <f>SUM(F96:I96)</f>
        <v>16539</v>
      </c>
      <c r="F96" s="4">
        <v>5259</v>
      </c>
      <c r="G96" s="4">
        <v>11244</v>
      </c>
      <c r="H96" s="4">
        <v>1</v>
      </c>
      <c r="I96" s="4">
        <v>35</v>
      </c>
    </row>
    <row r="97" spans="1:10" x14ac:dyDescent="0.25">
      <c r="A97" s="436"/>
      <c r="B97" s="65" t="s">
        <v>2226</v>
      </c>
      <c r="C97" s="3"/>
      <c r="D97" s="104"/>
      <c r="E97" s="93">
        <f>E95-E96</f>
        <v>49265</v>
      </c>
      <c r="F97" s="4"/>
      <c r="G97" s="4"/>
      <c r="H97" s="4"/>
      <c r="I97" s="4"/>
    </row>
    <row r="98" spans="1:10" ht="15.75" thickBot="1" x14ac:dyDescent="0.3">
      <c r="A98" s="437"/>
      <c r="B98" s="65" t="s">
        <v>2279</v>
      </c>
      <c r="C98" s="3"/>
      <c r="D98" s="44"/>
      <c r="E98" s="143">
        <f>SUM(F98:I98)</f>
        <v>49265</v>
      </c>
      <c r="F98" s="4">
        <v>13254</v>
      </c>
      <c r="G98" s="4">
        <v>35165</v>
      </c>
      <c r="H98" s="4">
        <v>8</v>
      </c>
      <c r="I98" s="4">
        <v>838</v>
      </c>
    </row>
    <row r="99" spans="1:10" ht="15.75" thickBot="1" x14ac:dyDescent="0.3"/>
    <row r="100" spans="1:10" x14ac:dyDescent="0.25">
      <c r="C100" s="105" t="s">
        <v>23</v>
      </c>
      <c r="D100" s="106" t="s">
        <v>36</v>
      </c>
      <c r="E100" s="107" t="s">
        <v>21</v>
      </c>
      <c r="F100" s="107" t="s">
        <v>13</v>
      </c>
      <c r="G100" s="107" t="s">
        <v>14</v>
      </c>
      <c r="H100" s="107" t="s">
        <v>15</v>
      </c>
      <c r="I100" s="108" t="s">
        <v>29</v>
      </c>
    </row>
    <row r="101" spans="1:10" x14ac:dyDescent="0.25">
      <c r="B101" s="109" t="s">
        <v>2229</v>
      </c>
      <c r="C101" s="109" t="s">
        <v>2228</v>
      </c>
      <c r="D101" s="110"/>
      <c r="E101" s="109"/>
      <c r="F101" s="109"/>
      <c r="G101" s="109"/>
      <c r="H101" s="109"/>
      <c r="I101" s="109"/>
    </row>
    <row r="102" spans="1:10" x14ac:dyDescent="0.25">
      <c r="B102" s="3" t="s">
        <v>2227</v>
      </c>
      <c r="C102" s="3" t="s">
        <v>33</v>
      </c>
      <c r="D102" s="44"/>
      <c r="E102" s="111">
        <f>SUM(F102:I102)</f>
        <v>145294</v>
      </c>
      <c r="F102" s="4">
        <v>94674</v>
      </c>
      <c r="G102" s="4">
        <v>48456</v>
      </c>
      <c r="H102" s="4">
        <v>9</v>
      </c>
      <c r="I102" s="4">
        <v>2155</v>
      </c>
    </row>
    <row r="103" spans="1:10" x14ac:dyDescent="0.25">
      <c r="B103" s="3"/>
      <c r="C103" s="3"/>
      <c r="D103" s="44"/>
      <c r="E103" s="3"/>
      <c r="F103" s="3"/>
      <c r="G103" s="3"/>
      <c r="H103" s="3"/>
      <c r="I103" s="3"/>
    </row>
    <row r="104" spans="1:10" x14ac:dyDescent="0.25">
      <c r="B104" s="112" t="s">
        <v>2230</v>
      </c>
      <c r="C104" s="84" t="s">
        <v>2232</v>
      </c>
      <c r="D104" s="113"/>
      <c r="E104" s="112"/>
      <c r="F104" s="112"/>
      <c r="G104" s="112"/>
      <c r="H104" s="112"/>
      <c r="I104" s="112"/>
    </row>
    <row r="105" spans="1:10" x14ac:dyDescent="0.25">
      <c r="B105" s="3" t="s">
        <v>2233</v>
      </c>
      <c r="C105" s="249" t="s">
        <v>2366</v>
      </c>
      <c r="D105" s="44" t="s">
        <v>2231</v>
      </c>
      <c r="E105" s="4">
        <f>SUM(F105:H105)</f>
        <v>81884</v>
      </c>
      <c r="F105" s="4">
        <v>50185</v>
      </c>
      <c r="G105" s="4">
        <v>31699</v>
      </c>
      <c r="H105" s="4">
        <v>0</v>
      </c>
      <c r="I105" s="4">
        <v>1507</v>
      </c>
      <c r="J105" s="144">
        <f>E105/E102</f>
        <v>0.56357454540449026</v>
      </c>
    </row>
    <row r="106" spans="1:10" ht="15.75" thickBot="1" x14ac:dyDescent="0.3"/>
    <row r="107" spans="1:10" ht="15.75" thickBot="1" x14ac:dyDescent="0.3">
      <c r="B107" s="112" t="s">
        <v>2234</v>
      </c>
      <c r="C107" s="114" t="s">
        <v>2238</v>
      </c>
      <c r="D107" s="113"/>
      <c r="E107" s="82" t="s">
        <v>21</v>
      </c>
      <c r="F107" s="82" t="s">
        <v>13</v>
      </c>
      <c r="G107" s="82" t="s">
        <v>14</v>
      </c>
      <c r="H107" s="82" t="s">
        <v>15</v>
      </c>
      <c r="I107" s="83" t="s">
        <v>29</v>
      </c>
    </row>
    <row r="108" spans="1:10" x14ac:dyDescent="0.25">
      <c r="B108" s="146" t="s">
        <v>2235</v>
      </c>
      <c r="C108" s="3" t="s">
        <v>33</v>
      </c>
      <c r="D108" s="44"/>
      <c r="E108" s="4">
        <f>SUM(F108:H108)</f>
        <v>16353</v>
      </c>
      <c r="F108" s="4">
        <v>4488</v>
      </c>
      <c r="G108" s="4">
        <v>11864</v>
      </c>
      <c r="H108" s="4">
        <v>1</v>
      </c>
      <c r="I108" s="4"/>
    </row>
    <row r="109" spans="1:10" x14ac:dyDescent="0.25">
      <c r="B109" s="146" t="s">
        <v>2236</v>
      </c>
      <c r="C109" s="3" t="s">
        <v>33</v>
      </c>
      <c r="D109" s="44"/>
      <c r="E109" s="4">
        <f>SUM(F109:H109)</f>
        <v>52330</v>
      </c>
      <c r="F109" s="4">
        <v>18050</v>
      </c>
      <c r="G109" s="4">
        <v>34279</v>
      </c>
      <c r="H109" s="4">
        <v>1</v>
      </c>
      <c r="I109" s="4"/>
    </row>
    <row r="110" spans="1:10" x14ac:dyDescent="0.25">
      <c r="B110" s="146" t="s">
        <v>2237</v>
      </c>
      <c r="C110" s="3" t="s">
        <v>33</v>
      </c>
      <c r="D110" s="44"/>
      <c r="E110" s="4">
        <f>SUM(E108:E109)</f>
        <v>68683</v>
      </c>
      <c r="F110" s="4">
        <f>SUM(F108:F109)</f>
        <v>22538</v>
      </c>
      <c r="G110" s="4">
        <f t="shared" ref="G110:I110" si="16">SUM(G108:G109)</f>
        <v>46143</v>
      </c>
      <c r="H110" s="4">
        <f t="shared" si="16"/>
        <v>2</v>
      </c>
      <c r="I110" s="4">
        <f t="shared" si="16"/>
        <v>0</v>
      </c>
    </row>
    <row r="114" spans="2:9" ht="15.75" thickBot="1" x14ac:dyDescent="0.3"/>
    <row r="115" spans="2:9" ht="15.75" thickBot="1" x14ac:dyDescent="0.3">
      <c r="B115" s="10"/>
      <c r="C115" s="80" t="s">
        <v>23</v>
      </c>
      <c r="D115" s="81" t="s">
        <v>36</v>
      </c>
      <c r="E115" s="82" t="s">
        <v>21</v>
      </c>
      <c r="F115" s="82" t="s">
        <v>2182</v>
      </c>
      <c r="G115" s="82" t="s">
        <v>2181</v>
      </c>
      <c r="H115" s="82" t="s">
        <v>2180</v>
      </c>
      <c r="I115" s="83" t="s">
        <v>2179</v>
      </c>
    </row>
    <row r="116" spans="2:9" x14ac:dyDescent="0.25">
      <c r="B116" s="24" t="s">
        <v>2212</v>
      </c>
      <c r="C116" s="3" t="s">
        <v>31</v>
      </c>
      <c r="D116" s="44"/>
      <c r="E116" s="4">
        <f t="shared" ref="E116:E124" si="17">SUM(F116:I116)</f>
        <v>517753</v>
      </c>
      <c r="F116" s="4">
        <v>117727</v>
      </c>
      <c r="G116" s="4">
        <v>400026</v>
      </c>
      <c r="H116" s="157" t="s">
        <v>8</v>
      </c>
      <c r="I116" s="26"/>
    </row>
    <row r="117" spans="2:9" x14ac:dyDescent="0.25">
      <c r="B117" s="24" t="s">
        <v>2215</v>
      </c>
      <c r="C117" s="3" t="s">
        <v>31</v>
      </c>
      <c r="D117" s="44"/>
      <c r="E117" s="4">
        <f t="shared" si="17"/>
        <v>67460</v>
      </c>
      <c r="F117" s="4">
        <f>14718+6615</f>
        <v>21333</v>
      </c>
      <c r="G117" s="4">
        <f>37783+8344</f>
        <v>46127</v>
      </c>
      <c r="H117" s="157" t="s">
        <v>8</v>
      </c>
      <c r="I117" s="26"/>
    </row>
    <row r="118" spans="2:9" x14ac:dyDescent="0.25">
      <c r="B118" s="24" t="s">
        <v>2213</v>
      </c>
      <c r="C118" s="3" t="s">
        <v>22</v>
      </c>
      <c r="D118" s="44" t="s">
        <v>2203</v>
      </c>
      <c r="E118" s="4">
        <f>SUM(F118:I118)</f>
        <v>26258</v>
      </c>
      <c r="F118" s="4">
        <f>F119</f>
        <v>9316</v>
      </c>
      <c r="G118" s="4">
        <f>11406+5536</f>
        <v>16942</v>
      </c>
      <c r="H118" s="157" t="s">
        <v>8</v>
      </c>
      <c r="I118" s="95"/>
    </row>
    <row r="119" spans="2:9" x14ac:dyDescent="0.25">
      <c r="B119" s="24" t="s">
        <v>2214</v>
      </c>
      <c r="C119" s="3" t="s">
        <v>22</v>
      </c>
      <c r="D119" s="44" t="s">
        <v>2202</v>
      </c>
      <c r="E119" s="4">
        <f>SUM(F119:I119)</f>
        <v>19304</v>
      </c>
      <c r="F119" s="4">
        <f>8388+928</f>
        <v>9316</v>
      </c>
      <c r="G119" s="4">
        <f>6819+3169</f>
        <v>9988</v>
      </c>
      <c r="H119" s="157" t="s">
        <v>8</v>
      </c>
      <c r="I119" s="21"/>
    </row>
    <row r="120" spans="2:9" x14ac:dyDescent="0.25">
      <c r="B120" s="24" t="s">
        <v>2280</v>
      </c>
      <c r="C120" s="3" t="s">
        <v>22</v>
      </c>
      <c r="D120" s="44"/>
      <c r="E120" s="4">
        <f t="shared" ref="E120:E121" si="18">SUM(F120:I120)</f>
        <v>450291</v>
      </c>
      <c r="F120" s="4">
        <v>96394</v>
      </c>
      <c r="G120" s="4">
        <f>242132+111765</f>
        <v>353897</v>
      </c>
      <c r="H120" s="157" t="s">
        <v>8</v>
      </c>
      <c r="I120" s="21"/>
    </row>
    <row r="121" spans="2:9" x14ac:dyDescent="0.25">
      <c r="B121" s="24" t="s">
        <v>2281</v>
      </c>
      <c r="C121" s="3" t="s">
        <v>22</v>
      </c>
      <c r="D121" s="44"/>
      <c r="E121" s="4">
        <f t="shared" si="18"/>
        <v>70339</v>
      </c>
      <c r="F121" s="4">
        <v>25289</v>
      </c>
      <c r="G121" s="4">
        <f>38231+6819</f>
        <v>45050</v>
      </c>
      <c r="H121" s="157" t="s">
        <v>8</v>
      </c>
      <c r="I121" s="21"/>
    </row>
    <row r="122" spans="2:9" x14ac:dyDescent="0.25">
      <c r="B122" s="24" t="s">
        <v>26</v>
      </c>
      <c r="C122" s="3" t="s">
        <v>55</v>
      </c>
      <c r="D122" s="44" t="s">
        <v>25</v>
      </c>
      <c r="E122" s="4">
        <f>SUM(F122:I122)</f>
        <v>0</v>
      </c>
      <c r="F122" s="4"/>
      <c r="G122" s="4"/>
      <c r="H122" s="4"/>
      <c r="I122" s="26"/>
    </row>
    <row r="123" spans="2:9" ht="30" x14ac:dyDescent="0.25">
      <c r="B123" s="24" t="s">
        <v>27</v>
      </c>
      <c r="C123" s="3" t="s">
        <v>32</v>
      </c>
      <c r="D123" s="44" t="s">
        <v>35</v>
      </c>
      <c r="E123" s="4">
        <f t="shared" si="17"/>
        <v>88041</v>
      </c>
      <c r="F123" s="4">
        <v>34605</v>
      </c>
      <c r="G123" s="4">
        <f>38231+6819+5217+3169</f>
        <v>53436</v>
      </c>
      <c r="H123" s="157" t="s">
        <v>8</v>
      </c>
      <c r="I123" s="21"/>
    </row>
    <row r="124" spans="2:9" ht="45" x14ac:dyDescent="0.25">
      <c r="B124" s="24" t="s">
        <v>27</v>
      </c>
      <c r="C124" s="3" t="s">
        <v>28</v>
      </c>
      <c r="D124" s="45" t="s">
        <v>2239</v>
      </c>
      <c r="E124" s="4">
        <f t="shared" si="17"/>
        <v>95002</v>
      </c>
      <c r="F124" s="39">
        <v>41590</v>
      </c>
      <c r="G124" s="4">
        <v>53412</v>
      </c>
      <c r="H124" s="157" t="s">
        <v>8</v>
      </c>
      <c r="I124" s="21"/>
    </row>
    <row r="126" spans="2:9" ht="15.75" thickBot="1" x14ac:dyDescent="0.3">
      <c r="B126" s="79" t="s">
        <v>38</v>
      </c>
      <c r="C126" s="16" t="s">
        <v>33</v>
      </c>
      <c r="D126" s="46" t="s">
        <v>39</v>
      </c>
      <c r="E126" s="18"/>
      <c r="F126" s="18"/>
      <c r="G126" s="18"/>
      <c r="H126" s="18"/>
      <c r="I126" s="19"/>
    </row>
    <row r="127" spans="2:9" ht="15.75" thickBot="1" x14ac:dyDescent="0.3"/>
    <row r="128" spans="2:9" x14ac:dyDescent="0.25">
      <c r="B128" s="122" t="s">
        <v>2263</v>
      </c>
      <c r="C128" s="3"/>
      <c r="D128" s="44"/>
      <c r="E128" s="107" t="s">
        <v>21</v>
      </c>
      <c r="F128" s="107" t="s">
        <v>2182</v>
      </c>
      <c r="G128" s="107" t="s">
        <v>2181</v>
      </c>
      <c r="H128" s="107" t="s">
        <v>2180</v>
      </c>
      <c r="I128" s="108" t="s">
        <v>2179</v>
      </c>
    </row>
    <row r="129" spans="2:9" x14ac:dyDescent="0.25">
      <c r="B129" s="123" t="s">
        <v>2260</v>
      </c>
      <c r="C129" s="3" t="s">
        <v>22</v>
      </c>
      <c r="D129" s="44" t="s">
        <v>2261</v>
      </c>
      <c r="E129" s="4">
        <f>E117</f>
        <v>67460</v>
      </c>
      <c r="F129" s="4">
        <f>F117</f>
        <v>21333</v>
      </c>
      <c r="G129" s="4">
        <f>G117</f>
        <v>46127</v>
      </c>
      <c r="H129" s="4" t="str">
        <f>H117</f>
        <v>N/A</v>
      </c>
      <c r="I129" s="4">
        <f>I117</f>
        <v>0</v>
      </c>
    </row>
    <row r="130" spans="2:9" x14ac:dyDescent="0.25">
      <c r="B130" s="123" t="s">
        <v>2262</v>
      </c>
      <c r="C130" s="3" t="s">
        <v>33</v>
      </c>
      <c r="D130" s="44"/>
      <c r="E130" s="4">
        <f>SUM(F130:I130)</f>
        <v>11270</v>
      </c>
      <c r="F130" s="4">
        <f>F18+F34+F50</f>
        <v>6034</v>
      </c>
      <c r="G130" s="4">
        <f>G18+G34+G50</f>
        <v>5236</v>
      </c>
      <c r="H130" s="4">
        <f>H18+H34+H50</f>
        <v>0</v>
      </c>
      <c r="I130" s="4">
        <f>I18+I34+I50</f>
        <v>0</v>
      </c>
    </row>
    <row r="131" spans="2:9" x14ac:dyDescent="0.25">
      <c r="B131" s="124" t="s">
        <v>2267</v>
      </c>
      <c r="C131" s="3" t="s">
        <v>33</v>
      </c>
      <c r="D131" s="44"/>
      <c r="E131" s="4">
        <f>SUM(F131:I131)</f>
        <v>224953</v>
      </c>
      <c r="F131" s="4">
        <f>F3+F80</f>
        <v>63872</v>
      </c>
      <c r="G131" s="4">
        <f>G3+G80</f>
        <v>161081</v>
      </c>
      <c r="H131" s="4">
        <f>H3+H80</f>
        <v>0</v>
      </c>
      <c r="I131" s="4">
        <f>I3+I80</f>
        <v>0</v>
      </c>
    </row>
    <row r="133" spans="2:9" x14ac:dyDescent="0.25">
      <c r="B133" s="122" t="s">
        <v>2264</v>
      </c>
      <c r="C133" s="3" t="s">
        <v>2261</v>
      </c>
      <c r="D133" s="44"/>
      <c r="E133" s="4">
        <f>IF(SUM(E129:E131)&gt;E116,E116,SUM(E129:E131))</f>
        <v>303683</v>
      </c>
      <c r="F133" s="4">
        <f t="shared" ref="F133:I133" si="19">IF(SUM(F129:F131)&gt;F116,F116,SUM(F129:F131))</f>
        <v>91239</v>
      </c>
      <c r="G133" s="4">
        <f t="shared" si="19"/>
        <v>212444</v>
      </c>
      <c r="H133" s="4">
        <f t="shared" si="19"/>
        <v>0</v>
      </c>
      <c r="I133" s="4">
        <f t="shared" si="19"/>
        <v>0</v>
      </c>
    </row>
    <row r="134" spans="2:9" ht="15.75" thickBot="1" x14ac:dyDescent="0.3"/>
    <row r="135" spans="2:9" x14ac:dyDescent="0.25">
      <c r="B135" s="122" t="s">
        <v>2265</v>
      </c>
      <c r="C135" s="3"/>
      <c r="D135" s="3"/>
      <c r="E135" s="107" t="s">
        <v>21</v>
      </c>
      <c r="F135" s="107" t="s">
        <v>2182</v>
      </c>
      <c r="G135" s="107" t="s">
        <v>2181</v>
      </c>
      <c r="H135" s="107" t="s">
        <v>2180</v>
      </c>
      <c r="I135" s="108" t="s">
        <v>2179</v>
      </c>
    </row>
    <row r="136" spans="2:9" x14ac:dyDescent="0.25">
      <c r="B136" s="124" t="s">
        <v>2282</v>
      </c>
      <c r="C136" s="3" t="s">
        <v>2283</v>
      </c>
      <c r="D136" s="3"/>
      <c r="E136" s="4">
        <f>E133-E142</f>
        <v>215642</v>
      </c>
      <c r="F136" s="4">
        <f t="shared" ref="F136" si="20">F133-F142</f>
        <v>56634</v>
      </c>
      <c r="G136" s="4">
        <f>G133-G142</f>
        <v>159008</v>
      </c>
      <c r="H136" s="4" t="e">
        <f t="shared" ref="H136:I136" si="21">H133-H142</f>
        <v>#VALUE!</v>
      </c>
      <c r="I136" s="4">
        <f t="shared" si="21"/>
        <v>0</v>
      </c>
    </row>
    <row r="137" spans="2:9" ht="15.75" thickBot="1" x14ac:dyDescent="0.3">
      <c r="D137"/>
      <c r="E137" s="147"/>
      <c r="F137" s="147"/>
      <c r="G137" s="147"/>
    </row>
    <row r="138" spans="2:9" x14ac:dyDescent="0.25">
      <c r="B138" s="419" t="s">
        <v>2240</v>
      </c>
      <c r="C138" s="3"/>
      <c r="D138" s="3"/>
      <c r="E138" s="107" t="s">
        <v>2241</v>
      </c>
      <c r="F138" s="107" t="s">
        <v>2182</v>
      </c>
      <c r="G138" s="107" t="s">
        <v>2181</v>
      </c>
    </row>
    <row r="139" spans="2:9" ht="15.75" thickBot="1" x14ac:dyDescent="0.3">
      <c r="B139" s="419"/>
      <c r="C139" s="249" t="s">
        <v>2365</v>
      </c>
      <c r="D139" s="44"/>
      <c r="E139" s="127">
        <f>SUM(F139:G139)</f>
        <v>61527</v>
      </c>
      <c r="F139" s="4">
        <v>16865</v>
      </c>
      <c r="G139" s="4">
        <v>44662</v>
      </c>
    </row>
    <row r="140" spans="2:9" x14ac:dyDescent="0.25">
      <c r="B140" s="419"/>
      <c r="C140" s="3"/>
      <c r="D140" s="44"/>
      <c r="E140" s="107" t="s">
        <v>21</v>
      </c>
      <c r="F140" s="107" t="s">
        <v>2182</v>
      </c>
      <c r="G140" s="107" t="s">
        <v>2181</v>
      </c>
      <c r="H140" s="107" t="s">
        <v>2180</v>
      </c>
      <c r="I140" s="108" t="s">
        <v>2179</v>
      </c>
    </row>
    <row r="141" spans="2:9" x14ac:dyDescent="0.25">
      <c r="B141" s="420"/>
      <c r="C141" s="3"/>
      <c r="D141" s="44"/>
      <c r="E141" s="127">
        <f>E102</f>
        <v>145294</v>
      </c>
      <c r="F141" s="4">
        <f t="shared" ref="F141:I141" si="22">F102</f>
        <v>94674</v>
      </c>
      <c r="G141" s="4">
        <f t="shared" si="22"/>
        <v>48456</v>
      </c>
      <c r="H141" s="4">
        <f t="shared" si="22"/>
        <v>9</v>
      </c>
      <c r="I141" s="4">
        <f t="shared" si="22"/>
        <v>2155</v>
      </c>
    </row>
    <row r="142" spans="2:9" x14ac:dyDescent="0.25">
      <c r="B142" t="s">
        <v>2250</v>
      </c>
      <c r="C142" s="124" t="s">
        <v>2268</v>
      </c>
      <c r="D142" s="44"/>
      <c r="E142" s="4">
        <f>E123</f>
        <v>88041</v>
      </c>
      <c r="F142" s="4">
        <f t="shared" ref="F142" si="23">F123</f>
        <v>34605</v>
      </c>
      <c r="G142" s="4">
        <f>G123</f>
        <v>53436</v>
      </c>
      <c r="H142" s="153" t="str">
        <f t="shared" ref="H142:I142" si="24">H123</f>
        <v>N/A</v>
      </c>
      <c r="I142" s="4">
        <f t="shared" si="24"/>
        <v>0</v>
      </c>
    </row>
    <row r="143" spans="2:9" x14ac:dyDescent="0.25">
      <c r="B143" s="124" t="s">
        <v>2242</v>
      </c>
      <c r="C143" s="3"/>
      <c r="D143" s="44"/>
      <c r="E143" s="129">
        <f>E110</f>
        <v>68683</v>
      </c>
      <c r="F143" s="4">
        <f>F110</f>
        <v>22538</v>
      </c>
      <c r="G143" s="4">
        <f t="shared" ref="G143:H143" si="25">G110</f>
        <v>46143</v>
      </c>
      <c r="H143" s="4">
        <f t="shared" si="25"/>
        <v>2</v>
      </c>
      <c r="I143" s="4">
        <f>I110</f>
        <v>0</v>
      </c>
    </row>
    <row r="144" spans="2:9" ht="15.75" thickBot="1" x14ac:dyDescent="0.3">
      <c r="E144" s="1"/>
      <c r="F144" s="1"/>
      <c r="G144" s="1"/>
    </row>
    <row r="145" spans="2:12" x14ac:dyDescent="0.25">
      <c r="E145" s="107" t="s">
        <v>21</v>
      </c>
      <c r="F145" s="107" t="s">
        <v>2182</v>
      </c>
      <c r="G145" s="107" t="s">
        <v>2181</v>
      </c>
      <c r="H145" s="107" t="s">
        <v>2180</v>
      </c>
      <c r="I145" s="108" t="s">
        <v>2179</v>
      </c>
    </row>
    <row r="146" spans="2:12" ht="30" x14ac:dyDescent="0.25">
      <c r="B146" s="24" t="s">
        <v>27</v>
      </c>
      <c r="C146" s="124" t="s">
        <v>32</v>
      </c>
      <c r="D146" s="44" t="s">
        <v>35</v>
      </c>
      <c r="E146" s="4">
        <f>SUM(F146:I146)</f>
        <v>88041</v>
      </c>
      <c r="F146" s="4">
        <f>F123</f>
        <v>34605</v>
      </c>
      <c r="G146" s="4">
        <f>G123</f>
        <v>53436</v>
      </c>
      <c r="H146" s="153" t="str">
        <f>H123</f>
        <v>N/A</v>
      </c>
      <c r="I146" s="4">
        <f>I123</f>
        <v>0</v>
      </c>
    </row>
    <row r="147" spans="2:12" x14ac:dyDescent="0.25">
      <c r="B147" s="125" t="s">
        <v>2214</v>
      </c>
      <c r="C147" s="3" t="s">
        <v>22</v>
      </c>
      <c r="D147" s="44" t="s">
        <v>2346</v>
      </c>
      <c r="E147" s="4">
        <f>SUM(F147:I147)</f>
        <v>26258</v>
      </c>
      <c r="F147" s="4">
        <f>F118</f>
        <v>9316</v>
      </c>
      <c r="G147" s="4">
        <f>G118</f>
        <v>16942</v>
      </c>
      <c r="H147" s="4"/>
      <c r="I147" s="21"/>
      <c r="L147" s="1"/>
    </row>
    <row r="148" spans="2:12" ht="15.75" thickBot="1" x14ac:dyDescent="0.3"/>
    <row r="149" spans="2:12" x14ac:dyDescent="0.25">
      <c r="B149" s="413" t="s">
        <v>2242</v>
      </c>
      <c r="C149" s="3"/>
      <c r="D149" s="44"/>
      <c r="E149" s="107" t="s">
        <v>21</v>
      </c>
      <c r="F149" s="107" t="s">
        <v>2182</v>
      </c>
      <c r="G149" s="107" t="s">
        <v>2181</v>
      </c>
      <c r="H149" s="107" t="s">
        <v>2180</v>
      </c>
      <c r="I149" s="108" t="s">
        <v>2179</v>
      </c>
    </row>
    <row r="150" spans="2:12" x14ac:dyDescent="0.25">
      <c r="B150" s="413"/>
      <c r="C150" s="3" t="s">
        <v>2243</v>
      </c>
      <c r="D150" s="44"/>
      <c r="E150" s="115">
        <f>SUM(F150:I150)</f>
        <v>7768</v>
      </c>
      <c r="F150" s="115">
        <f>F6</f>
        <v>7768</v>
      </c>
      <c r="G150" s="3"/>
      <c r="H150" s="115">
        <f>H6</f>
        <v>0</v>
      </c>
      <c r="I150" s="3"/>
    </row>
    <row r="151" spans="2:12" x14ac:dyDescent="0.25">
      <c r="B151" s="413"/>
      <c r="C151" s="3" t="s">
        <v>16</v>
      </c>
      <c r="D151" s="44"/>
      <c r="E151" s="115">
        <f t="shared" ref="E151:E155" si="26">SUM(F151:I151)</f>
        <v>16539</v>
      </c>
      <c r="F151" s="4">
        <f>F96</f>
        <v>5259</v>
      </c>
      <c r="G151" s="4">
        <f t="shared" ref="G151:I151" si="27">G96</f>
        <v>11244</v>
      </c>
      <c r="H151" s="4">
        <f t="shared" si="27"/>
        <v>1</v>
      </c>
      <c r="I151" s="4">
        <f t="shared" si="27"/>
        <v>35</v>
      </c>
    </row>
    <row r="152" spans="2:12" x14ac:dyDescent="0.25">
      <c r="B152" s="413"/>
      <c r="C152" s="3" t="s">
        <v>2245</v>
      </c>
      <c r="D152" s="414" t="s">
        <v>2244</v>
      </c>
      <c r="E152" s="115">
        <f t="shared" si="26"/>
        <v>1</v>
      </c>
      <c r="F152" s="115">
        <f>F37</f>
        <v>1</v>
      </c>
      <c r="G152" s="3"/>
      <c r="H152" s="115">
        <f>H37</f>
        <v>0</v>
      </c>
      <c r="I152" s="3"/>
    </row>
    <row r="153" spans="2:12" x14ac:dyDescent="0.25">
      <c r="B153" s="413"/>
      <c r="C153" s="3" t="s">
        <v>2246</v>
      </c>
      <c r="D153" s="415"/>
      <c r="E153" s="115">
        <f t="shared" si="26"/>
        <v>59</v>
      </c>
      <c r="F153" s="115">
        <f>F21</f>
        <v>59</v>
      </c>
      <c r="G153" s="3"/>
      <c r="H153" s="115">
        <f>H21</f>
        <v>0</v>
      </c>
      <c r="I153" s="3"/>
    </row>
    <row r="154" spans="2:12" x14ac:dyDescent="0.25">
      <c r="B154" s="413"/>
      <c r="C154" s="3" t="s">
        <v>2247</v>
      </c>
      <c r="D154" s="416"/>
      <c r="E154" s="115">
        <f t="shared" si="26"/>
        <v>718</v>
      </c>
      <c r="F154" s="115">
        <f>F53</f>
        <v>717</v>
      </c>
      <c r="G154" s="3"/>
      <c r="H154" s="115">
        <f>H53</f>
        <v>1</v>
      </c>
      <c r="I154" s="3"/>
    </row>
    <row r="155" spans="2:12" x14ac:dyDescent="0.25">
      <c r="B155" s="413"/>
      <c r="C155" s="3" t="s">
        <v>2255</v>
      </c>
      <c r="D155" s="44"/>
      <c r="E155" s="115">
        <f t="shared" si="26"/>
        <v>2</v>
      </c>
      <c r="F155" s="115">
        <f>F83</f>
        <v>2</v>
      </c>
      <c r="G155" s="3"/>
      <c r="H155" s="115">
        <f>H83</f>
        <v>0</v>
      </c>
      <c r="I155" s="3"/>
    </row>
    <row r="156" spans="2:12" x14ac:dyDescent="0.25">
      <c r="D156" s="120" t="s">
        <v>2269</v>
      </c>
      <c r="E156" s="117">
        <f>SUM(F156:I156)</f>
        <v>25087</v>
      </c>
      <c r="F156" s="117">
        <f>SUM(F150:F155)</f>
        <v>13806</v>
      </c>
      <c r="G156" s="117">
        <f>SUM(G150:G155)</f>
        <v>11244</v>
      </c>
      <c r="H156" s="117">
        <f t="shared" ref="H156:I156" si="28">SUM(H150:H155)</f>
        <v>2</v>
      </c>
      <c r="I156" s="117">
        <f t="shared" si="28"/>
        <v>35</v>
      </c>
    </row>
    <row r="157" spans="2:12" x14ac:dyDescent="0.25">
      <c r="E157" s="116"/>
    </row>
    <row r="158" spans="2:12" x14ac:dyDescent="0.25">
      <c r="D158" s="3" t="s">
        <v>2249</v>
      </c>
      <c r="E158" s="129">
        <f>E110</f>
        <v>68683</v>
      </c>
      <c r="F158" s="4">
        <f>F110</f>
        <v>22538</v>
      </c>
      <c r="G158" s="4">
        <f>G110</f>
        <v>46143</v>
      </c>
      <c r="H158" s="4">
        <f>H110</f>
        <v>2</v>
      </c>
      <c r="I158" s="4">
        <f>I110</f>
        <v>0</v>
      </c>
    </row>
    <row r="159" spans="2:12" x14ac:dyDescent="0.25">
      <c r="D159" s="128" t="s">
        <v>2271</v>
      </c>
      <c r="E159" s="121">
        <f>E158-E156</f>
        <v>43596</v>
      </c>
      <c r="F159" s="121">
        <f t="shared" ref="F159:I159" si="29">F158-F156</f>
        <v>8732</v>
      </c>
      <c r="G159" s="121">
        <f t="shared" si="29"/>
        <v>34899</v>
      </c>
      <c r="H159" s="121">
        <f t="shared" si="29"/>
        <v>0</v>
      </c>
      <c r="I159" s="121">
        <f t="shared" si="29"/>
        <v>-35</v>
      </c>
    </row>
    <row r="160" spans="2:12" x14ac:dyDescent="0.25">
      <c r="D160" s="128" t="s">
        <v>2272</v>
      </c>
      <c r="E160" s="464" t="s">
        <v>2313</v>
      </c>
      <c r="F160" s="465"/>
      <c r="G160" s="465"/>
      <c r="H160" s="465"/>
      <c r="I160" s="466"/>
    </row>
    <row r="161" spans="2:9" x14ac:dyDescent="0.25">
      <c r="D161" s="128" t="s">
        <v>2273</v>
      </c>
      <c r="E161" s="467"/>
      <c r="F161" s="468"/>
      <c r="G161" s="468"/>
      <c r="H161" s="468"/>
      <c r="I161" s="469"/>
    </row>
    <row r="162" spans="2:9" x14ac:dyDescent="0.25">
      <c r="D162" s="119"/>
    </row>
    <row r="163" spans="2:9" x14ac:dyDescent="0.25">
      <c r="B163" s="410" t="s">
        <v>2251</v>
      </c>
      <c r="C163" s="3"/>
      <c r="D163" s="44"/>
      <c r="E163" s="112" t="s">
        <v>21</v>
      </c>
      <c r="F163" s="112" t="s">
        <v>2182</v>
      </c>
      <c r="G163" s="112" t="s">
        <v>2181</v>
      </c>
      <c r="H163" s="112" t="s">
        <v>2180</v>
      </c>
      <c r="I163" s="112" t="s">
        <v>2179</v>
      </c>
    </row>
    <row r="164" spans="2:9" x14ac:dyDescent="0.25">
      <c r="B164" s="411"/>
      <c r="C164" s="3" t="s">
        <v>2243</v>
      </c>
      <c r="D164" s="44"/>
      <c r="E164" s="4">
        <f>SUM(F164:I164)</f>
        <v>25137.472575360935</v>
      </c>
      <c r="F164" s="141">
        <f>F12</f>
        <v>7134</v>
      </c>
      <c r="G164" s="126">
        <f>G12</f>
        <v>18003.472575360935</v>
      </c>
      <c r="H164" s="4">
        <f>H12</f>
        <v>0</v>
      </c>
      <c r="I164" s="26"/>
    </row>
    <row r="165" spans="2:9" ht="60" x14ac:dyDescent="0.25">
      <c r="B165" s="411"/>
      <c r="C165" s="3" t="s">
        <v>16</v>
      </c>
      <c r="D165" s="45" t="s">
        <v>2252</v>
      </c>
      <c r="E165" s="4">
        <f>SUM(F165:I165)</f>
        <v>9755</v>
      </c>
      <c r="F165" s="4">
        <f>F186</f>
        <v>4057</v>
      </c>
      <c r="G165" s="4">
        <f t="shared" ref="G165" si="30">G186</f>
        <v>5698</v>
      </c>
      <c r="H165" s="4"/>
      <c r="I165" s="4"/>
    </row>
    <row r="166" spans="2:9" x14ac:dyDescent="0.25">
      <c r="B166" s="411"/>
      <c r="C166" s="3" t="s">
        <v>2245</v>
      </c>
      <c r="D166" s="414" t="s">
        <v>2244</v>
      </c>
      <c r="E166" s="4">
        <f t="shared" ref="E166:E169" si="31">SUM(F166:I166)</f>
        <v>14.4</v>
      </c>
      <c r="F166" s="4">
        <f>F43</f>
        <v>4</v>
      </c>
      <c r="G166" s="126">
        <f>G43</f>
        <v>10.4</v>
      </c>
      <c r="H166" s="4">
        <f>H43</f>
        <v>0</v>
      </c>
      <c r="I166" s="26"/>
    </row>
    <row r="167" spans="2:9" x14ac:dyDescent="0.25">
      <c r="B167" s="411"/>
      <c r="C167" s="3" t="s">
        <v>2246</v>
      </c>
      <c r="D167" s="415"/>
      <c r="E167" s="4">
        <f t="shared" si="31"/>
        <v>144.9628008752735</v>
      </c>
      <c r="F167" s="4">
        <f>F27</f>
        <v>49</v>
      </c>
      <c r="G167" s="126">
        <f>G27</f>
        <v>95.962800875273516</v>
      </c>
      <c r="H167" s="4">
        <f>H27</f>
        <v>0</v>
      </c>
      <c r="I167" s="26"/>
    </row>
    <row r="168" spans="2:9" x14ac:dyDescent="0.25">
      <c r="B168" s="411"/>
      <c r="C168" s="3" t="s">
        <v>2247</v>
      </c>
      <c r="D168" s="416"/>
      <c r="E168" s="4">
        <f t="shared" si="31"/>
        <v>1836.2014618062897</v>
      </c>
      <c r="F168" s="4">
        <f>F59</f>
        <v>576</v>
      </c>
      <c r="G168" s="126">
        <f>G59</f>
        <v>1261.2014618062897</v>
      </c>
      <c r="H168" s="4">
        <f>H59</f>
        <v>-1</v>
      </c>
      <c r="I168" s="26"/>
    </row>
    <row r="169" spans="2:9" x14ac:dyDescent="0.25">
      <c r="B169" s="412"/>
      <c r="C169" s="3" t="s">
        <v>2255</v>
      </c>
      <c r="D169" s="44"/>
      <c r="E169" s="4">
        <f t="shared" si="31"/>
        <v>10.822784810126583</v>
      </c>
      <c r="F169" s="4">
        <f>F89</f>
        <v>5</v>
      </c>
      <c r="G169" s="126">
        <f>G89</f>
        <v>5.8227848101265831</v>
      </c>
      <c r="H169" s="4">
        <f>H89</f>
        <v>0</v>
      </c>
      <c r="I169" s="26"/>
    </row>
    <row r="170" spans="2:9" x14ac:dyDescent="0.25">
      <c r="D170" s="120" t="s">
        <v>2259</v>
      </c>
      <c r="E170" s="117">
        <f>SUM(E164:E169)</f>
        <v>36898.859622852629</v>
      </c>
      <c r="F170" s="117">
        <f>SUM(F164:F169)</f>
        <v>11825</v>
      </c>
      <c r="G170" s="117">
        <f>SUM(G164:G169)</f>
        <v>25074.859622852626</v>
      </c>
      <c r="H170" s="117">
        <f t="shared" ref="H170:I170" si="32">SUM(H164:H169)</f>
        <v>-1</v>
      </c>
      <c r="I170" s="117">
        <f t="shared" si="32"/>
        <v>0</v>
      </c>
    </row>
    <row r="172" spans="2:9" x14ac:dyDescent="0.25">
      <c r="D172" s="3" t="s">
        <v>2254</v>
      </c>
      <c r="E172" s="115">
        <f>IF((E146-E158)&gt;0,E146-E158,0)</f>
        <v>19358</v>
      </c>
      <c r="F172" s="115">
        <f t="shared" ref="F172" si="33">IF((F146-F158)&gt;0,F146-F158,0)</f>
        <v>12067</v>
      </c>
      <c r="G172" s="115">
        <f>IF((G146-G158)&gt;0,G146-G158,0)</f>
        <v>7293</v>
      </c>
      <c r="H172" s="115" t="e">
        <f t="shared" ref="H172:I172" si="34">IF((H146-H158)&gt;0,H146-H158,0)</f>
        <v>#VALUE!</v>
      </c>
      <c r="I172" s="115">
        <f t="shared" si="34"/>
        <v>0</v>
      </c>
    </row>
    <row r="173" spans="2:9" ht="15.75" thickBot="1" x14ac:dyDescent="0.3">
      <c r="D173" s="132" t="s">
        <v>2271</v>
      </c>
      <c r="E173" s="145">
        <f>IF((E172-E170)&gt;0,(E172-E170),0)</f>
        <v>0</v>
      </c>
      <c r="F173" s="133">
        <f>IF((F172-F170)&gt;0,(F172-F170),0)</f>
        <v>242</v>
      </c>
      <c r="G173" s="133">
        <f>IF((G172-G170)&gt;0,(G172-G170),0)</f>
        <v>0</v>
      </c>
      <c r="H173" s="133" t="e">
        <f t="shared" ref="H173:I173" si="35">IF((H172-H170)&gt;0,(H172-H170),0)</f>
        <v>#VALUE!</v>
      </c>
      <c r="I173" s="133">
        <f t="shared" si="35"/>
        <v>0</v>
      </c>
    </row>
    <row r="174" spans="2:9" x14ac:dyDescent="0.25">
      <c r="C174" s="417" t="s">
        <v>2275</v>
      </c>
      <c r="D174" s="134" t="s">
        <v>2272</v>
      </c>
      <c r="E174" s="135"/>
      <c r="F174" s="135"/>
      <c r="G174" s="135"/>
      <c r="H174" s="135"/>
      <c r="I174" s="136"/>
    </row>
    <row r="175" spans="2:9" ht="15.75" thickBot="1" x14ac:dyDescent="0.3">
      <c r="C175" s="418"/>
      <c r="D175" s="137" t="s">
        <v>2273</v>
      </c>
      <c r="E175" s="138"/>
      <c r="F175" s="138"/>
      <c r="G175" s="138"/>
      <c r="H175" s="138"/>
      <c r="I175" s="139"/>
    </row>
    <row r="176" spans="2:9" ht="15.75" thickBot="1" x14ac:dyDescent="0.3">
      <c r="C176" s="417" t="s">
        <v>2276</v>
      </c>
      <c r="D176" s="134" t="s">
        <v>2277</v>
      </c>
      <c r="E176" s="138"/>
      <c r="F176" s="138"/>
      <c r="G176" s="138"/>
      <c r="H176" s="138"/>
      <c r="I176" s="139"/>
    </row>
    <row r="177" spans="2:9" ht="15.75" thickBot="1" x14ac:dyDescent="0.3">
      <c r="C177" s="418"/>
      <c r="D177" s="137" t="s">
        <v>2273</v>
      </c>
      <c r="E177" s="135"/>
      <c r="F177" s="135"/>
      <c r="G177" s="135"/>
      <c r="H177" s="135"/>
      <c r="I177" s="140"/>
    </row>
    <row r="178" spans="2:9" x14ac:dyDescent="0.25">
      <c r="C178" s="417" t="s">
        <v>2278</v>
      </c>
      <c r="D178" s="134" t="s">
        <v>2274</v>
      </c>
      <c r="E178" s="135"/>
      <c r="F178" s="135"/>
      <c r="G178" s="135"/>
      <c r="H178" s="135"/>
      <c r="I178" s="136"/>
    </row>
    <row r="179" spans="2:9" ht="15.75" thickBot="1" x14ac:dyDescent="0.3">
      <c r="C179" s="418"/>
      <c r="D179" s="137" t="s">
        <v>2273</v>
      </c>
      <c r="E179" s="138"/>
      <c r="F179" s="138"/>
      <c r="G179" s="138"/>
      <c r="H179" s="138"/>
      <c r="I179" s="139"/>
    </row>
    <row r="183" spans="2:9" x14ac:dyDescent="0.25">
      <c r="B183" s="413" t="s">
        <v>16</v>
      </c>
      <c r="C183" s="3" t="s">
        <v>2214</v>
      </c>
      <c r="D183" s="44"/>
      <c r="E183" s="4">
        <f>E147</f>
        <v>26258</v>
      </c>
      <c r="F183" s="4">
        <f>F147</f>
        <v>9316</v>
      </c>
      <c r="G183" s="4">
        <f>G147</f>
        <v>16942</v>
      </c>
      <c r="H183" s="3"/>
      <c r="I183" s="3"/>
    </row>
    <row r="184" spans="2:9" x14ac:dyDescent="0.25">
      <c r="B184" s="413"/>
      <c r="C184" s="3" t="s">
        <v>2257</v>
      </c>
      <c r="D184" s="44"/>
      <c r="E184" s="115">
        <f>SUM(F184:I184)</f>
        <v>16503</v>
      </c>
      <c r="F184" s="4">
        <f>IF((F183-F151)&gt;0,F151,F183)</f>
        <v>5259</v>
      </c>
      <c r="G184" s="4">
        <f>IF((G183-G151)&gt;0,G151,G183)</f>
        <v>11244</v>
      </c>
      <c r="H184" s="4">
        <f t="shared" ref="H184:I184" si="36">IF((H183-H151)&gt;0,H151,H183)</f>
        <v>0</v>
      </c>
      <c r="I184" s="4">
        <f t="shared" si="36"/>
        <v>0</v>
      </c>
    </row>
    <row r="185" spans="2:9" ht="60" x14ac:dyDescent="0.25">
      <c r="B185" s="413"/>
      <c r="C185" s="3" t="s">
        <v>2258</v>
      </c>
      <c r="D185" s="45" t="s">
        <v>2252</v>
      </c>
      <c r="E185" s="4">
        <f>E98</f>
        <v>49265</v>
      </c>
      <c r="F185" s="4">
        <f>F98</f>
        <v>13254</v>
      </c>
      <c r="G185" s="4">
        <f>G98</f>
        <v>35165</v>
      </c>
      <c r="H185" s="4">
        <f>H165</f>
        <v>0</v>
      </c>
      <c r="I185" s="3"/>
    </row>
    <row r="186" spans="2:9" x14ac:dyDescent="0.25">
      <c r="B186" s="413"/>
      <c r="C186" s="179" t="s">
        <v>2256</v>
      </c>
      <c r="D186" s="180" t="s">
        <v>2353</v>
      </c>
      <c r="E186" s="118">
        <f>SUM(F186:I186)</f>
        <v>9755</v>
      </c>
      <c r="F186" s="118">
        <f>IF((F183-F184)&gt;0,MIN((F183-F184),F185),0)</f>
        <v>4057</v>
      </c>
      <c r="G186" s="118">
        <f>IF((G183-G184)&gt;0,MIN((G183-G184),G185),0)</f>
        <v>5698</v>
      </c>
      <c r="H186" s="118">
        <f t="shared" ref="H186:I186" si="37">MIN((H183-H184),H185)</f>
        <v>0</v>
      </c>
      <c r="I186" s="118">
        <f t="shared" si="37"/>
        <v>0</v>
      </c>
    </row>
    <row r="190" spans="2:9" x14ac:dyDescent="0.25">
      <c r="B190" s="413" t="s">
        <v>2256</v>
      </c>
      <c r="C190" s="3" t="s">
        <v>2253</v>
      </c>
      <c r="D190" s="44"/>
      <c r="E190" s="121">
        <f>SUM(E159+E173)</f>
        <v>43596</v>
      </c>
      <c r="F190" s="121">
        <f t="shared" ref="F190:I190" si="38">SUM(F159+F173)</f>
        <v>8974</v>
      </c>
      <c r="G190" s="121">
        <f t="shared" si="38"/>
        <v>34899</v>
      </c>
      <c r="H190" s="121" t="e">
        <f t="shared" si="38"/>
        <v>#VALUE!</v>
      </c>
      <c r="I190" s="115">
        <f t="shared" si="38"/>
        <v>-35</v>
      </c>
    </row>
    <row r="191" spans="2:9" x14ac:dyDescent="0.25">
      <c r="B191" s="413"/>
      <c r="C191" s="3" t="s">
        <v>16</v>
      </c>
      <c r="D191" s="44"/>
      <c r="E191" s="118">
        <f>E186</f>
        <v>9755</v>
      </c>
      <c r="F191" s="118">
        <f t="shared" ref="F191:I191" si="39">F186</f>
        <v>4057</v>
      </c>
      <c r="G191" s="118">
        <f t="shared" si="39"/>
        <v>5698</v>
      </c>
      <c r="H191" s="118">
        <f t="shared" si="39"/>
        <v>0</v>
      </c>
      <c r="I191" s="115">
        <f t="shared" si="39"/>
        <v>0</v>
      </c>
    </row>
    <row r="192" spans="2:9" x14ac:dyDescent="0.25">
      <c r="B192" s="413"/>
      <c r="C192" s="3" t="s">
        <v>2270</v>
      </c>
      <c r="D192" s="44"/>
      <c r="E192" s="115">
        <f>E190-E191</f>
        <v>33841</v>
      </c>
      <c r="F192" s="115">
        <f t="shared" ref="F192:I192" si="40">F190-F191</f>
        <v>4917</v>
      </c>
      <c r="G192" s="115">
        <f t="shared" si="40"/>
        <v>29201</v>
      </c>
      <c r="H192" s="115" t="e">
        <f t="shared" si="40"/>
        <v>#VALUE!</v>
      </c>
      <c r="I192" s="115">
        <f t="shared" si="40"/>
        <v>-35</v>
      </c>
    </row>
    <row r="196" spans="4:7" x14ac:dyDescent="0.25">
      <c r="D196" s="44" t="s">
        <v>2345</v>
      </c>
      <c r="E196" s="4">
        <f>SUM(F196:G196)</f>
        <v>61783</v>
      </c>
      <c r="F196" s="4">
        <f>F146-F147</f>
        <v>25289</v>
      </c>
      <c r="G196" s="4">
        <f>G146-G147</f>
        <v>36494</v>
      </c>
    </row>
  </sheetData>
  <mergeCells count="25">
    <mergeCell ref="A34:A44"/>
    <mergeCell ref="C1:I1"/>
    <mergeCell ref="A3:A13"/>
    <mergeCell ref="B14:I14"/>
    <mergeCell ref="A18:A28"/>
    <mergeCell ref="B29:I29"/>
    <mergeCell ref="B163:B169"/>
    <mergeCell ref="D166:D168"/>
    <mergeCell ref="B45:I45"/>
    <mergeCell ref="B46:I46"/>
    <mergeCell ref="A50:A60"/>
    <mergeCell ref="B61:I61"/>
    <mergeCell ref="A64:A74"/>
    <mergeCell ref="A80:A90"/>
    <mergeCell ref="A93:A98"/>
    <mergeCell ref="C94:I94"/>
    <mergeCell ref="B138:B141"/>
    <mergeCell ref="B149:B155"/>
    <mergeCell ref="D152:D154"/>
    <mergeCell ref="E160:I161"/>
    <mergeCell ref="C174:C175"/>
    <mergeCell ref="C176:C177"/>
    <mergeCell ref="C178:C179"/>
    <mergeCell ref="B183:B186"/>
    <mergeCell ref="B190:B192"/>
  </mergeCells>
  <hyperlinks>
    <hyperlink ref="C1" r:id="rId1"/>
    <hyperlink ref="C78" r:id="rId2"/>
    <hyperlink ref="C16" r:id="rId3"/>
    <hyperlink ref="C32" r:id="rId4"/>
    <hyperlink ref="C48" r:id="rId5"/>
    <hyperlink ref="C94" r:id="rId6" display="https://dashboard.applaydu.com/question/2314-applaydu-number-of-organic-users-that-scan-at-least-1-toy?"/>
    <hyperlink ref="C107" r:id="rId7"/>
    <hyperlink ref="D124" r:id="rId8"/>
    <hyperlink ref="D185" r:id="rId9"/>
    <hyperlink ref="D165" r:id="rId10"/>
  </hyperlinks>
  <pageMargins left="0.7" right="0.7" top="0.75" bottom="0.75" header="0.3" footer="0.3"/>
  <pageSetup paperSize="9" orientation="portrait" r:id="rId11"/>
  <legacy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Overview</vt:lpstr>
      <vt:lpstr>Details-GLOBAL-202301-202303</vt:lpstr>
      <vt:lpstr>ConversionRateInfo</vt:lpstr>
      <vt:lpstr>Store source</vt:lpstr>
      <vt:lpstr>Evolution</vt:lpstr>
      <vt:lpstr>Details-YEAR2022</vt:lpstr>
      <vt:lpstr>PRORATA</vt:lpstr>
      <vt:lpstr>Details-FR-202301-202303</vt:lpstr>
      <vt:lpstr>Details-UK-202103-202202</vt:lpstr>
      <vt:lpstr>Details-RO-202103-202202</vt:lpstr>
      <vt:lpstr>Details-RU-202103-202202</vt:lpstr>
      <vt:lpstr>Details-DE-202103-202202</vt:lpstr>
      <vt:lpstr>IdentID information</vt:lpstr>
      <vt:lpstr>ETS - Custom Install-referral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Vo Nguyen Hoai An</cp:lastModifiedBy>
  <dcterms:created xsi:type="dcterms:W3CDTF">2023-04-05T09:07:37Z</dcterms:created>
  <dcterms:modified xsi:type="dcterms:W3CDTF">2023-10-09T06:49:53Z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5e1d80-5df9-45cf-93c6-b3dca2463c0a_Enabled">
    <vt:lpwstr>true</vt:lpwstr>
  </property>
  <property fmtid="{D5CDD505-2E9C-101B-9397-08002B2CF9AE}" pid="3" name="MSIP_Label_115e1d80-5df9-45cf-93c6-b3dca2463c0a_SetDate">
    <vt:lpwstr>2023-04-16T17:39:11Z</vt:lpwstr>
  </property>
  <property fmtid="{D5CDD505-2E9C-101B-9397-08002B2CF9AE}" pid="4" name="MSIP_Label_115e1d80-5df9-45cf-93c6-b3dca2463c0a_Method">
    <vt:lpwstr>Standard</vt:lpwstr>
  </property>
  <property fmtid="{D5CDD505-2E9C-101B-9397-08002B2CF9AE}" pid="5" name="MSIP_Label_115e1d80-5df9-45cf-93c6-b3dca2463c0a_Name">
    <vt:lpwstr>115e1d80-5df9-45cf-93c6-b3dca2463c0a</vt:lpwstr>
  </property>
  <property fmtid="{D5CDD505-2E9C-101B-9397-08002B2CF9AE}" pid="6" name="MSIP_Label_115e1d80-5df9-45cf-93c6-b3dca2463c0a_SiteId">
    <vt:lpwstr>35734bde-3e33-4eb6-8dd2-0c96b30981bf</vt:lpwstr>
  </property>
  <property fmtid="{D5CDD505-2E9C-101B-9397-08002B2CF9AE}" pid="7" name="MSIP_Label_115e1d80-5df9-45cf-93c6-b3dca2463c0a_ActionId">
    <vt:lpwstr>d0d201c9-959e-47f5-a42d-2fe58ca69dc6</vt:lpwstr>
  </property>
  <property fmtid="{D5CDD505-2E9C-101B-9397-08002B2CF9AE}" pid="8" name="MSIP_Label_115e1d80-5df9-45cf-93c6-b3dca2463c0a_ContentBits">
    <vt:lpwstr>0</vt:lpwstr>
  </property>
</Properties>
</file>