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HEESI\"/>
    </mc:Choice>
  </mc:AlternateContent>
  <xr:revisionPtr revIDLastSave="0" documentId="13_ncr:1_{2FB0610C-8FDE-4982-B39A-B94BCEACDAA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HEESI" sheetId="14" r:id="rId1"/>
    <sheet name="Macro dari HEESI" sheetId="10" r:id="rId2"/>
    <sheet name="Konsumsi Energi Nasional" sheetId="11" r:id="rId3"/>
    <sheet name="Energi Primer Nasional" sheetId="13" r:id="rId4"/>
    <sheet name="Eksploitasi Batubara" sheetId="15" r:id="rId5"/>
    <sheet name="Eksploitasi Minyak Bumi" sheetId="16" r:id="rId6"/>
    <sheet name="Eksploitasi Gas Bumi" sheetId="17" r:id="rId7"/>
    <sheet name="Population" sheetId="12" r:id="rId8"/>
    <sheet name="Industry" sheetId="1" r:id="rId9"/>
    <sheet name="Household" sheetId="2" r:id="rId10"/>
    <sheet name="Commercial" sheetId="7" r:id="rId11"/>
    <sheet name="Transportation" sheetId="3" r:id="rId12"/>
    <sheet name="Others" sheetId="8" r:id="rId13"/>
    <sheet name="Refinery" sheetId="4" r:id="rId14"/>
    <sheet name="Natural Gas" sheetId="5" r:id="rId15"/>
    <sheet name="Power Plant" sheetId="6" r:id="rId16"/>
    <sheet name="Final Energy" sheetId="9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4" l="1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B29" i="14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25" i="13"/>
  <c r="C28" i="14" l="1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B28" i="14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25" i="13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4" i="17"/>
  <c r="C27" i="14" l="1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B27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B25" i="14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19" i="2"/>
  <c r="C23" i="14" l="1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B23" i="14"/>
  <c r="C20" i="14" l="1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AB4" i="17"/>
  <c r="AC4" i="17"/>
  <c r="AD4" i="17"/>
  <c r="AB5" i="17"/>
  <c r="AC5" i="17"/>
  <c r="AD5" i="17"/>
  <c r="AB6" i="17"/>
  <c r="AC6" i="17"/>
  <c r="AD6" i="17"/>
  <c r="AB7" i="17"/>
  <c r="AC7" i="17"/>
  <c r="AD7" i="17"/>
  <c r="AB8" i="17"/>
  <c r="AC8" i="17"/>
  <c r="AD8" i="17"/>
  <c r="AB9" i="17"/>
  <c r="AC9" i="17"/>
  <c r="AD9" i="17"/>
  <c r="AB10" i="17"/>
  <c r="AC10" i="17"/>
  <c r="AD10" i="17"/>
  <c r="AB11" i="17"/>
  <c r="AC11" i="17"/>
  <c r="AD11" i="17"/>
  <c r="AB12" i="17"/>
  <c r="AC12" i="17"/>
  <c r="AD12" i="17"/>
  <c r="AB13" i="17"/>
  <c r="AC13" i="17"/>
  <c r="AD13" i="17"/>
  <c r="AB14" i="17"/>
  <c r="AC14" i="17"/>
  <c r="AD14" i="17"/>
  <c r="AB15" i="17"/>
  <c r="AC15" i="17"/>
  <c r="AD15" i="17"/>
  <c r="AB16" i="17"/>
  <c r="AC16" i="17"/>
  <c r="AD16" i="17"/>
  <c r="AB17" i="17"/>
  <c r="AC17" i="17"/>
  <c r="AD17" i="17"/>
  <c r="AB18" i="17"/>
  <c r="AC18" i="17"/>
  <c r="AD18" i="17"/>
  <c r="AB19" i="17"/>
  <c r="AC19" i="17"/>
  <c r="AD19" i="17"/>
  <c r="AB20" i="17"/>
  <c r="AC20" i="17"/>
  <c r="AD20" i="17"/>
  <c r="AB21" i="17"/>
  <c r="AC21" i="17"/>
  <c r="AD21" i="17"/>
  <c r="AB22" i="17"/>
  <c r="AC22" i="17"/>
  <c r="AD22" i="17"/>
  <c r="AB23" i="17"/>
  <c r="AC23" i="17"/>
  <c r="AD23" i="17"/>
  <c r="AC3" i="17"/>
  <c r="AD3" i="17"/>
  <c r="AB3" i="17"/>
  <c r="Y3" i="17"/>
  <c r="Z3" i="17"/>
  <c r="Y4" i="17"/>
  <c r="Z4" i="17"/>
  <c r="Y5" i="17"/>
  <c r="Z5" i="17"/>
  <c r="Y6" i="17"/>
  <c r="Z6" i="17"/>
  <c r="Y7" i="17"/>
  <c r="Z7" i="17"/>
  <c r="Y8" i="17"/>
  <c r="Z8" i="17"/>
  <c r="Y9" i="17"/>
  <c r="Z9" i="17"/>
  <c r="Y10" i="17"/>
  <c r="Z10" i="17"/>
  <c r="Y11" i="17"/>
  <c r="Z11" i="17"/>
  <c r="Y12" i="17"/>
  <c r="Z12" i="17"/>
  <c r="Y13" i="17"/>
  <c r="Z13" i="17"/>
  <c r="Y14" i="17"/>
  <c r="Z14" i="17"/>
  <c r="Y15" i="17"/>
  <c r="Z15" i="17"/>
  <c r="Y16" i="17"/>
  <c r="Z16" i="17"/>
  <c r="Y17" i="17"/>
  <c r="Z17" i="17"/>
  <c r="Y18" i="17"/>
  <c r="Z18" i="17"/>
  <c r="Y19" i="17"/>
  <c r="Z19" i="17"/>
  <c r="Y20" i="17"/>
  <c r="Z20" i="17"/>
  <c r="Y21" i="17"/>
  <c r="Z21" i="17"/>
  <c r="Y22" i="17"/>
  <c r="Z22" i="17"/>
  <c r="Y23" i="17"/>
  <c r="Z2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3" i="17"/>
  <c r="B20" i="14"/>
  <c r="N4" i="17"/>
  <c r="O4" i="17"/>
  <c r="P4" i="17"/>
  <c r="N5" i="17"/>
  <c r="O5" i="17"/>
  <c r="P5" i="17"/>
  <c r="N6" i="17"/>
  <c r="O6" i="17"/>
  <c r="P6" i="17"/>
  <c r="N7" i="17"/>
  <c r="O7" i="17"/>
  <c r="P7" i="17"/>
  <c r="N8" i="17"/>
  <c r="O8" i="17"/>
  <c r="P8" i="17"/>
  <c r="N9" i="17"/>
  <c r="O9" i="17"/>
  <c r="P9" i="17"/>
  <c r="N10" i="17"/>
  <c r="O10" i="17"/>
  <c r="P10" i="17"/>
  <c r="N11" i="17"/>
  <c r="O11" i="17"/>
  <c r="P11" i="17"/>
  <c r="N12" i="17"/>
  <c r="O12" i="17"/>
  <c r="P12" i="17"/>
  <c r="N13" i="17"/>
  <c r="O13" i="17"/>
  <c r="P13" i="17"/>
  <c r="N14" i="17"/>
  <c r="O14" i="17"/>
  <c r="P14" i="17"/>
  <c r="N15" i="17"/>
  <c r="O15" i="17"/>
  <c r="P15" i="17"/>
  <c r="N16" i="17"/>
  <c r="O16" i="17"/>
  <c r="P16" i="17"/>
  <c r="N17" i="17"/>
  <c r="O17" i="17"/>
  <c r="P17" i="17"/>
  <c r="N18" i="17"/>
  <c r="O18" i="17"/>
  <c r="P18" i="17"/>
  <c r="N19" i="17"/>
  <c r="O19" i="17"/>
  <c r="P19" i="17"/>
  <c r="N20" i="17"/>
  <c r="O20" i="17"/>
  <c r="P20" i="17"/>
  <c r="N21" i="17"/>
  <c r="O21" i="17"/>
  <c r="P21" i="17"/>
  <c r="O3" i="17"/>
  <c r="P3" i="17"/>
  <c r="N3" i="17"/>
  <c r="E4" i="17"/>
  <c r="F4" i="17"/>
  <c r="G4" i="17"/>
  <c r="E5" i="17"/>
  <c r="F5" i="17"/>
  <c r="G5" i="17"/>
  <c r="E6" i="17"/>
  <c r="F6" i="17"/>
  <c r="G6" i="17"/>
  <c r="E7" i="17"/>
  <c r="F7" i="17"/>
  <c r="G7" i="17"/>
  <c r="E8" i="17"/>
  <c r="F8" i="17"/>
  <c r="G8" i="17"/>
  <c r="E9" i="17"/>
  <c r="F9" i="17"/>
  <c r="G9" i="17"/>
  <c r="E10" i="17"/>
  <c r="F10" i="17"/>
  <c r="G10" i="17"/>
  <c r="E11" i="17"/>
  <c r="F11" i="17"/>
  <c r="G11" i="17"/>
  <c r="E12" i="17"/>
  <c r="F12" i="17"/>
  <c r="G12" i="17"/>
  <c r="E13" i="17"/>
  <c r="F13" i="17"/>
  <c r="G13" i="17"/>
  <c r="E14" i="17"/>
  <c r="F14" i="17"/>
  <c r="G14" i="17"/>
  <c r="E15" i="17"/>
  <c r="F15" i="17"/>
  <c r="G15" i="17"/>
  <c r="E16" i="17"/>
  <c r="F16" i="17"/>
  <c r="G16" i="17"/>
  <c r="E17" i="17"/>
  <c r="F17" i="17"/>
  <c r="G17" i="17"/>
  <c r="E18" i="17"/>
  <c r="F18" i="17"/>
  <c r="G18" i="17"/>
  <c r="E19" i="17"/>
  <c r="F19" i="17"/>
  <c r="G19" i="17"/>
  <c r="E20" i="17"/>
  <c r="F20" i="17"/>
  <c r="G20" i="17"/>
  <c r="E21" i="17"/>
  <c r="F21" i="17"/>
  <c r="G21" i="17"/>
  <c r="F3" i="17"/>
  <c r="G3" i="17"/>
  <c r="E3" i="17"/>
  <c r="H1" i="17"/>
  <c r="Q14" i="14" l="1"/>
  <c r="R14" i="14"/>
  <c r="S14" i="14"/>
  <c r="T14" i="14"/>
  <c r="Q15" i="14"/>
  <c r="R15" i="14"/>
  <c r="S15" i="14"/>
  <c r="T15" i="14"/>
  <c r="Q16" i="14"/>
  <c r="R16" i="14"/>
  <c r="S16" i="14"/>
  <c r="T16" i="14"/>
  <c r="Q11" i="14"/>
  <c r="R11" i="14"/>
  <c r="S11" i="14"/>
  <c r="T11" i="14"/>
  <c r="Q12" i="14"/>
  <c r="R12" i="14"/>
  <c r="S12" i="14"/>
  <c r="T12" i="14"/>
  <c r="Q13" i="14"/>
  <c r="R13" i="14"/>
  <c r="S13" i="14"/>
  <c r="T13" i="14"/>
  <c r="C18" i="14" l="1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B19" i="14"/>
  <c r="B1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B17" i="14"/>
  <c r="H18" i="16"/>
  <c r="I18" i="16"/>
  <c r="J18" i="16"/>
  <c r="H19" i="16"/>
  <c r="I19" i="16"/>
  <c r="J19" i="16"/>
  <c r="H20" i="16"/>
  <c r="I20" i="16"/>
  <c r="J20" i="16"/>
  <c r="H21" i="16"/>
  <c r="I21" i="16"/>
  <c r="J21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H17" i="16"/>
  <c r="I17" i="16"/>
  <c r="J17" i="16"/>
  <c r="I3" i="16"/>
  <c r="J3" i="16"/>
  <c r="H3" i="16"/>
  <c r="P14" i="14" l="1"/>
  <c r="P15" i="14"/>
  <c r="P16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B16" i="14"/>
  <c r="B14" i="14"/>
  <c r="B15" i="14"/>
  <c r="Q17" i="15"/>
  <c r="R17" i="15" s="1"/>
  <c r="I17" i="15"/>
  <c r="J17" i="15"/>
  <c r="K17" i="15"/>
  <c r="H17" i="15"/>
  <c r="L17" i="15" s="1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F3" i="15"/>
  <c r="G3" i="15"/>
  <c r="E3" i="15"/>
  <c r="G18" i="13" l="1"/>
  <c r="G19" i="13"/>
  <c r="G20" i="13"/>
  <c r="G17" i="13"/>
  <c r="B41" i="13"/>
  <c r="B42" i="13"/>
  <c r="B43" i="13" s="1"/>
  <c r="B40" i="13"/>
  <c r="E40" i="13"/>
  <c r="D41" i="13"/>
  <c r="D42" i="13" s="1"/>
  <c r="D43" i="13" s="1"/>
  <c r="D40" i="13"/>
  <c r="E39" i="13"/>
  <c r="D34" i="13"/>
  <c r="D35" i="13"/>
  <c r="D36" i="13"/>
  <c r="D37" i="13"/>
  <c r="D38" i="13"/>
  <c r="D39" i="13"/>
  <c r="D33" i="13"/>
  <c r="C11" i="14" l="1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B13" i="14"/>
  <c r="B11" i="14"/>
  <c r="B12" i="14"/>
  <c r="AA3" i="13"/>
  <c r="AB3" i="13"/>
  <c r="AC3" i="13"/>
  <c r="AD3" i="13"/>
  <c r="AE3" i="13"/>
  <c r="AA4" i="13"/>
  <c r="AB4" i="13"/>
  <c r="AC4" i="13"/>
  <c r="AD4" i="13"/>
  <c r="AE4" i="13"/>
  <c r="AA5" i="13"/>
  <c r="AB5" i="13"/>
  <c r="AC5" i="13"/>
  <c r="AD5" i="13"/>
  <c r="AE5" i="13"/>
  <c r="AA6" i="13"/>
  <c r="AB6" i="13"/>
  <c r="AC6" i="13"/>
  <c r="AD6" i="13"/>
  <c r="AE6" i="13"/>
  <c r="AA7" i="13"/>
  <c r="AB7" i="13"/>
  <c r="AC7" i="13"/>
  <c r="AD7" i="13"/>
  <c r="AE7" i="13"/>
  <c r="AA8" i="13"/>
  <c r="AB8" i="13"/>
  <c r="AC8" i="13"/>
  <c r="AD8" i="13"/>
  <c r="AE8" i="13"/>
  <c r="AA9" i="13"/>
  <c r="AB9" i="13"/>
  <c r="AC9" i="13"/>
  <c r="AD9" i="13"/>
  <c r="AE9" i="13"/>
  <c r="AA10" i="13"/>
  <c r="AB10" i="13"/>
  <c r="AC10" i="13"/>
  <c r="AD10" i="13"/>
  <c r="AE10" i="13"/>
  <c r="AA11" i="13"/>
  <c r="AB11" i="13"/>
  <c r="AC11" i="13"/>
  <c r="AD11" i="13"/>
  <c r="AE11" i="13"/>
  <c r="AA12" i="13"/>
  <c r="AB12" i="13"/>
  <c r="AC12" i="13"/>
  <c r="AD12" i="13"/>
  <c r="AE12" i="13"/>
  <c r="AA13" i="13"/>
  <c r="AB13" i="13"/>
  <c r="AC13" i="13"/>
  <c r="AD13" i="13"/>
  <c r="AE13" i="13"/>
  <c r="AA14" i="13"/>
  <c r="AB14" i="13"/>
  <c r="AC14" i="13"/>
  <c r="AD14" i="13"/>
  <c r="AE14" i="13"/>
  <c r="AA15" i="13"/>
  <c r="AB15" i="13"/>
  <c r="AC15" i="13"/>
  <c r="AD15" i="13"/>
  <c r="AE15" i="13"/>
  <c r="AA16" i="13"/>
  <c r="AB16" i="13"/>
  <c r="AC16" i="13"/>
  <c r="AD16" i="13"/>
  <c r="AE16" i="13"/>
  <c r="AB2" i="13"/>
  <c r="AC2" i="13"/>
  <c r="AD2" i="13"/>
  <c r="AE2" i="13"/>
  <c r="AA2" i="13"/>
  <c r="AJ16" i="13"/>
  <c r="AI3" i="13"/>
  <c r="AJ3" i="13" s="1"/>
  <c r="AI4" i="13"/>
  <c r="AJ4" i="13" s="1"/>
  <c r="AI5" i="13"/>
  <c r="AJ5" i="13" s="1"/>
  <c r="AI6" i="13"/>
  <c r="AJ6" i="13" s="1"/>
  <c r="AI7" i="13"/>
  <c r="AJ7" i="13" s="1"/>
  <c r="AI8" i="13"/>
  <c r="AJ8" i="13" s="1"/>
  <c r="AI9" i="13"/>
  <c r="AJ9" i="13" s="1"/>
  <c r="AI10" i="13"/>
  <c r="AJ10" i="13" s="1"/>
  <c r="AI11" i="13"/>
  <c r="AJ11" i="13" s="1"/>
  <c r="AI12" i="13"/>
  <c r="AJ12" i="13" s="1"/>
  <c r="AI13" i="13"/>
  <c r="AJ13" i="13" s="1"/>
  <c r="AI14" i="13"/>
  <c r="AJ14" i="13" s="1"/>
  <c r="AI15" i="13"/>
  <c r="AJ15" i="13" s="1"/>
  <c r="AI16" i="13"/>
  <c r="AI2" i="13"/>
  <c r="AJ2" i="13" s="1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B5" i="14"/>
  <c r="X20" i="10"/>
  <c r="D2" i="14" l="1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C2" i="14"/>
  <c r="B2" i="14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" i="10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B3" i="14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" i="10"/>
  <c r="C9" i="14" l="1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S9" i="14"/>
  <c r="B9" i="14"/>
  <c r="T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B8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B6" i="14"/>
  <c r="T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B10" i="14"/>
  <c r="L19" i="12"/>
  <c r="L20" i="12"/>
  <c r="L21" i="12"/>
  <c r="L22" i="12"/>
  <c r="L23" i="12"/>
  <c r="L18" i="12"/>
  <c r="L34" i="2" s="1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19" i="2"/>
  <c r="S37" i="2"/>
  <c r="R37" i="2"/>
  <c r="Q37" i="2"/>
  <c r="P37" i="2"/>
  <c r="E4" i="14"/>
  <c r="E24" i="14" s="1"/>
  <c r="E26" i="14" s="1"/>
  <c r="F4" i="14"/>
  <c r="F24" i="14" s="1"/>
  <c r="F26" i="14" s="1"/>
  <c r="H4" i="14"/>
  <c r="H24" i="14" s="1"/>
  <c r="H26" i="14" s="1"/>
  <c r="I4" i="14"/>
  <c r="I24" i="14" s="1"/>
  <c r="I26" i="14" s="1"/>
  <c r="J4" i="14"/>
  <c r="J24" i="14" s="1"/>
  <c r="J26" i="14" s="1"/>
  <c r="L4" i="14"/>
  <c r="L24" i="14" s="1"/>
  <c r="L26" i="14" s="1"/>
  <c r="M4" i="14"/>
  <c r="M24" i="14" s="1"/>
  <c r="M26" i="14" s="1"/>
  <c r="N4" i="14"/>
  <c r="N24" i="14" s="1"/>
  <c r="N26" i="14" s="1"/>
  <c r="P4" i="14"/>
  <c r="P24" i="14" s="1"/>
  <c r="P26" i="14" s="1"/>
  <c r="R4" i="14"/>
  <c r="R24" i="14" s="1"/>
  <c r="R26" i="14" s="1"/>
  <c r="B4" i="14"/>
  <c r="B24" i="14" s="1"/>
  <c r="B26" i="14" s="1"/>
  <c r="Q17" i="10"/>
  <c r="Q18" i="10"/>
  <c r="Q19" i="10"/>
  <c r="Q20" i="10"/>
  <c r="Q12" i="10"/>
  <c r="Q13" i="10"/>
  <c r="Q14" i="10"/>
  <c r="Q15" i="10"/>
  <c r="Q16" i="10"/>
  <c r="Q3" i="10"/>
  <c r="Q4" i="10"/>
  <c r="Q5" i="10"/>
  <c r="Q6" i="10"/>
  <c r="Q7" i="10"/>
  <c r="Q8" i="10"/>
  <c r="Q9" i="10"/>
  <c r="Q10" i="10"/>
  <c r="Q11" i="10"/>
  <c r="Q2" i="10"/>
  <c r="P13" i="10"/>
  <c r="P13" i="13" s="1"/>
  <c r="P14" i="10"/>
  <c r="P15" i="10"/>
  <c r="P15" i="13" s="1"/>
  <c r="P16" i="10"/>
  <c r="R16" i="10" s="1"/>
  <c r="P17" i="10"/>
  <c r="P18" i="10"/>
  <c r="P19" i="10"/>
  <c r="P20" i="10"/>
  <c r="R20" i="10" s="1"/>
  <c r="P12" i="10"/>
  <c r="P12" i="13" s="1"/>
  <c r="O3" i="10"/>
  <c r="O3" i="13" s="1"/>
  <c r="P3" i="10"/>
  <c r="R3" i="10" s="1"/>
  <c r="O4" i="10"/>
  <c r="O4" i="13" s="1"/>
  <c r="P4" i="10"/>
  <c r="P4" i="13" s="1"/>
  <c r="O5" i="10"/>
  <c r="O5" i="13" s="1"/>
  <c r="P5" i="10"/>
  <c r="P5" i="13" s="1"/>
  <c r="O6" i="10"/>
  <c r="O6" i="13" s="1"/>
  <c r="P6" i="10"/>
  <c r="R6" i="10" s="1"/>
  <c r="O7" i="10"/>
  <c r="O7" i="13" s="1"/>
  <c r="P7" i="10"/>
  <c r="P7" i="13" s="1"/>
  <c r="O8" i="10"/>
  <c r="O8" i="13" s="1"/>
  <c r="P8" i="10"/>
  <c r="P8" i="13" s="1"/>
  <c r="O9" i="10"/>
  <c r="O9" i="13" s="1"/>
  <c r="P9" i="10"/>
  <c r="P9" i="13" s="1"/>
  <c r="O10" i="10"/>
  <c r="O10" i="13" s="1"/>
  <c r="P10" i="10"/>
  <c r="P10" i="13" s="1"/>
  <c r="O11" i="10"/>
  <c r="O11" i="13" s="1"/>
  <c r="P11" i="10"/>
  <c r="P11" i="13" s="1"/>
  <c r="P2" i="10"/>
  <c r="P2" i="13" s="1"/>
  <c r="O2" i="10"/>
  <c r="O2" i="13" s="1"/>
  <c r="L18" i="10"/>
  <c r="L19" i="10"/>
  <c r="L20" i="10"/>
  <c r="L21" i="10"/>
  <c r="L22" i="10"/>
  <c r="L23" i="10"/>
  <c r="L24" i="10"/>
  <c r="L25" i="10"/>
  <c r="L26" i="10"/>
  <c r="N3" i="13"/>
  <c r="C4" i="14" s="1"/>
  <c r="C24" i="14" s="1"/>
  <c r="C26" i="14" s="1"/>
  <c r="N4" i="13"/>
  <c r="D4" i="14" s="1"/>
  <c r="D24" i="14" s="1"/>
  <c r="D26" i="14" s="1"/>
  <c r="N5" i="13"/>
  <c r="N6" i="13"/>
  <c r="N7" i="13"/>
  <c r="G4" i="14" s="1"/>
  <c r="G24" i="14" s="1"/>
  <c r="G26" i="14" s="1"/>
  <c r="N8" i="13"/>
  <c r="N9" i="13"/>
  <c r="N10" i="13"/>
  <c r="N11" i="13"/>
  <c r="K4" i="14" s="1"/>
  <c r="K24" i="14" s="1"/>
  <c r="K26" i="14" s="1"/>
  <c r="N12" i="13"/>
  <c r="N13" i="13"/>
  <c r="N14" i="13"/>
  <c r="U14" i="13" s="1"/>
  <c r="N15" i="13"/>
  <c r="O4" i="14" s="1"/>
  <c r="O24" i="14" s="1"/>
  <c r="O26" i="14" s="1"/>
  <c r="N16" i="13"/>
  <c r="N17" i="13"/>
  <c r="Q4" i="14" s="1"/>
  <c r="Q24" i="14" s="1"/>
  <c r="Q26" i="14" s="1"/>
  <c r="N18" i="13"/>
  <c r="N19" i="13"/>
  <c r="S4" i="14" s="1"/>
  <c r="S24" i="14" s="1"/>
  <c r="S26" i="14" s="1"/>
  <c r="N20" i="13"/>
  <c r="T4" i="14" s="1"/>
  <c r="T24" i="14" s="1"/>
  <c r="T26" i="14" s="1"/>
  <c r="N2" i="13"/>
  <c r="W2" i="13" s="1"/>
  <c r="T20" i="13"/>
  <c r="X20" i="13" s="1"/>
  <c r="X19" i="13"/>
  <c r="T17" i="13"/>
  <c r="X17" i="13" s="1"/>
  <c r="T18" i="13"/>
  <c r="X18" i="13" s="1"/>
  <c r="T19" i="13"/>
  <c r="S17" i="13"/>
  <c r="S18" i="13"/>
  <c r="S19" i="13"/>
  <c r="S20" i="13"/>
  <c r="R17" i="13"/>
  <c r="R18" i="13"/>
  <c r="R19" i="13"/>
  <c r="R20" i="13"/>
  <c r="V20" i="13" s="1"/>
  <c r="Q17" i="13"/>
  <c r="Q18" i="13"/>
  <c r="Q19" i="13"/>
  <c r="Q20" i="13"/>
  <c r="T3" i="13"/>
  <c r="T4" i="13"/>
  <c r="T5" i="13"/>
  <c r="T6" i="13"/>
  <c r="T7" i="13"/>
  <c r="T8" i="13"/>
  <c r="X8" i="13" s="1"/>
  <c r="T9" i="13"/>
  <c r="T10" i="13"/>
  <c r="T11" i="13"/>
  <c r="T12" i="13"/>
  <c r="T13" i="13"/>
  <c r="X13" i="13" s="1"/>
  <c r="T14" i="13"/>
  <c r="X14" i="13" s="1"/>
  <c r="T15" i="13"/>
  <c r="T16" i="13"/>
  <c r="T2" i="13"/>
  <c r="X2" i="13" s="1"/>
  <c r="U3" i="13"/>
  <c r="W4" i="13"/>
  <c r="X4" i="13"/>
  <c r="U5" i="13"/>
  <c r="X5" i="13"/>
  <c r="U6" i="13"/>
  <c r="X7" i="13"/>
  <c r="W10" i="13"/>
  <c r="V12" i="13"/>
  <c r="X12" i="13"/>
  <c r="R3" i="13"/>
  <c r="V3" i="13" s="1"/>
  <c r="S3" i="13"/>
  <c r="W3" i="13" s="1"/>
  <c r="R4" i="13"/>
  <c r="V4" i="13" s="1"/>
  <c r="S4" i="13"/>
  <c r="R5" i="13"/>
  <c r="V5" i="13" s="1"/>
  <c r="S5" i="13"/>
  <c r="W5" i="13" s="1"/>
  <c r="R6" i="13"/>
  <c r="S6" i="13"/>
  <c r="R7" i="13"/>
  <c r="V7" i="13" s="1"/>
  <c r="S7" i="13"/>
  <c r="W7" i="13" s="1"/>
  <c r="R8" i="13"/>
  <c r="V8" i="13" s="1"/>
  <c r="S8" i="13"/>
  <c r="R9" i="13"/>
  <c r="S9" i="13"/>
  <c r="W9" i="13" s="1"/>
  <c r="X9" i="13"/>
  <c r="R10" i="13"/>
  <c r="S10" i="13"/>
  <c r="R11" i="13"/>
  <c r="V11" i="13" s="1"/>
  <c r="S11" i="13"/>
  <c r="R12" i="13"/>
  <c r="S12" i="13"/>
  <c r="R13" i="13"/>
  <c r="S13" i="13"/>
  <c r="R14" i="13"/>
  <c r="S14" i="13"/>
  <c r="R15" i="13"/>
  <c r="S15" i="13"/>
  <c r="R16" i="13"/>
  <c r="S16" i="13"/>
  <c r="S2" i="13"/>
  <c r="R2" i="13"/>
  <c r="V2" i="13" s="1"/>
  <c r="Q3" i="13"/>
  <c r="Q4" i="13"/>
  <c r="U4" i="13" s="1"/>
  <c r="Q5" i="13"/>
  <c r="Q6" i="13"/>
  <c r="Q7" i="13"/>
  <c r="U7" i="13" s="1"/>
  <c r="Q8" i="13"/>
  <c r="U8" i="13" s="1"/>
  <c r="Q9" i="13"/>
  <c r="Q10" i="13"/>
  <c r="Q11" i="13"/>
  <c r="Q12" i="13"/>
  <c r="U12" i="13" s="1"/>
  <c r="Q13" i="13"/>
  <c r="Q14" i="13"/>
  <c r="Q15" i="13"/>
  <c r="Q16" i="13"/>
  <c r="Q2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3" i="12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2" i="10"/>
  <c r="R9" i="14" l="1"/>
  <c r="W19" i="13"/>
  <c r="U19" i="13"/>
  <c r="V19" i="13"/>
  <c r="Y19" i="13" s="1"/>
  <c r="T9" i="14"/>
  <c r="P17" i="13"/>
  <c r="V17" i="13"/>
  <c r="W17" i="13"/>
  <c r="Q9" i="14"/>
  <c r="U17" i="13"/>
  <c r="Y17" i="13" s="1"/>
  <c r="R7" i="10"/>
  <c r="P3" i="13"/>
  <c r="O19" i="10"/>
  <c r="O19" i="13" s="1"/>
  <c r="O18" i="10"/>
  <c r="O18" i="13" s="1"/>
  <c r="O14" i="10"/>
  <c r="O14" i="13" s="1"/>
  <c r="R19" i="10"/>
  <c r="P16" i="13"/>
  <c r="R15" i="10"/>
  <c r="R5" i="10"/>
  <c r="O15" i="10"/>
  <c r="O15" i="13" s="1"/>
  <c r="R11" i="10"/>
  <c r="P20" i="13"/>
  <c r="R9" i="10"/>
  <c r="P19" i="13"/>
  <c r="P6" i="13"/>
  <c r="O12" i="10"/>
  <c r="O17" i="10"/>
  <c r="O17" i="13" s="1"/>
  <c r="O13" i="10"/>
  <c r="O13" i="13" s="1"/>
  <c r="R18" i="10"/>
  <c r="R14" i="10"/>
  <c r="R10" i="10"/>
  <c r="O20" i="10"/>
  <c r="O20" i="13" s="1"/>
  <c r="O16" i="10"/>
  <c r="O16" i="13" s="1"/>
  <c r="R2" i="10"/>
  <c r="R17" i="10"/>
  <c r="R13" i="10"/>
  <c r="P18" i="13"/>
  <c r="P14" i="13"/>
  <c r="R12" i="10"/>
  <c r="R8" i="10"/>
  <c r="R4" i="10"/>
  <c r="X3" i="13"/>
  <c r="U18" i="13"/>
  <c r="X10" i="13"/>
  <c r="V6" i="13"/>
  <c r="X11" i="13"/>
  <c r="U20" i="13"/>
  <c r="V10" i="13"/>
  <c r="X6" i="13"/>
  <c r="W20" i="13"/>
  <c r="W18" i="13"/>
  <c r="W6" i="13"/>
  <c r="V18" i="13"/>
  <c r="U2" i="13"/>
  <c r="Y2" i="13" s="1"/>
  <c r="Y3" i="13"/>
  <c r="Y7" i="13"/>
  <c r="Y5" i="13"/>
  <c r="Y4" i="13"/>
  <c r="W8" i="13"/>
  <c r="Y8" i="13" s="1"/>
  <c r="V9" i="13"/>
  <c r="U9" i="13"/>
  <c r="U10" i="13"/>
  <c r="U11" i="13"/>
  <c r="W11" i="13"/>
  <c r="Y11" i="13" s="1"/>
  <c r="W12" i="13"/>
  <c r="Y12" i="13" s="1"/>
  <c r="V13" i="13"/>
  <c r="U13" i="13"/>
  <c r="W13" i="13"/>
  <c r="W14" i="13"/>
  <c r="V14" i="13"/>
  <c r="V15" i="13"/>
  <c r="U16" i="13"/>
  <c r="X16" i="13"/>
  <c r="W16" i="13"/>
  <c r="V16" i="13"/>
  <c r="X15" i="13"/>
  <c r="W15" i="13"/>
  <c r="U15" i="13"/>
  <c r="O19" i="8"/>
  <c r="O20" i="8"/>
  <c r="K19" i="8"/>
  <c r="K20" i="8"/>
  <c r="R19" i="7"/>
  <c r="R20" i="7"/>
  <c r="Q20" i="7"/>
  <c r="Q19" i="7"/>
  <c r="P19" i="7"/>
  <c r="P20" i="7"/>
  <c r="O19" i="7"/>
  <c r="O20" i="7"/>
  <c r="N19" i="7"/>
  <c r="N20" i="7"/>
  <c r="R33" i="2"/>
  <c r="S33" i="2" s="1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4" i="2"/>
  <c r="S35" i="2"/>
  <c r="S36" i="2"/>
  <c r="O33" i="2"/>
  <c r="P33" i="2"/>
  <c r="Q33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4" i="2"/>
  <c r="Q35" i="2"/>
  <c r="Q36" i="2"/>
  <c r="R36" i="2"/>
  <c r="O37" i="2"/>
  <c r="J36" i="2"/>
  <c r="J3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R35" i="2"/>
  <c r="R34" i="2"/>
  <c r="J19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0" i="1"/>
  <c r="S38" i="1"/>
  <c r="O12" i="13" l="1"/>
  <c r="Y18" i="13"/>
  <c r="Y20" i="13"/>
  <c r="Y10" i="13"/>
  <c r="Y6" i="13"/>
  <c r="Y16" i="13"/>
  <c r="Y14" i="13"/>
  <c r="Y9" i="13"/>
  <c r="Y13" i="13"/>
  <c r="Y15" i="13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P19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R3" i="9"/>
  <c r="Q3" i="9"/>
  <c r="P3" i="9"/>
  <c r="O3" i="9"/>
  <c r="N3" i="9"/>
  <c r="M3" i="9"/>
  <c r="V5" i="8" l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A22" i="3"/>
  <c r="AC22" i="3" s="1"/>
  <c r="AA23" i="3"/>
  <c r="AC23" i="3" s="1"/>
  <c r="AA24" i="3"/>
  <c r="AA25" i="3"/>
  <c r="AA26" i="3"/>
  <c r="AC26" i="3" s="1"/>
  <c r="AA27" i="3"/>
  <c r="AC27" i="3" s="1"/>
  <c r="AA28" i="3"/>
  <c r="AA29" i="3"/>
  <c r="AA30" i="3"/>
  <c r="AC30" i="3" s="1"/>
  <c r="AA31" i="3"/>
  <c r="AC31" i="3" s="1"/>
  <c r="AA32" i="3"/>
  <c r="AA33" i="3"/>
  <c r="AA34" i="3"/>
  <c r="AC34" i="3" s="1"/>
  <c r="AA35" i="3"/>
  <c r="AC35" i="3" s="1"/>
  <c r="AA36" i="3"/>
  <c r="AA37" i="3"/>
  <c r="AA38" i="3"/>
  <c r="AC38" i="3" s="1"/>
  <c r="AA39" i="3"/>
  <c r="AC39" i="3" s="1"/>
  <c r="AC24" i="3"/>
  <c r="AC25" i="3"/>
  <c r="AC28" i="3"/>
  <c r="AC29" i="3"/>
  <c r="AC32" i="3"/>
  <c r="AC33" i="3"/>
  <c r="AC36" i="3"/>
  <c r="AC37" i="3"/>
  <c r="AB10" i="7"/>
  <c r="Z10" i="7"/>
  <c r="X10" i="7"/>
  <c r="AB9" i="7"/>
  <c r="Z9" i="7"/>
  <c r="X9" i="7"/>
  <c r="AB8" i="7"/>
  <c r="Z8" i="7"/>
  <c r="X8" i="7"/>
  <c r="AB7" i="7"/>
  <c r="Z7" i="7"/>
  <c r="X7" i="7"/>
  <c r="AB6" i="7"/>
  <c r="Z6" i="7"/>
  <c r="X6" i="7"/>
  <c r="AB5" i="7"/>
  <c r="Z5" i="7"/>
  <c r="X5" i="7"/>
  <c r="AC4" i="7"/>
  <c r="AB4" i="7"/>
  <c r="Z4" i="7"/>
  <c r="X4" i="7"/>
  <c r="V5" i="7"/>
  <c r="V6" i="7"/>
  <c r="V7" i="7"/>
  <c r="V8" i="7"/>
  <c r="V9" i="7"/>
  <c r="V10" i="7"/>
  <c r="T5" i="7"/>
  <c r="T6" i="7"/>
  <c r="T7" i="7"/>
  <c r="T8" i="7"/>
  <c r="T9" i="7"/>
  <c r="T10" i="7"/>
  <c r="Z41" i="1"/>
  <c r="Z42" i="1"/>
  <c r="Z43" i="1"/>
  <c r="Z44" i="1"/>
  <c r="Z45" i="1"/>
  <c r="Z46" i="1"/>
  <c r="Z47" i="1"/>
  <c r="Z48" i="1"/>
  <c r="Y41" i="1"/>
  <c r="Y42" i="1"/>
  <c r="Y43" i="1"/>
  <c r="Y44" i="1"/>
  <c r="Y45" i="1"/>
  <c r="Y46" i="1"/>
  <c r="Y47" i="1"/>
  <c r="Y48" i="1"/>
  <c r="X41" i="1"/>
  <c r="X42" i="1"/>
  <c r="X43" i="1"/>
  <c r="X44" i="1"/>
  <c r="X45" i="1"/>
  <c r="X46" i="1"/>
  <c r="X47" i="1"/>
  <c r="X48" i="1"/>
  <c r="V41" i="1"/>
  <c r="V42" i="1"/>
  <c r="V43" i="1"/>
  <c r="V44" i="1"/>
  <c r="V45" i="1"/>
  <c r="V46" i="1"/>
  <c r="V47" i="1"/>
  <c r="V48" i="1"/>
  <c r="R31" i="2"/>
  <c r="R32" i="2"/>
  <c r="Y33" i="2" l="1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R20" i="2"/>
  <c r="R21" i="2"/>
  <c r="R22" i="2"/>
  <c r="R23" i="2"/>
  <c r="R24" i="2"/>
  <c r="R25" i="2"/>
  <c r="R26" i="2"/>
  <c r="R27" i="2"/>
  <c r="R28" i="2"/>
  <c r="R29" i="2"/>
  <c r="R30" i="2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Z40" i="1"/>
  <c r="Y40" i="1"/>
  <c r="X40" i="1"/>
  <c r="V40" i="1"/>
  <c r="Y23" i="2" l="1"/>
  <c r="W23" i="2"/>
  <c r="U23" i="2"/>
  <c r="W30" i="2"/>
  <c r="Y30" i="2"/>
  <c r="U30" i="2"/>
  <c r="U28" i="2"/>
  <c r="W28" i="2"/>
  <c r="Y28" i="2"/>
  <c r="W20" i="2"/>
  <c r="U20" i="2"/>
  <c r="Y20" i="2"/>
  <c r="U26" i="2"/>
  <c r="Y26" i="2"/>
  <c r="W26" i="2"/>
  <c r="AC30" i="2"/>
  <c r="AC25" i="2"/>
  <c r="U31" i="2"/>
  <c r="Y31" i="2"/>
  <c r="W31" i="2"/>
  <c r="AA28" i="2"/>
  <c r="AA24" i="2"/>
  <c r="AC32" i="2"/>
  <c r="U32" i="2"/>
  <c r="Y32" i="2"/>
  <c r="W32" i="2"/>
  <c r="AA20" i="2"/>
  <c r="AA27" i="2"/>
  <c r="AC28" i="2"/>
  <c r="AC20" i="2"/>
  <c r="AA32" i="2"/>
  <c r="AA26" i="2"/>
  <c r="AC27" i="2"/>
  <c r="AA22" i="2"/>
  <c r="AC31" i="2"/>
  <c r="AA30" i="2"/>
  <c r="W27" i="2"/>
  <c r="U27" i="2"/>
  <c r="Y27" i="2"/>
  <c r="AC23" i="2"/>
  <c r="AA23" i="2"/>
  <c r="AC26" i="2"/>
  <c r="AA29" i="2"/>
  <c r="AC21" i="2"/>
  <c r="AA31" i="2"/>
  <c r="AA33" i="2"/>
  <c r="W33" i="2"/>
  <c r="U33" i="2"/>
  <c r="AC33" i="2"/>
  <c r="R4" i="8"/>
  <c r="S4" i="8"/>
  <c r="T4" i="8"/>
  <c r="U4" i="8"/>
  <c r="V4" i="8"/>
  <c r="Q4" i="8"/>
  <c r="R5" i="7"/>
  <c r="R6" i="7"/>
  <c r="R7" i="7"/>
  <c r="R8" i="7"/>
  <c r="R9" i="7"/>
  <c r="R10" i="7"/>
  <c r="R4" i="7"/>
  <c r="V4" i="7" s="1"/>
  <c r="W19" i="2"/>
  <c r="Y19" i="2"/>
  <c r="AA19" i="2"/>
  <c r="AC19" i="2"/>
  <c r="U19" i="2"/>
  <c r="O4" i="8"/>
  <c r="K4" i="8"/>
  <c r="AA21" i="3"/>
  <c r="AC21" i="3" s="1"/>
  <c r="Y21" i="3"/>
  <c r="AI21" i="3" s="1"/>
  <c r="X21" i="3"/>
  <c r="W21" i="3"/>
  <c r="AA21" i="2" l="1"/>
  <c r="AC24" i="2"/>
  <c r="W29" i="2"/>
  <c r="U29" i="2"/>
  <c r="Y29" i="2"/>
  <c r="W22" i="2"/>
  <c r="U22" i="2"/>
  <c r="Y22" i="2"/>
  <c r="Y25" i="2"/>
  <c r="U25" i="2"/>
  <c r="W25" i="2"/>
  <c r="AC22" i="2"/>
  <c r="AC29" i="2"/>
  <c r="Y24" i="2"/>
  <c r="W24" i="2"/>
  <c r="U24" i="2"/>
  <c r="W21" i="2"/>
  <c r="U21" i="2"/>
  <c r="Y21" i="2"/>
  <c r="AA25" i="2"/>
  <c r="AE21" i="3"/>
  <c r="AG21" i="3"/>
  <c r="AL21" i="3"/>
  <c r="AK21" i="3"/>
  <c r="T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R19" i="2"/>
  <c r="Q19" i="2"/>
  <c r="O19" i="2"/>
  <c r="R11" i="7" l="1"/>
  <c r="V11" i="7" s="1"/>
  <c r="R13" i="7"/>
  <c r="R12" i="7"/>
  <c r="V12" i="7" s="1"/>
  <c r="R14" i="7"/>
  <c r="R15" i="7"/>
  <c r="V15" i="7" s="1"/>
  <c r="R16" i="7"/>
  <c r="R17" i="7"/>
  <c r="R18" i="7"/>
  <c r="S19" i="2"/>
  <c r="V31" i="1"/>
  <c r="X31" i="1"/>
  <c r="Y31" i="1"/>
  <c r="Z31" i="1"/>
  <c r="V32" i="1"/>
  <c r="W32" i="1"/>
  <c r="X32" i="1"/>
  <c r="Y32" i="1"/>
  <c r="Z32" i="1"/>
  <c r="V33" i="1"/>
  <c r="X33" i="1"/>
  <c r="Y33" i="1"/>
  <c r="Z33" i="1"/>
  <c r="V34" i="1"/>
  <c r="X34" i="1"/>
  <c r="Y34" i="1"/>
  <c r="Z34" i="1"/>
  <c r="V35" i="1"/>
  <c r="X35" i="1"/>
  <c r="Y35" i="1"/>
  <c r="Z35" i="1"/>
  <c r="V36" i="1"/>
  <c r="W36" i="1"/>
  <c r="X36" i="1"/>
  <c r="Y36" i="1"/>
  <c r="Z36" i="1"/>
  <c r="V37" i="1"/>
  <c r="X37" i="1"/>
  <c r="Y37" i="1"/>
  <c r="Z37" i="1"/>
  <c r="V38" i="1"/>
  <c r="X38" i="1"/>
  <c r="Y38" i="1"/>
  <c r="Z38" i="1"/>
  <c r="V39" i="1"/>
  <c r="W39" i="1"/>
  <c r="X39" i="1"/>
  <c r="Y39" i="1"/>
  <c r="Z39" i="1"/>
  <c r="W30" i="1"/>
  <c r="X30" i="1"/>
  <c r="Y30" i="1"/>
  <c r="Z30" i="1"/>
  <c r="V30" i="1"/>
  <c r="U36" i="1"/>
  <c r="AA36" i="1" s="1"/>
  <c r="U37" i="1"/>
  <c r="AA37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U30" i="1"/>
  <c r="AA30" i="1" s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31" i="1"/>
  <c r="W31" i="1" s="1"/>
  <c r="Q32" i="1"/>
  <c r="U32" i="1" s="1"/>
  <c r="AA32" i="1" s="1"/>
  <c r="Q33" i="1"/>
  <c r="U33" i="1" s="1"/>
  <c r="AA33" i="1" s="1"/>
  <c r="Q34" i="1"/>
  <c r="W34" i="1" s="1"/>
  <c r="Q35" i="1"/>
  <c r="W35" i="1" s="1"/>
  <c r="Q36" i="1"/>
  <c r="Q37" i="1"/>
  <c r="W37" i="1" s="1"/>
  <c r="AE37" i="1" s="1"/>
  <c r="Q38" i="1"/>
  <c r="U38" i="1" s="1"/>
  <c r="AA38" i="1" s="1"/>
  <c r="Q39" i="1"/>
  <c r="U39" i="1" s="1"/>
  <c r="AA39" i="1" s="1"/>
  <c r="Q40" i="1"/>
  <c r="Q41" i="1"/>
  <c r="Q42" i="1"/>
  <c r="Q43" i="1"/>
  <c r="Q44" i="1"/>
  <c r="Q45" i="1"/>
  <c r="Q46" i="1"/>
  <c r="Q47" i="1"/>
  <c r="Q48" i="1"/>
  <c r="T30" i="1"/>
  <c r="S30" i="1"/>
  <c r="R30" i="1"/>
  <c r="Q30" i="1"/>
  <c r="T11" i="7" l="1"/>
  <c r="X11" i="7"/>
  <c r="AB11" i="7"/>
  <c r="Z11" i="7"/>
  <c r="X13" i="7"/>
  <c r="T13" i="7"/>
  <c r="Z13" i="7"/>
  <c r="AB13" i="7"/>
  <c r="V13" i="7"/>
  <c r="AB12" i="7"/>
  <c r="Z12" i="7"/>
  <c r="X12" i="7"/>
  <c r="T12" i="7"/>
  <c r="X14" i="7"/>
  <c r="T14" i="7"/>
  <c r="Z14" i="7"/>
  <c r="AB14" i="7"/>
  <c r="V14" i="7"/>
  <c r="AB15" i="7"/>
  <c r="X15" i="7"/>
  <c r="Z15" i="7"/>
  <c r="T15" i="7"/>
  <c r="X16" i="7"/>
  <c r="T16" i="7"/>
  <c r="Z16" i="7"/>
  <c r="AB16" i="7"/>
  <c r="V16" i="7"/>
  <c r="T17" i="7"/>
  <c r="Z17" i="7"/>
  <c r="X17" i="7"/>
  <c r="AB17" i="7"/>
  <c r="V17" i="7"/>
  <c r="T18" i="7"/>
  <c r="AB18" i="7"/>
  <c r="Z18" i="7"/>
  <c r="X18" i="7"/>
  <c r="V18" i="7"/>
  <c r="AE31" i="1"/>
  <c r="AG37" i="1"/>
  <c r="AC37" i="1"/>
  <c r="AI37" i="1"/>
  <c r="AK37" i="1"/>
  <c r="AG32" i="1"/>
  <c r="AK32" i="1"/>
  <c r="AC32" i="1"/>
  <c r="AI32" i="1"/>
  <c r="AE35" i="1"/>
  <c r="AK39" i="1"/>
  <c r="AC39" i="1"/>
  <c r="AI39" i="1"/>
  <c r="AG39" i="1"/>
  <c r="AI36" i="1"/>
  <c r="AG36" i="1"/>
  <c r="AK36" i="1"/>
  <c r="AC36" i="1"/>
  <c r="AK33" i="1"/>
  <c r="AI33" i="1"/>
  <c r="AG33" i="1"/>
  <c r="AC33" i="1"/>
  <c r="AE39" i="1"/>
  <c r="AE32" i="1"/>
  <c r="W41" i="1"/>
  <c r="AE41" i="1" s="1"/>
  <c r="U41" i="1"/>
  <c r="AA41" i="1" s="1"/>
  <c r="U35" i="1"/>
  <c r="AA35" i="1" s="1"/>
  <c r="W48" i="1"/>
  <c r="U48" i="1"/>
  <c r="AA48" i="1" s="1"/>
  <c r="U40" i="1"/>
  <c r="AA40" i="1" s="1"/>
  <c r="W40" i="1"/>
  <c r="AE40" i="1" s="1"/>
  <c r="U34" i="1"/>
  <c r="AA34" i="1" s="1"/>
  <c r="W33" i="1"/>
  <c r="AE33" i="1" s="1"/>
  <c r="AE36" i="1"/>
  <c r="W46" i="1"/>
  <c r="U46" i="1"/>
  <c r="AA46" i="1" s="1"/>
  <c r="W38" i="1"/>
  <c r="W42" i="1"/>
  <c r="U42" i="1"/>
  <c r="AA42" i="1" s="1"/>
  <c r="U47" i="1"/>
  <c r="AA47" i="1" s="1"/>
  <c r="W47" i="1"/>
  <c r="AE47" i="1" s="1"/>
  <c r="U45" i="1"/>
  <c r="AA45" i="1" s="1"/>
  <c r="W45" i="1"/>
  <c r="U31" i="1"/>
  <c r="AA31" i="1" s="1"/>
  <c r="U44" i="1"/>
  <c r="AA44" i="1" s="1"/>
  <c r="W44" i="1"/>
  <c r="U43" i="1"/>
  <c r="AA43" i="1" s="1"/>
  <c r="W43" i="1"/>
  <c r="AE43" i="1" s="1"/>
  <c r="AI30" i="1"/>
  <c r="AL30" i="1"/>
  <c r="AK30" i="1"/>
  <c r="AG30" i="1"/>
  <c r="AC30" i="1"/>
  <c r="AE30" i="1"/>
  <c r="AG38" i="1"/>
  <c r="AC38" i="1"/>
  <c r="AE38" i="1"/>
  <c r="AK38" i="1"/>
  <c r="AI38" i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AE45" i="1" l="1"/>
  <c r="AE46" i="1"/>
  <c r="AI34" i="1"/>
  <c r="AG34" i="1"/>
  <c r="AC34" i="1"/>
  <c r="AK34" i="1"/>
  <c r="AI43" i="1"/>
  <c r="AK43" i="1"/>
  <c r="AC43" i="1"/>
  <c r="AG43" i="1"/>
  <c r="AK42" i="1"/>
  <c r="AI42" i="1"/>
  <c r="AG42" i="1"/>
  <c r="AC42" i="1"/>
  <c r="AE44" i="1"/>
  <c r="AE42" i="1"/>
  <c r="AK40" i="1"/>
  <c r="AG40" i="1"/>
  <c r="AC40" i="1"/>
  <c r="AI40" i="1"/>
  <c r="AC44" i="1"/>
  <c r="AK44" i="1"/>
  <c r="AI44" i="1"/>
  <c r="AG44" i="1"/>
  <c r="AK48" i="1"/>
  <c r="AI48" i="1"/>
  <c r="AG48" i="1"/>
  <c r="AC48" i="1"/>
  <c r="AK31" i="1"/>
  <c r="AI31" i="1"/>
  <c r="AG31" i="1"/>
  <c r="AC31" i="1"/>
  <c r="AG46" i="1"/>
  <c r="AC46" i="1"/>
  <c r="AI46" i="1"/>
  <c r="AK46" i="1"/>
  <c r="AE48" i="1"/>
  <c r="AC35" i="1"/>
  <c r="AK35" i="1"/>
  <c r="AI35" i="1"/>
  <c r="AG35" i="1"/>
  <c r="AK45" i="1"/>
  <c r="AI45" i="1"/>
  <c r="AG45" i="1"/>
  <c r="AC45" i="1"/>
  <c r="AK41" i="1"/>
  <c r="AC41" i="1"/>
  <c r="AG41" i="1"/>
  <c r="AI41" i="1"/>
  <c r="AE34" i="1"/>
  <c r="AK47" i="1"/>
  <c r="AC47" i="1"/>
  <c r="AI47" i="1"/>
  <c r="AG47" i="1"/>
</calcChain>
</file>

<file path=xl/sharedStrings.xml><?xml version="1.0" encoding="utf-8"?>
<sst xmlns="http://schemas.openxmlformats.org/spreadsheetml/2006/main" count="585" uniqueCount="227">
  <si>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</si>
  <si>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</si>
  <si>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</si>
  <si>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</si>
  <si>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</si>
  <si>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</si>
  <si>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</si>
  <si>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</si>
  <si>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</si>
  <si>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</si>
  <si>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</si>
  <si>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</si>
  <si>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</si>
  <si>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</si>
  <si>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</si>
  <si>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</si>
  <si>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</si>
  <si>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</si>
  <si>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</si>
  <si>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</si>
  <si>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</si>
  <si>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</si>
  <si>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</si>
  <si>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</si>
  <si>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</si>
  <si>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</si>
  <si>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</si>
  <si>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</si>
  <si>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</si>
  <si>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</si>
  <si>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</si>
  <si>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</si>
  <si>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</si>
  <si>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</si>
  <si>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</si>
  <si>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</si>
  <si>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</si>
  <si>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</si>
  <si>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</si>
  <si>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</si>
  <si>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</si>
  <si>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</si>
  <si>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</si>
  <si>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</si>
  <si>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</si>
  <si>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</si>
  <si>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</si>
  <si>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</si>
  <si>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</si>
  <si>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</si>
  <si>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</si>
  <si>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</si>
  <si>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</si>
  <si>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</si>
  <si>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</si>
  <si>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</si>
  <si>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</si>
  <si>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</si>
  <si>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</si>
  <si>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</si>
  <si>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</si>
  <si>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</si>
  <si>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</si>
  <si>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</si>
  <si>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</si>
  <si>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</si>
  <si>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</si>
  <si>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</si>
  <si>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</si>
  <si>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</si>
  <si>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</si>
  <si>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</si>
  <si>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</si>
  <si>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</si>
  <si>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</si>
  <si>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</si>
  <si>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</si>
  <si>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</si>
  <si>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</si>
  <si>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</si>
  <si>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</si>
  <si>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</si>
  <si>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</si>
  <si>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</si>
  <si>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</si>
  <si>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</si>
  <si>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</si>
  <si>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</si>
  <si>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</si>
  <si>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</si>
  <si>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</si>
  <si>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</si>
  <si>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</si>
  <si>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</si>
  <si>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</si>
  <si>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</si>
  <si>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</si>
  <si>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</si>
  <si>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</si>
  <si>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</si>
  <si>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</si>
  <si>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</si>
  <si>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</si>
  <si>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</si>
  <si>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</si>
  <si>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</si>
  <si>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</si>
  <si>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</si>
  <si>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</si>
  <si>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</si>
  <si>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</si>
  <si>
    <t>Petrol</t>
  </si>
  <si>
    <t>Nat Gas</t>
  </si>
  <si>
    <t>HSD</t>
  </si>
  <si>
    <t>FO</t>
  </si>
  <si>
    <t>Ton</t>
  </si>
  <si>
    <t>KL</t>
  </si>
  <si>
    <t>Kapasitas</t>
  </si>
  <si>
    <t>Private Cons</t>
  </si>
  <si>
    <t>Gov Cons</t>
  </si>
  <si>
    <t>Fixed Capital</t>
  </si>
  <si>
    <t>Stock Change</t>
  </si>
  <si>
    <t>Export</t>
  </si>
  <si>
    <t>Import</t>
  </si>
  <si>
    <t>GDP Current Price</t>
  </si>
  <si>
    <t>GDP Deflator</t>
  </si>
  <si>
    <t>Energy Final Cons (BOE)</t>
  </si>
  <si>
    <t>Primary Energy Supply (BOE)</t>
  </si>
  <si>
    <t>GDP (Rp/Year)</t>
  </si>
  <si>
    <t>Population</t>
  </si>
  <si>
    <t>Coal BOE</t>
  </si>
  <si>
    <t>Hydro Power</t>
  </si>
  <si>
    <t>Biofuel</t>
  </si>
  <si>
    <t>Share Coal</t>
  </si>
  <si>
    <t>Share Crude Oil</t>
  </si>
  <si>
    <t>Natural gas</t>
  </si>
  <si>
    <t>EBT</t>
  </si>
  <si>
    <t>Share Natural Gas</t>
  </si>
  <si>
    <t>Share EBT</t>
  </si>
  <si>
    <t>Wind</t>
  </si>
  <si>
    <t>Other</t>
  </si>
  <si>
    <t>Solar Powered Lamp etc.</t>
  </si>
  <si>
    <t>GDP Price 2000 (Billion Rupiahs)</t>
  </si>
  <si>
    <t>GDP Price 2010 (Billion Rp)</t>
  </si>
  <si>
    <t>GDP Deflator terhadap tahun 2000</t>
  </si>
  <si>
    <t>GDP Current Price(Rp/Year)</t>
  </si>
  <si>
    <t>Time</t>
  </si>
  <si>
    <t>PDB</t>
  </si>
  <si>
    <t>Kebutuhan Energi Domestik</t>
  </si>
  <si>
    <t>Permintaan Batubara</t>
  </si>
  <si>
    <t>Permintaan Minyak Bumi</t>
  </si>
  <si>
    <t>Permintaan Gas Bumi</t>
  </si>
  <si>
    <t>Intensitas Energi Primer (BOE/Milyar Rp 2000)</t>
  </si>
  <si>
    <t>Intensitas Energi Primer (BOE/Milyar Rp Berlaku)</t>
  </si>
  <si>
    <t>Energi Per Kapita</t>
  </si>
  <si>
    <t>Labor Force</t>
  </si>
  <si>
    <t>Household</t>
  </si>
  <si>
    <t>Unemployment</t>
  </si>
  <si>
    <t>Unemployment (%)</t>
  </si>
  <si>
    <t>Industry</t>
  </si>
  <si>
    <t>Hotel</t>
  </si>
  <si>
    <t>Mining</t>
  </si>
  <si>
    <t>Average Wage (Thousand per Month)</t>
  </si>
  <si>
    <t>Permintaan Energi Baru dan Terbarukan</t>
  </si>
  <si>
    <t>Populasi</t>
  </si>
  <si>
    <t>GDP Per Capita (Current Price, Ribu Rp)</t>
  </si>
  <si>
    <t>GDP Per Capita (Rp)</t>
  </si>
  <si>
    <t>PDB Per Kapita</t>
  </si>
  <si>
    <t>GDP Current Price (MilyarRp)</t>
  </si>
  <si>
    <t>Kebutuhan Energi Per Kapita</t>
  </si>
  <si>
    <t>Primary Supply per Capita (BOE/Person)</t>
  </si>
  <si>
    <t>Hydropower</t>
  </si>
  <si>
    <t>Bauran Suplai Batubara</t>
  </si>
  <si>
    <t>Bauran Suplai Minyak Bumi</t>
  </si>
  <si>
    <t>Bauran Suplai Gas Bumi</t>
  </si>
  <si>
    <t>Batubara</t>
  </si>
  <si>
    <t>Minyak Bumi</t>
  </si>
  <si>
    <t>Gas Bumi</t>
  </si>
  <si>
    <t>Biomass (include non komersial)</t>
  </si>
  <si>
    <t>Biomass komersil</t>
  </si>
  <si>
    <t>Persentase biomass komersil</t>
  </si>
  <si>
    <t>Produksi</t>
  </si>
  <si>
    <t>Ekspor</t>
  </si>
  <si>
    <t>Impor</t>
  </si>
  <si>
    <t>Batubara (Ton)</t>
  </si>
  <si>
    <t>Batubara (BOE)</t>
  </si>
  <si>
    <t>BOE/Ton</t>
  </si>
  <si>
    <t>Batubara (BOE) - Energy Balance Sheet</t>
  </si>
  <si>
    <t>Batubara (Thousand BOE) - Energy Balance Sheet</t>
  </si>
  <si>
    <t>Nett</t>
  </si>
  <si>
    <t>Fraksi Impor</t>
  </si>
  <si>
    <t>Ekspor Batubara</t>
  </si>
  <si>
    <t>Eksploitasi Batubara</t>
  </si>
  <si>
    <t>Impor Batubara</t>
  </si>
  <si>
    <t>Primary Energy Supply</t>
  </si>
  <si>
    <t>Petrol Oil</t>
  </si>
  <si>
    <t>2018, Thousand BOE</t>
  </si>
  <si>
    <t>Production</t>
  </si>
  <si>
    <t>Refinery Input</t>
  </si>
  <si>
    <t>Thousand Barrel</t>
  </si>
  <si>
    <t>Thousand Bpd</t>
  </si>
  <si>
    <t>Barrel</t>
  </si>
  <si>
    <t>Ekspor Minyak Bumi</t>
  </si>
  <si>
    <t>Impor Minyak Bumi</t>
  </si>
  <si>
    <t>Eksploitasi Minyak Bumi</t>
  </si>
  <si>
    <t>Eksploitasi Gas Bumi</t>
  </si>
  <si>
    <t>Natural Gas Reserves (SCF)</t>
  </si>
  <si>
    <t>Non Associated</t>
  </si>
  <si>
    <t>Natural Gas Production (SCF)</t>
  </si>
  <si>
    <t>Natural Gas (Energy Balance) (Thousand BOE)</t>
  </si>
  <si>
    <t>Natural Gas (Energy Balance) (BOE)</t>
  </si>
  <si>
    <t>Natural Gas (Energy Balance) (SCF)</t>
  </si>
  <si>
    <t>SCF/BOE</t>
  </si>
  <si>
    <t>Cadangan Gas Bumi</t>
  </si>
  <si>
    <t>Kebutuhan Energi Non Rumah Tangga</t>
  </si>
  <si>
    <t>Kebutuhan Energi Rumah Tangga</t>
  </si>
  <si>
    <t>Total (BOE)</t>
  </si>
  <si>
    <t>Intensitas Energi Non Rumah Tangga</t>
  </si>
  <si>
    <t>Intensitas Energi Rumah Tangga</t>
  </si>
  <si>
    <t>Reserve - Eksploitasi</t>
  </si>
  <si>
    <t>SHARE Primary Energy Supply by Sources</t>
  </si>
  <si>
    <t>Primary Energy Supply by Sources (BOE)</t>
  </si>
  <si>
    <t>Permintaan Gas Bumi (SCF)</t>
  </si>
  <si>
    <t>Tahun</t>
  </si>
  <si>
    <t>Permintaan Gas Bumi Aktual</t>
  </si>
  <si>
    <t>Permintaan EBT (BOE)</t>
  </si>
  <si>
    <t>Produksi Energi dari Sumber Terbarukan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</si>
</sst>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Bahnschrift Condensed"/>
      <family val="2"/>
    </font>
    <font>
      <b/>
      <sz val="1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/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1" xfId="0" applyNumberForma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right" vertical="center" wrapText="1"/>
    </xf>
    <xf numFmtId="3" fontId="0" fillId="2" borderId="0" xfId="0" applyNumberFormat="1" applyFill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43" fontId="0" fillId="2" borderId="1" xfId="1" applyFont="1" applyFill="1" applyBorder="1"/>
    <xf numFmtId="0" fontId="0" fillId="0" borderId="0" xfId="0" applyNumberFormat="1"/>
    <xf numFmtId="3" fontId="0" fillId="0" borderId="0" xfId="0" applyNumberFormat="1" applyFont="1"/>
    <xf numFmtId="3" fontId="3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0" fillId="0" borderId="0" xfId="0" applyNumberFormat="1" applyFont="1"/>
    <xf numFmtId="43" fontId="1" fillId="0" borderId="0" xfId="1" applyFont="1"/>
    <xf numFmtId="165" fontId="0" fillId="0" borderId="0" xfId="0" applyNumberFormat="1"/>
    <xf numFmtId="2" fontId="0" fillId="0" borderId="1" xfId="0" applyNumberFormat="1" applyBorder="1"/>
    <xf numFmtId="43" fontId="0" fillId="0" borderId="1" xfId="0" applyNumberFormat="1" applyBorder="1"/>
    <xf numFmtId="0" fontId="0" fillId="0" borderId="11" xfId="0" applyFill="1" applyBorder="1"/>
    <xf numFmtId="0" fontId="0" fillId="0" borderId="11" xfId="0" applyBorder="1"/>
    <xf numFmtId="43" fontId="0" fillId="0" borderId="0" xfId="0" applyNumberFormat="1" applyBorder="1"/>
    <xf numFmtId="43" fontId="0" fillId="0" borderId="0" xfId="1" applyFont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0" fontId="5" fillId="6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/>
    <xf numFmtId="43" fontId="4" fillId="5" borderId="1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7" xfId="0" applyBorder="1"/>
    <xf numFmtId="3" fontId="0" fillId="0" borderId="1" xfId="0" applyNumberFormat="1" applyFont="1" applyBorder="1"/>
    <xf numFmtId="0" fontId="5" fillId="6" borderId="2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0" fontId="0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166" fontId="0" fillId="2" borderId="1" xfId="0" applyNumberFormat="1" applyFill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'Eksploitasi Gas Bumi'!$P$3:$P$21</c:f>
              <c:numCache>
                <c:formatCode>General</c:formatCode>
                <c:ptCount val="19"/>
                <c:pt idx="0">
                  <c:v>2901302000000</c:v>
                </c:pt>
                <c:pt idx="1">
                  <c:v>2806084000000</c:v>
                </c:pt>
                <c:pt idx="2">
                  <c:v>3036355000000</c:v>
                </c:pt>
                <c:pt idx="3">
                  <c:v>3155243000000</c:v>
                </c:pt>
                <c:pt idx="4">
                  <c:v>3003945000000</c:v>
                </c:pt>
                <c:pt idx="5">
                  <c:v>2985341000000</c:v>
                </c:pt>
                <c:pt idx="6">
                  <c:v>2953997000000</c:v>
                </c:pt>
                <c:pt idx="7">
                  <c:v>2805540000000</c:v>
                </c:pt>
                <c:pt idx="8">
                  <c:v>2885328000000</c:v>
                </c:pt>
                <c:pt idx="9">
                  <c:v>3060897000000</c:v>
                </c:pt>
                <c:pt idx="10">
                  <c:v>3407592000000</c:v>
                </c:pt>
                <c:pt idx="11">
                  <c:v>3256379000000</c:v>
                </c:pt>
                <c:pt idx="12">
                  <c:v>3174639000000</c:v>
                </c:pt>
                <c:pt idx="13">
                  <c:v>3120838000000</c:v>
                </c:pt>
                <c:pt idx="14">
                  <c:v>3175791000000</c:v>
                </c:pt>
                <c:pt idx="15" formatCode="_(* #,##0.00_);_(* \(#,##0.00\);_(* &quot;-&quot;??_);_(@_)">
                  <c:v>3116142000000</c:v>
                </c:pt>
                <c:pt idx="16">
                  <c:v>3070239000000</c:v>
                </c:pt>
                <c:pt idx="17">
                  <c:v>2963184000000</c:v>
                </c:pt>
                <c:pt idx="18">
                  <c:v>2996802000000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8-4FCB-A85D-AAE41531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500271"/>
        <c:axId val="1545735199"/>
      </c:lineChart>
      <c:catAx>
        <c:axId val="165250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35199"/>
        <c:crosses val="autoZero"/>
        <c:auto val="1"/>
        <c:lblAlgn val="ctr"/>
        <c:lblOffset val="100"/>
        <c:noMultiLvlLbl val="0"/>
      </c:catAx>
      <c:valAx>
        <c:axId val="15457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0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1400175</xdr:colOff>
      <xdr:row>23</xdr:row>
      <xdr:rowOff>80962</xdr:rowOff>
    </xdr:from>
    <xdr:to>
      <xdr:col>14</xdr:col>
      <xdr:colOff>781050</xdr:colOff>
      <xdr:row>37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2D723-2020-436A-B3E3-4B5D3B8F7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E83E-D9B8-4FAD-81B2-42F9EAFFBC69}">
  <dimension ref="A1:V2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9" sqref="B29:T29"/>
    </sheetView>
  </sheetViews>
  <sheetFormatPr defaultRowHeight="15" x14ac:dyDescent="0.25"/>
  <cols>
    <col min="1" max="1" width="36.7109375" bestFit="1" customWidth="1"/>
    <col min="2" max="2" width="12" bestFit="1" customWidth="1"/>
    <col min="6" max="6" width="12" bestFit="1" customWidth="1"/>
  </cols>
  <sheetData>
    <row r="1" spans="1:2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147</v>
      </c>
      <c r="B2">
        <f>VLOOKUP(B1,'Macro dari HEESI'!$N$2:$S$22,6)</f>
        <v>1389769.9</v>
      </c>
      <c r="C2">
        <f>VLOOKUP(C1,'Macro dari HEESI'!$N$2:$S$22,6)</f>
        <v>1684280.5</v>
      </c>
      <c r="D2">
        <f>VLOOKUP(D1,'Macro dari HEESI'!$N$2:$S$22,6)</f>
        <v>1863274.7</v>
      </c>
      <c r="E2">
        <f>VLOOKUP(E1,'Macro dari HEESI'!$N$2:$S$22,6)</f>
        <v>2013674.6</v>
      </c>
      <c r="F2">
        <f>VLOOKUP(F1,'Macro dari HEESI'!$N$2:$S$22,6)</f>
        <v>2295826.2000000002</v>
      </c>
      <c r="G2">
        <f>VLOOKUP(G1,'Macro dari HEESI'!$N$2:$S$22,6)</f>
        <v>2774281.1</v>
      </c>
      <c r="H2">
        <f>VLOOKUP(H1,'Macro dari HEESI'!$N$2:$S$22,6)</f>
        <v>3339479.6</v>
      </c>
      <c r="I2">
        <f>VLOOKUP(I1,'Macro dari HEESI'!$N$2:$S$22,6)</f>
        <v>3950893.2</v>
      </c>
      <c r="J2">
        <f>VLOOKUP(J1,'Macro dari HEESI'!$N$2:$S$22,6)</f>
        <v>4951356.7</v>
      </c>
      <c r="K2">
        <f>VLOOKUP(K1,'Macro dari HEESI'!$N$2:$S$22,6)</f>
        <v>5606203.4000000004</v>
      </c>
      <c r="L2">
        <f>VLOOKUP(L1,'Macro dari HEESI'!$N$2:$S$22,6)</f>
        <v>6864133</v>
      </c>
      <c r="M2">
        <f>VLOOKUP(M1,'Macro dari HEESI'!$N$2:$S$22,6)</f>
        <v>7831726</v>
      </c>
      <c r="N2">
        <f>VLOOKUP(N1,'Macro dari HEESI'!$N$2:$S$22,6)</f>
        <v>8615704</v>
      </c>
      <c r="O2">
        <f>VLOOKUP(O1,'Macro dari HEESI'!$N$2:$S$22,6)</f>
        <v>9546134</v>
      </c>
      <c r="P2">
        <f>VLOOKUP(P1,'Macro dari HEESI'!$N$2:$S$22,6)</f>
        <v>10569705</v>
      </c>
      <c r="Q2">
        <f>VLOOKUP(Q1,'Macro dari HEESI'!$N$2:$S$22,6)</f>
        <v>11526333</v>
      </c>
      <c r="R2">
        <f>VLOOKUP(R1,'Macro dari HEESI'!$N$2:$S$22,6)</f>
        <v>12406774</v>
      </c>
      <c r="S2">
        <f>VLOOKUP(S1,'Macro dari HEESI'!$N$2:$S$22,6)</f>
        <v>13587213</v>
      </c>
      <c r="T2">
        <f>VLOOKUP(T1,'Macro dari HEESI'!$N$2:$S$22,6)</f>
        <v>14837357</v>
      </c>
    </row>
    <row r="3" spans="1:22" x14ac:dyDescent="0.25">
      <c r="A3" t="s">
        <v>167</v>
      </c>
      <c r="B3">
        <f>VLOOKUP(B1,'Macro dari HEESI'!$N$2:$U$22,8)</f>
        <v>6752000</v>
      </c>
      <c r="C3">
        <f>VLOOKUP(C1,'Macro dari HEESI'!$N$2:$U$22,8)</f>
        <v>8072000</v>
      </c>
      <c r="D3">
        <f>VLOOKUP(D1,'Macro dari HEESI'!$N$2:$U$22,8)</f>
        <v>8789000</v>
      </c>
      <c r="E3">
        <f>VLOOKUP(E1,'Macro dari HEESI'!$N$2:$U$22,8)</f>
        <v>9354000</v>
      </c>
      <c r="F3">
        <f>VLOOKUP(F1,'Macro dari HEESI'!$N$2:$U$22,8)</f>
        <v>10538000</v>
      </c>
      <c r="G3">
        <f>VLOOKUP(G1,'Macro dari HEESI'!$N$2:$U$22,8)</f>
        <v>12676000</v>
      </c>
      <c r="H3">
        <f>VLOOKUP(H1,'Macro dari HEESI'!$N$2:$U$22,8)</f>
        <v>15030000</v>
      </c>
      <c r="I3">
        <f>VLOOKUP(I1,'Macro dari HEESI'!$N$2:$U$22,8)</f>
        <v>17510000</v>
      </c>
      <c r="J3">
        <f>VLOOKUP(J1,'Macro dari HEESI'!$N$2:$U$22,8)</f>
        <v>21365000</v>
      </c>
      <c r="K3">
        <f>VLOOKUP(K1,'Macro dari HEESI'!$N$2:$U$22,8)</f>
        <v>26485000</v>
      </c>
      <c r="L3">
        <f>VLOOKUP(L1,'Macro dari HEESI'!$N$2:$U$22,8)</f>
        <v>27029000</v>
      </c>
      <c r="M3">
        <f>VLOOKUP(M1,'Macro dari HEESI'!$N$2:$U$22,8)</f>
        <v>33461000</v>
      </c>
      <c r="N3">
        <f>VLOOKUP(N1,'Macro dari HEESI'!$N$2:$U$22,8)</f>
        <v>33582000</v>
      </c>
      <c r="O3">
        <f>VLOOKUP(O1,'Macro dari HEESI'!$N$2:$U$22,8)</f>
        <v>32464000</v>
      </c>
      <c r="P3">
        <f>VLOOKUP(P1,'Macro dari HEESI'!$N$2:$U$22,8)</f>
        <v>41916000</v>
      </c>
      <c r="Q3">
        <f>VLOOKUP(Q1,'Macro dari HEESI'!$N$2:$U$22,8)</f>
        <v>45120000</v>
      </c>
      <c r="R3">
        <f>VLOOKUP(R1,'Macro dari HEESI'!$N$2:$U$22,8)</f>
        <v>47957000</v>
      </c>
      <c r="S3">
        <f>VLOOKUP(S1,'Macro dari HEESI'!$N$2:$U$22,8)</f>
        <v>51887000</v>
      </c>
      <c r="T3">
        <f>VLOOKUP(T1,'Macro dari HEESI'!$N$2:$U$22,8)</f>
        <v>55987000</v>
      </c>
    </row>
    <row r="4" spans="1:22" x14ac:dyDescent="0.25">
      <c r="A4" t="s">
        <v>148</v>
      </c>
      <c r="B4">
        <f>VLOOKUP(B1,'Energi Primer Nasional'!$A$2:$N$22,14)</f>
        <v>995741610</v>
      </c>
      <c r="C4">
        <f>VLOOKUP(C1,'Energi Primer Nasional'!$A$2:$N$22,14)</f>
        <v>1041252219</v>
      </c>
      <c r="D4">
        <f>VLOOKUP(D1,'Energi Primer Nasional'!$A$2:$N$22,14)</f>
        <v>1070035892</v>
      </c>
      <c r="E4">
        <f>VLOOKUP(E1,'Energi Primer Nasional'!$A$2:$N$22,14)</f>
        <v>1131058046</v>
      </c>
      <c r="F4">
        <f>VLOOKUP(F1,'Energi Primer Nasional'!$A$2:$N$22,14)</f>
        <v>1144483636</v>
      </c>
      <c r="G4">
        <f>VLOOKUP(G1,'Energi Primer Nasional'!$A$2:$N$22,14)</f>
        <v>1166487650</v>
      </c>
      <c r="H4">
        <f>VLOOKUP(H1,'Energi Primer Nasional'!$A$2:$N$22,14)</f>
        <v>1174083174</v>
      </c>
      <c r="I4">
        <f>VLOOKUP(I1,'Energi Primer Nasional'!$A$2:$N$22,14)</f>
        <v>1226942397</v>
      </c>
      <c r="J4">
        <f>VLOOKUP(J1,'Energi Primer Nasional'!$A$2:$N$22,14)</f>
        <v>1255659172</v>
      </c>
      <c r="K4">
        <f>VLOOKUP(K1,'Energi Primer Nasional'!$A$2:$N$22,14)</f>
        <v>1279078618</v>
      </c>
      <c r="L4">
        <f>VLOOKUP(L1,'Energi Primer Nasional'!$A$2:$N$22,14)</f>
        <v>1404083109</v>
      </c>
      <c r="M4">
        <f>VLOOKUP(M1,'Energi Primer Nasional'!$A$2:$N$22,14)</f>
        <v>1474344297</v>
      </c>
      <c r="N4">
        <f>VLOOKUP(N1,'Energi Primer Nasional'!$A$2:$N$22,14)</f>
        <v>1523714215</v>
      </c>
      <c r="O4">
        <f>VLOOKUP(O1,'Energi Primer Nasional'!$A$2:$N$22,14)</f>
        <v>1548087123</v>
      </c>
      <c r="P4">
        <f>VLOOKUP(P1,'Energi Primer Nasional'!$A$2:$N$22,14)</f>
        <v>1682434520</v>
      </c>
      <c r="Q4">
        <f>VLOOKUP(Q1,'Energi Primer Nasional'!$A$2:$N$22,14)</f>
        <v>1618521072.7176569</v>
      </c>
      <c r="R4">
        <f>VLOOKUP(R1,'Energi Primer Nasional'!$A$2:$N$22,14)</f>
        <v>1590719836.976872</v>
      </c>
      <c r="S4">
        <f>VLOOKUP(S1,'Energi Primer Nasional'!$A$2:$N$22,14)</f>
        <v>1654495935.6630902</v>
      </c>
      <c r="T4">
        <f>VLOOKUP(T1,'Energi Primer Nasional'!$A$2:$N$22,14)</f>
        <v>1789078420.0291038</v>
      </c>
    </row>
    <row r="5" spans="1:22" x14ac:dyDescent="0.25">
      <c r="A5" t="s">
        <v>169</v>
      </c>
      <c r="B5">
        <f>VLOOKUP(B1,'Macro dari HEESI'!$V$2:$W$20,2)</f>
        <v>3.53</v>
      </c>
      <c r="C5">
        <f>VLOOKUP(C1,'Macro dari HEESI'!$V$2:$W$20,2)</f>
        <v>3.7</v>
      </c>
      <c r="D5">
        <f>VLOOKUP(D1,'Macro dari HEESI'!$V$2:$W$20,2)</f>
        <v>3.77</v>
      </c>
      <c r="E5">
        <f>VLOOKUP(E1,'Macro dari HEESI'!$V$2:$W$20,2)</f>
        <v>3.99</v>
      </c>
      <c r="F5">
        <f>VLOOKUP(F1,'Macro dari HEESI'!$V$2:$W$20,2)</f>
        <v>4.01</v>
      </c>
      <c r="G5">
        <f>VLOOKUP(G1,'Macro dari HEESI'!$V$2:$W$20,2)</f>
        <v>4.0999999999999996</v>
      </c>
      <c r="H5">
        <f>VLOOKUP(H1,'Macro dari HEESI'!$V$2:$W$20,2)</f>
        <v>4.05</v>
      </c>
      <c r="I5">
        <f>VLOOKUP(I1,'Macro dari HEESI'!$V$2:$W$20,2)</f>
        <v>4.24</v>
      </c>
      <c r="J5">
        <f>VLOOKUP(J1,'Macro dari HEESI'!$V$2:$W$20,2)</f>
        <v>4.2300000000000004</v>
      </c>
      <c r="K5">
        <f>VLOOKUP(K1,'Macro dari HEESI'!$V$2:$W$20,2)</f>
        <v>4.3</v>
      </c>
      <c r="L5">
        <f>VLOOKUP(L1,'Macro dari HEESI'!$V$2:$W$20,2)</f>
        <v>4.51</v>
      </c>
      <c r="M5">
        <f>VLOOKUP(M1,'Macro dari HEESI'!$V$2:$W$20,2)</f>
        <v>4.9800000000000004</v>
      </c>
      <c r="N5">
        <f>VLOOKUP(N1,'Macro dari HEESI'!$V$2:$W$20,2)</f>
        <v>5.0599999999999996</v>
      </c>
      <c r="O5">
        <f>VLOOKUP(O1,'Macro dari HEESI'!$V$2:$W$20,2)</f>
        <v>4.91</v>
      </c>
      <c r="P5">
        <f>VLOOKUP(P1,'Macro dari HEESI'!$V$2:$W$20,2)</f>
        <v>4.92</v>
      </c>
      <c r="Q5">
        <f>VLOOKUP(Q1,'Macro dari HEESI'!$V$2:$W$20,2)</f>
        <v>5.1100000000000003</v>
      </c>
      <c r="R5">
        <f>VLOOKUP(R1,'Macro dari HEESI'!$V$2:$W$20,2)</f>
        <v>4.93</v>
      </c>
      <c r="S5">
        <f>VLOOKUP(S1,'Macro dari HEESI'!$V$2:$W$20,2)</f>
        <v>5.0999999999999996</v>
      </c>
      <c r="T5">
        <f>VLOOKUP(T1,'Macro dari HEESI'!$V$2:$W$20,2)</f>
        <v>5.53</v>
      </c>
    </row>
    <row r="6" spans="1:22" x14ac:dyDescent="0.25">
      <c r="A6" t="s">
        <v>149</v>
      </c>
      <c r="B6">
        <f>VLOOKUP(B1,'Energi Primer Nasional'!$A$2:$X$22,17)</f>
        <v>93831548</v>
      </c>
      <c r="C6">
        <f>VLOOKUP(C1,'Energi Primer Nasional'!$A$2:$X$22,17)</f>
        <v>119125379</v>
      </c>
      <c r="D6">
        <f>VLOOKUP(D1,'Energi Primer Nasional'!$A$2:$X$22,17)</f>
        <v>122879411</v>
      </c>
      <c r="E6">
        <f>VLOOKUP(E1,'Energi Primer Nasional'!$A$2:$X$22,17)</f>
        <v>164950173</v>
      </c>
      <c r="F6">
        <f>VLOOKUP(F1,'Energi Primer Nasional'!$A$2:$X$22,17)</f>
        <v>151543284</v>
      </c>
      <c r="G6">
        <f>VLOOKUP(G1,'Energi Primer Nasional'!$A$2:$X$22,17)</f>
        <v>173673093</v>
      </c>
      <c r="H6">
        <f>VLOOKUP(H1,'Energi Primer Nasional'!$A$2:$X$22,17)</f>
        <v>205779290</v>
      </c>
      <c r="I6">
        <f>VLOOKUP(I1,'Energi Primer Nasional'!$A$2:$X$22,17)</f>
        <v>258174000</v>
      </c>
      <c r="J6">
        <f>VLOOKUP(J1,'Energi Primer Nasional'!$A$2:$X$22,17)</f>
        <v>224587657</v>
      </c>
      <c r="K6">
        <f>VLOOKUP(K1,'Energi Primer Nasional'!$A$2:$X$22,17)</f>
        <v>236439000</v>
      </c>
      <c r="L6">
        <f>VLOOKUP(L1,'Energi Primer Nasional'!$A$2:$X$22,17)</f>
        <v>281400000</v>
      </c>
      <c r="M6">
        <f>VLOOKUP(M1,'Energi Primer Nasional'!$A$2:$X$22,17)</f>
        <v>334142760</v>
      </c>
      <c r="N6">
        <f>VLOOKUP(N1,'Energi Primer Nasional'!$A$2:$X$22,17)</f>
        <v>377892961</v>
      </c>
      <c r="O6">
        <f>VLOOKUP(O1,'Energi Primer Nasional'!$A$2:$X$22,17)</f>
        <v>410566607</v>
      </c>
      <c r="P6">
        <f>VLOOKUP(P1,'Energi Primer Nasional'!$A$2:$X$22,17)</f>
        <v>497804744</v>
      </c>
      <c r="Q6">
        <f>VLOOKUP(Q1,'Energi Primer Nasional'!$A$2:$X$22,17)</f>
        <v>364619216</v>
      </c>
      <c r="R6">
        <f>VLOOKUP(R1,'Energi Primer Nasional'!$A$2:$X$22,17)</f>
        <v>380310000</v>
      </c>
      <c r="S6">
        <f>VLOOKUP(S1,'Energi Primer Nasional'!$A$2:$X$22,17)</f>
        <v>407526000</v>
      </c>
      <c r="T6">
        <f>VLOOKUP(T1,'Energi Primer Nasional'!$A$2:$X$22,17)</f>
        <v>483336000</v>
      </c>
    </row>
    <row r="7" spans="1:22" x14ac:dyDescent="0.25">
      <c r="A7" t="s">
        <v>150</v>
      </c>
      <c r="B7">
        <f>VLOOKUP(B1,'Energi Primer Nasional'!$A$2:$X$22,18)</f>
        <v>433360999</v>
      </c>
      <c r="C7">
        <f>VLOOKUP(C1,'Energi Primer Nasional'!$A$2:$X$22,18)</f>
        <v>441731352</v>
      </c>
      <c r="D7">
        <f>VLOOKUP(D1,'Energi Primer Nasional'!$A$2:$X$22,18)</f>
        <v>452817870</v>
      </c>
      <c r="E7">
        <f>VLOOKUP(E1,'Energi Primer Nasional'!$A$2:$X$22,18)</f>
        <v>456647707</v>
      </c>
      <c r="F7">
        <f>VLOOKUP(F1,'Energi Primer Nasional'!$A$2:$X$22,18)</f>
        <v>498117696</v>
      </c>
      <c r="G7">
        <f>VLOOKUP(G1,'Energi Primer Nasional'!$A$2:$X$22,18)</f>
        <v>493636985</v>
      </c>
      <c r="H7">
        <f>VLOOKUP(H1,'Energi Primer Nasional'!$A$2:$X$22,18)</f>
        <v>459929016</v>
      </c>
      <c r="I7">
        <f>VLOOKUP(I1,'Energi Primer Nasional'!$A$2:$X$22,18)</f>
        <v>470036057</v>
      </c>
      <c r="J7">
        <f>VLOOKUP(J1,'Energi Primer Nasional'!$A$2:$X$22,18)</f>
        <v>474496098</v>
      </c>
      <c r="K7">
        <f>VLOOKUP(K1,'Energi Primer Nasional'!$A$2:$X$22,18)</f>
        <v>467883065</v>
      </c>
      <c r="L7">
        <f>VLOOKUP(L1,'Energi Primer Nasional'!$A$2:$X$22,18)</f>
        <v>518405561</v>
      </c>
      <c r="M7">
        <f>VLOOKUP(M1,'Energi Primer Nasional'!$A$2:$X$22,18)</f>
        <v>546635311</v>
      </c>
      <c r="N7">
        <f>VLOOKUP(N1,'Energi Primer Nasional'!$A$2:$X$22,18)</f>
        <v>533830676</v>
      </c>
      <c r="O7">
        <f>VLOOKUP(O1,'Energi Primer Nasional'!$A$2:$X$22,18)</f>
        <v>542950370</v>
      </c>
      <c r="P7">
        <f>VLOOKUP(P1,'Energi Primer Nasional'!$A$2:$X$22,18)</f>
        <v>544795076</v>
      </c>
      <c r="Q7">
        <f>VLOOKUP(Q1,'Energi Primer Nasional'!$A$2:$X$22,18)</f>
        <v>607791169</v>
      </c>
      <c r="R7">
        <f>VLOOKUP(R1,'Energi Primer Nasional'!$A$2:$X$22,18)</f>
        <v>534207126</v>
      </c>
      <c r="S7">
        <f>VLOOKUP(S1,'Energi Primer Nasional'!$A$2:$X$22,18)</f>
        <v>567528788</v>
      </c>
      <c r="T7">
        <f>VLOOKUP(T1,'Energi Primer Nasional'!$A$2:$X$22,18)</f>
        <v>569024765</v>
      </c>
    </row>
    <row r="8" spans="1:22" x14ac:dyDescent="0.25">
      <c r="A8" t="s">
        <v>151</v>
      </c>
      <c r="B8">
        <f>VLOOKUP(B1,'Energi Primer Nasional'!$A$2:$X$22,19)</f>
        <v>164649922</v>
      </c>
      <c r="C8">
        <f>VLOOKUP(C1,'Energi Primer Nasional'!$A$2:$X$22,19)</f>
        <v>172083907</v>
      </c>
      <c r="D8">
        <f>VLOOKUP(D1,'Energi Primer Nasional'!$A$2:$X$22,19)</f>
        <v>188822314</v>
      </c>
      <c r="E8">
        <f>VLOOKUP(E1,'Energi Primer Nasional'!$A$2:$X$22,19)</f>
        <v>204142054</v>
      </c>
      <c r="F8">
        <f>VLOOKUP(F1,'Energi Primer Nasional'!$A$2:$X$22,19)</f>
        <v>187553776</v>
      </c>
      <c r="G8">
        <f>VLOOKUP(G1,'Energi Primer Nasional'!$A$2:$X$22,19)</f>
        <v>191189376</v>
      </c>
      <c r="H8">
        <f>VLOOKUP(H1,'Energi Primer Nasional'!$A$2:$X$22,19)</f>
        <v>196599386</v>
      </c>
      <c r="I8">
        <f>VLOOKUP(I1,'Energi Primer Nasional'!$A$2:$X$22,19)</f>
        <v>183623636</v>
      </c>
      <c r="J8">
        <f>VLOOKUP(J1,'Energi Primer Nasional'!$A$2:$X$22,19)</f>
        <v>236049566</v>
      </c>
      <c r="K8">
        <f>VLOOKUP(K1,'Energi Primer Nasional'!$A$2:$X$22,19)</f>
        <v>251035250</v>
      </c>
      <c r="L8">
        <f>VLOOKUP(L1,'Energi Primer Nasional'!$A$2:$X$22,19)</f>
        <v>269942185</v>
      </c>
      <c r="M8">
        <f>VLOOKUP(M1,'Energi Primer Nasional'!$A$2:$X$22,19)</f>
        <v>261708332</v>
      </c>
      <c r="N8">
        <f>VLOOKUP(N1,'Energi Primer Nasional'!$A$2:$X$22,19)</f>
        <v>259456414</v>
      </c>
      <c r="O8">
        <f>VLOOKUP(O1,'Energi Primer Nasional'!$A$2:$X$22,19)</f>
        <v>232399957</v>
      </c>
      <c r="P8">
        <f>VLOOKUP(P1,'Energi Primer Nasional'!$A$2:$X$22,19)</f>
        <v>271375371</v>
      </c>
      <c r="Q8">
        <f>VLOOKUP(Q1,'Energi Primer Nasional'!$A$2:$X$22,19)</f>
        <v>275465640</v>
      </c>
      <c r="R8">
        <f>VLOOKUP(R1,'Energi Primer Nasional'!$A$2:$X$22,19)</f>
        <v>277169757</v>
      </c>
      <c r="S8">
        <f>VLOOKUP(S1,'Energi Primer Nasional'!$A$2:$X$22,19)</f>
        <v>275142227</v>
      </c>
      <c r="T8">
        <f>VLOOKUP(T1,'Energi Primer Nasional'!$A$2:$X$22,19)</f>
        <v>288310815</v>
      </c>
    </row>
    <row r="9" spans="1:22" x14ac:dyDescent="0.25">
      <c r="A9" t="s">
        <v>163</v>
      </c>
      <c r="B9">
        <f>VLOOKUP(B1,'Energi Primer Nasional'!$A$2:$X$22,20)</f>
        <v>303899141</v>
      </c>
      <c r="C9">
        <f>VLOOKUP(C1,'Energi Primer Nasional'!$A$2:$X$22,20)</f>
        <v>308311581</v>
      </c>
      <c r="D9">
        <f>VLOOKUP(D1,'Energi Primer Nasional'!$A$2:$X$22,20)</f>
        <v>305516297</v>
      </c>
      <c r="E9">
        <f>VLOOKUP(E1,'Energi Primer Nasional'!$A$2:$X$22,20)</f>
        <v>305318112</v>
      </c>
      <c r="F9">
        <f>VLOOKUP(F1,'Energi Primer Nasional'!$A$2:$X$22,20)</f>
        <v>307268880</v>
      </c>
      <c r="G9">
        <f>VLOOKUP(G1,'Energi Primer Nasional'!$A$2:$X$22,20)</f>
        <v>307988196</v>
      </c>
      <c r="H9">
        <f>VLOOKUP(H1,'Energi Primer Nasional'!$A$2:$X$22,20)</f>
        <v>311775482</v>
      </c>
      <c r="I9">
        <f>VLOOKUP(I1,'Energi Primer Nasional'!$A$2:$X$22,20)</f>
        <v>315108704</v>
      </c>
      <c r="J9">
        <f>VLOOKUP(J1,'Energi Primer Nasional'!$A$2:$X$22,20)</f>
        <v>320525851</v>
      </c>
      <c r="K9">
        <f>VLOOKUP(K1,'Energi Primer Nasional'!$A$2:$X$22,20)</f>
        <v>323721303</v>
      </c>
      <c r="L9">
        <f>VLOOKUP(L1,'Energi Primer Nasional'!$A$2:$X$22,20)</f>
        <v>334335363</v>
      </c>
      <c r="M9">
        <f>VLOOKUP(M1,'Energi Primer Nasional'!$A$2:$X$22,20)</f>
        <v>331857894</v>
      </c>
      <c r="N9">
        <f>VLOOKUP(N1,'Energi Primer Nasional'!$A$2:$X$22,20)</f>
        <v>352534164</v>
      </c>
      <c r="O9">
        <f>VLOOKUP(O1,'Energi Primer Nasional'!$A$2:$X$22,20)</f>
        <v>362170189</v>
      </c>
      <c r="P9">
        <f>VLOOKUP(P1,'Energi Primer Nasional'!$A$2:$X$22,20)</f>
        <v>368459329</v>
      </c>
      <c r="Q9">
        <f>VLOOKUP(Q1,'Energi Primer Nasional'!$A$2:$X$22,20)</f>
        <v>370645047.71765685</v>
      </c>
      <c r="R9">
        <f>VLOOKUP(R1,'Energi Primer Nasional'!$A$2:$X$22,20)</f>
        <v>399032953.97687203</v>
      </c>
      <c r="S9">
        <f>VLOOKUP(S1,'Energi Primer Nasional'!$A$2:$X$22,20)</f>
        <v>404298920.66309011</v>
      </c>
      <c r="T9">
        <f>VLOOKUP(T1,'Energi Primer Nasional'!$A$2:$X$22,20)</f>
        <v>448406840.02910364</v>
      </c>
    </row>
    <row r="10" spans="1:22" x14ac:dyDescent="0.25">
      <c r="A10" t="s">
        <v>164</v>
      </c>
      <c r="B10">
        <f>VLOOKUP(B1,Population!$K$3:$L$23,2)</f>
        <v>205843000</v>
      </c>
      <c r="C10">
        <f>VLOOKUP(C1,Population!$K$3:$L$23,2)</f>
        <v>208647000</v>
      </c>
      <c r="D10">
        <f>VLOOKUP(D1,Population!$K$3:$L$23,2)</f>
        <v>212003000</v>
      </c>
      <c r="E10">
        <f>VLOOKUP(E1,Population!$K$3:$L$23,2)</f>
        <v>215276000</v>
      </c>
      <c r="F10">
        <f>VLOOKUP(F1,Population!$K$3:$L$23,2)</f>
        <v>217854000</v>
      </c>
      <c r="G10">
        <f>VLOOKUP(G1,Population!$K$3:$L$23,2)</f>
        <v>218869000</v>
      </c>
      <c r="H10">
        <f>VLOOKUP(H1,Population!$K$3:$L$23,2)</f>
        <v>222192000</v>
      </c>
      <c r="I10">
        <f>VLOOKUP(I1,Population!$K$3:$L$23,2)</f>
        <v>225642000</v>
      </c>
      <c r="J10">
        <f>VLOOKUP(J1,Population!$K$3:$L$23,2)</f>
        <v>228523000</v>
      </c>
      <c r="K10">
        <f>VLOOKUP(K1,Population!$K$3:$L$23,2)</f>
        <v>234757000</v>
      </c>
      <c r="L10">
        <f>VLOOKUP(L1,Population!$K$3:$L$23,2)</f>
        <v>237641000</v>
      </c>
      <c r="M10">
        <f>VLOOKUP(M1,Population!$K$3:$L$23,2)</f>
        <v>238519000</v>
      </c>
      <c r="N10">
        <f>VLOOKUP(N1,Population!$K$3:$L$23,2)</f>
        <v>245425000</v>
      </c>
      <c r="O10">
        <f>VLOOKUP(O1,Population!$K$3:$L$23,2)</f>
        <v>248818000</v>
      </c>
      <c r="P10">
        <f>VLOOKUP(P1,Population!$K$3:$L$23,2)</f>
        <v>252165000</v>
      </c>
      <c r="Q10">
        <f>VLOOKUP(Q1,Population!$K$3:$L$23,2)</f>
        <v>255462000</v>
      </c>
      <c r="R10">
        <f>VLOOKUP(R1,Population!$K$3:$L$23,2)</f>
        <v>258705000</v>
      </c>
      <c r="S10">
        <f>VLOOKUP(S1,Population!$K$3:$L$23,2)</f>
        <v>261891000</v>
      </c>
      <c r="T10">
        <f>VLOOKUP(T1,Population!$K$3:$L$23,2)</f>
        <v>265015000</v>
      </c>
    </row>
    <row r="11" spans="1:22" x14ac:dyDescent="0.25">
      <c r="A11" t="s">
        <v>172</v>
      </c>
      <c r="B11">
        <f>VLOOKUP(B1,'Energi Primer Nasional'!$Z$1:$AJ$16,3)</f>
        <v>9.4200000000000006E-2</v>
      </c>
      <c r="C11">
        <f>VLOOKUP(C1,'Energi Primer Nasional'!$Z$1:$AJ$16,3)</f>
        <v>0.1144</v>
      </c>
      <c r="D11">
        <f>VLOOKUP(D1,'Energi Primer Nasional'!$Z$1:$AJ$16,3)</f>
        <v>0.1148</v>
      </c>
      <c r="E11">
        <f>VLOOKUP(E1,'Energi Primer Nasional'!$Z$1:$AJ$16,3)</f>
        <v>0.14580000000000001</v>
      </c>
      <c r="F11">
        <f>VLOOKUP(F1,'Energi Primer Nasional'!$Z$1:$AJ$16,3)</f>
        <v>0.13239999999999999</v>
      </c>
      <c r="G11">
        <f>VLOOKUP(G1,'Energi Primer Nasional'!$Z$1:$AJ$16,3)</f>
        <v>0.1489</v>
      </c>
      <c r="H11">
        <f>VLOOKUP(H1,'Energi Primer Nasional'!$Z$1:$AJ$16,3)</f>
        <v>0.17510000000000001</v>
      </c>
      <c r="I11">
        <f>VLOOKUP(I1,'Energi Primer Nasional'!$Z$1:$AJ$16,3)</f>
        <v>0.2097</v>
      </c>
      <c r="J11">
        <f>VLOOKUP(J1,'Energi Primer Nasional'!$Z$1:$AJ$16,3)</f>
        <v>0.17800000000000002</v>
      </c>
      <c r="K11">
        <f>VLOOKUP(K1,'Energi Primer Nasional'!$Z$1:$AJ$16,3)</f>
        <v>0.18179999999999999</v>
      </c>
      <c r="L11">
        <f>VLOOKUP(L1,'Energi Primer Nasional'!$Z$1:$AJ$16,3)</f>
        <v>0.19839999999999999</v>
      </c>
      <c r="M11">
        <f>VLOOKUP(M1,'Energi Primer Nasional'!$Z$1:$AJ$16,3)</f>
        <v>0.22</v>
      </c>
      <c r="N11">
        <f>VLOOKUP(N1,'Energi Primer Nasional'!$Z$1:$AJ$16,3)</f>
        <v>0.23920000000000002</v>
      </c>
      <c r="O11">
        <f>VLOOKUP(O1,'Energi Primer Nasional'!$Z$1:$AJ$16,3)</f>
        <v>0.25459999999999999</v>
      </c>
      <c r="P11">
        <f>VLOOKUP(P1,'Energi Primer Nasional'!$Z$1:$AJ$16,3)</f>
        <v>0.28170000000000001</v>
      </c>
      <c r="Q11">
        <f>VLOOKUP(Q1,'Energi Primer Nasional'!$Z$1:$AJ$16,3)</f>
        <v>0.28170000000000001</v>
      </c>
      <c r="R11">
        <f>VLOOKUP(R1,'Energi Primer Nasional'!$Z$1:$AJ$16,3)</f>
        <v>0.28170000000000001</v>
      </c>
      <c r="S11">
        <f>VLOOKUP(S1,'Energi Primer Nasional'!$Z$1:$AJ$16,3)</f>
        <v>0.28170000000000001</v>
      </c>
      <c r="T11">
        <f>VLOOKUP(T1,'Energi Primer Nasional'!$Z$1:$AJ$16,3)</f>
        <v>0.28170000000000001</v>
      </c>
    </row>
    <row r="12" spans="1:22" x14ac:dyDescent="0.25">
      <c r="A12" t="s">
        <v>173</v>
      </c>
      <c r="B12">
        <f>VLOOKUP(B1,'Energi Primer Nasional'!$Z$1:$AJ$16,2)</f>
        <v>0.41739999999999999</v>
      </c>
      <c r="C12">
        <f>VLOOKUP(C1,'Energi Primer Nasional'!$Z$1:$AJ$16,2)</f>
        <v>0.42420000000000002</v>
      </c>
      <c r="D12">
        <f>VLOOKUP(D1,'Energi Primer Nasional'!$Z$1:$AJ$16,2)</f>
        <v>0.42320000000000002</v>
      </c>
      <c r="E12">
        <f>VLOOKUP(E1,'Energi Primer Nasional'!$Z$1:$AJ$16,2)</f>
        <v>0.40369999999999995</v>
      </c>
      <c r="F12">
        <f>VLOOKUP(F1,'Energi Primer Nasional'!$Z$1:$AJ$16,2)</f>
        <v>0.43520000000000003</v>
      </c>
      <c r="G12">
        <f>VLOOKUP(G1,'Energi Primer Nasional'!$Z$1:$AJ$16,2)</f>
        <v>0.42320000000000002</v>
      </c>
      <c r="H12">
        <f>VLOOKUP(H1,'Energi Primer Nasional'!$Z$1:$AJ$16,2)</f>
        <v>0.39240000000000003</v>
      </c>
      <c r="I12">
        <f>VLOOKUP(I1,'Energi Primer Nasional'!$Z$1:$AJ$16,2)</f>
        <v>0.38500000000000001</v>
      </c>
      <c r="J12">
        <f>VLOOKUP(J1,'Energi Primer Nasional'!$Z$1:$AJ$16,2)</f>
        <v>0.38079999999999997</v>
      </c>
      <c r="K12">
        <f>VLOOKUP(K1,'Energi Primer Nasional'!$Z$1:$AJ$16,2)</f>
        <v>0.37280000000000002</v>
      </c>
      <c r="L12">
        <f>VLOOKUP(L1,'Energi Primer Nasional'!$Z$1:$AJ$16,2)</f>
        <v>0.37569999999999998</v>
      </c>
      <c r="M12">
        <f>VLOOKUP(M1,'Energi Primer Nasional'!$Z$1:$AJ$16,2)</f>
        <v>0.38909999999999995</v>
      </c>
      <c r="N12">
        <f>VLOOKUP(N1,'Energi Primer Nasional'!$Z$1:$AJ$16,2)</f>
        <v>0.37319999999999998</v>
      </c>
      <c r="O12">
        <f>VLOOKUP(O1,'Energi Primer Nasional'!$Z$1:$AJ$16,2)</f>
        <v>0.3775</v>
      </c>
      <c r="P12">
        <f>VLOOKUP(P1,'Energi Primer Nasional'!$Z$1:$AJ$16,2)</f>
        <v>0.35479999999999995</v>
      </c>
      <c r="Q12">
        <f>VLOOKUP(Q1,'Energi Primer Nasional'!$Z$1:$AJ$16,2)</f>
        <v>0.35479999999999995</v>
      </c>
      <c r="R12">
        <f>VLOOKUP(R1,'Energi Primer Nasional'!$Z$1:$AJ$16,2)</f>
        <v>0.35479999999999995</v>
      </c>
      <c r="S12">
        <f>VLOOKUP(S1,'Energi Primer Nasional'!$Z$1:$AJ$16,2)</f>
        <v>0.35479999999999995</v>
      </c>
      <c r="T12">
        <f>VLOOKUP(T1,'Energi Primer Nasional'!$Z$1:$AJ$16,2)</f>
        <v>0.35479999999999995</v>
      </c>
    </row>
    <row r="13" spans="1:22" x14ac:dyDescent="0.25">
      <c r="A13" t="s">
        <v>174</v>
      </c>
      <c r="B13">
        <f>VLOOKUP(B1,'Energi Primer Nasional'!$Z$1:$AJ$16,4)</f>
        <v>0.16539999999999999</v>
      </c>
      <c r="C13">
        <f>VLOOKUP(C1,'Energi Primer Nasional'!$Z$1:$AJ$16,4)</f>
        <v>0.1653</v>
      </c>
      <c r="D13">
        <f>VLOOKUP(D1,'Energi Primer Nasional'!$Z$1:$AJ$16,4)</f>
        <v>0.17649999999999999</v>
      </c>
      <c r="E13">
        <f>VLOOKUP(E1,'Energi Primer Nasional'!$Z$1:$AJ$16,4)</f>
        <v>0.18049999999999999</v>
      </c>
      <c r="F13">
        <f>VLOOKUP(F1,'Energi Primer Nasional'!$Z$1:$AJ$16,4)</f>
        <v>0.16390000000000002</v>
      </c>
      <c r="G13">
        <f>VLOOKUP(G1,'Energi Primer Nasional'!$Z$1:$AJ$16,4)</f>
        <v>0.16390000000000002</v>
      </c>
      <c r="H13">
        <f>VLOOKUP(H1,'Energi Primer Nasional'!$Z$1:$AJ$16,4)</f>
        <v>0.16719999999999999</v>
      </c>
      <c r="I13">
        <f>VLOOKUP(I1,'Energi Primer Nasional'!$Z$1:$AJ$16,4)</f>
        <v>0.1492</v>
      </c>
      <c r="J13">
        <f>VLOOKUP(J1,'Energi Primer Nasional'!$Z$1:$AJ$16,4)</f>
        <v>0.187</v>
      </c>
      <c r="K13">
        <f>VLOOKUP(K1,'Energi Primer Nasional'!$Z$1:$AJ$16,4)</f>
        <v>0.193</v>
      </c>
      <c r="L13">
        <f>VLOOKUP(L1,'Energi Primer Nasional'!$Z$1:$AJ$16,4)</f>
        <v>0.19030000000000002</v>
      </c>
      <c r="M13">
        <f>VLOOKUP(M1,'Energi Primer Nasional'!$Z$1:$AJ$16,4)</f>
        <v>0.17230000000000001</v>
      </c>
      <c r="N13">
        <f>VLOOKUP(N1,'Energi Primer Nasional'!$Z$1:$AJ$16,4)</f>
        <v>0.1643</v>
      </c>
      <c r="O13">
        <f>VLOOKUP(O1,'Energi Primer Nasional'!$Z$1:$AJ$16,4)</f>
        <v>0.14410000000000001</v>
      </c>
      <c r="P13">
        <f>VLOOKUP(P1,'Energi Primer Nasional'!$Z$1:$AJ$16,4)</f>
        <v>0.15359999999999999</v>
      </c>
      <c r="Q13">
        <f>VLOOKUP(Q1,'Energi Primer Nasional'!$Z$1:$AJ$16,4)</f>
        <v>0.15359999999999999</v>
      </c>
      <c r="R13">
        <f>VLOOKUP(R1,'Energi Primer Nasional'!$Z$1:$AJ$16,4)</f>
        <v>0.15359999999999999</v>
      </c>
      <c r="S13">
        <f>VLOOKUP(S1,'Energi Primer Nasional'!$Z$1:$AJ$16,4)</f>
        <v>0.15359999999999999</v>
      </c>
      <c r="T13">
        <f>VLOOKUP(T1,'Energi Primer Nasional'!$Z$1:$AJ$16,4)</f>
        <v>0.15359999999999999</v>
      </c>
    </row>
    <row r="14" spans="1:22" x14ac:dyDescent="0.25">
      <c r="A14" t="s">
        <v>192</v>
      </c>
      <c r="B14">
        <f>VLOOKUP(B1,'Eksploitasi Batubara'!$A$3:$D$21,2)</f>
        <v>77040185</v>
      </c>
      <c r="C14">
        <f>VLOOKUP(C1,'Eksploitasi Batubara'!$A$3:$D$21,2)</f>
        <v>92540460</v>
      </c>
      <c r="D14">
        <f>VLOOKUP(D1,'Eksploitasi Batubara'!$A$3:$D$21,2)</f>
        <v>103329093</v>
      </c>
      <c r="E14">
        <f>VLOOKUP(E1,'Eksploitasi Batubara'!$A$3:$D$21,2)</f>
        <v>114278000</v>
      </c>
      <c r="F14">
        <f>VLOOKUP(F1,'Eksploitasi Batubara'!$A$3:$D$21,2)</f>
        <v>132352025</v>
      </c>
      <c r="G14">
        <f>VLOOKUP(G1,'Eksploitasi Batubara'!$A$3:$D$21,2)</f>
        <v>152722438</v>
      </c>
      <c r="H14">
        <f>VLOOKUP(H1,'Eksploitasi Batubara'!$A$3:$D$21,2)</f>
        <v>193761311</v>
      </c>
      <c r="I14">
        <f>VLOOKUP(I1,'Eksploitasi Batubara'!$A$3:$D$21,2)</f>
        <v>216946699</v>
      </c>
      <c r="J14">
        <f>VLOOKUP(J1,'Eksploitasi Batubara'!$A$3:$D$21,2)</f>
        <v>240249968</v>
      </c>
      <c r="K14">
        <f>VLOOKUP(K1,'Eksploitasi Batubara'!$A$3:$D$21,2)</f>
        <v>256181000</v>
      </c>
      <c r="L14">
        <f>VLOOKUP(L1,'Eksploitasi Batubara'!$A$3:$D$21,2)</f>
        <v>275164196</v>
      </c>
      <c r="M14">
        <f>VLOOKUP(M1,'Eksploitasi Batubara'!$A$3:$D$21,2)</f>
        <v>353270937</v>
      </c>
      <c r="N14">
        <f>VLOOKUP(N1,'Eksploitasi Batubara'!$A$3:$D$21,2)</f>
        <v>386077357</v>
      </c>
      <c r="O14">
        <f>VLOOKUP(O1,'Eksploitasi Batubara'!$A$3:$D$21,2)</f>
        <v>474371369</v>
      </c>
      <c r="P14">
        <f>VLOOKUP(P1,'Eksploitasi Batubara'!$A$3:$D$21,2)</f>
        <v>458096707</v>
      </c>
      <c r="Q14">
        <f>VLOOKUP(Q1,'Eksploitasi Batubara'!$A$3:$D$21,2)</f>
        <v>461566080</v>
      </c>
      <c r="R14">
        <f>VLOOKUP(R1,'Eksploitasi Batubara'!$A$3:$D$21,2)</f>
        <v>456197775</v>
      </c>
      <c r="S14">
        <f>VLOOKUP(S1,'Eksploitasi Batubara'!$A$3:$D$21,2)</f>
        <v>461248184</v>
      </c>
      <c r="T14">
        <f>VLOOKUP(T1,'Eksploitasi Batubara'!$A$3:$D$21,2)</f>
        <v>557772940</v>
      </c>
    </row>
    <row r="15" spans="1:22" x14ac:dyDescent="0.25">
      <c r="A15" t="s">
        <v>191</v>
      </c>
      <c r="B15">
        <f>VLOOKUP(B1,'Eksploitasi Batubara'!$A$3:$D$21,3)</f>
        <v>58460492</v>
      </c>
      <c r="C15">
        <f>VLOOKUP(C1,'Eksploitasi Batubara'!$A$3:$D$21,3)</f>
        <v>65281086</v>
      </c>
      <c r="D15">
        <f>VLOOKUP(D1,'Eksploitasi Batubara'!$A$3:$D$21,3)</f>
        <v>74177926</v>
      </c>
      <c r="E15">
        <f>VLOOKUP(E1,'Eksploitasi Batubara'!$A$3:$D$21,3)</f>
        <v>85680621</v>
      </c>
      <c r="F15">
        <f>VLOOKUP(F1,'Eksploitasi Batubara'!$A$3:$D$21,3)</f>
        <v>93758806</v>
      </c>
      <c r="G15">
        <f>VLOOKUP(G1,'Eksploitasi Batubara'!$A$3:$D$21,3)</f>
        <v>110789700</v>
      </c>
      <c r="H15">
        <f>VLOOKUP(H1,'Eksploitasi Batubara'!$A$3:$D$21,3)</f>
        <v>143632865</v>
      </c>
      <c r="I15">
        <f>VLOOKUP(I1,'Eksploitasi Batubara'!$A$3:$D$21,3)</f>
        <v>163000000</v>
      </c>
      <c r="J15">
        <f>VLOOKUP(J1,'Eksploitasi Batubara'!$A$3:$D$21,3)</f>
        <v>191430218</v>
      </c>
      <c r="K15">
        <f>VLOOKUP(K1,'Eksploitasi Batubara'!$A$3:$D$21,3)</f>
        <v>198366000</v>
      </c>
      <c r="L15">
        <f>VLOOKUP(L1,'Eksploitasi Batubara'!$A$3:$D$21,3)</f>
        <v>208000000</v>
      </c>
      <c r="M15">
        <f>VLOOKUP(M1,'Eksploitasi Batubara'!$A$3:$D$21,3)</f>
        <v>272671351</v>
      </c>
      <c r="N15">
        <f>VLOOKUP(N1,'Eksploitasi Batubara'!$A$3:$D$21,3)</f>
        <v>304051216</v>
      </c>
      <c r="O15">
        <f>VLOOKUP(O1,'Eksploitasi Batubara'!$A$3:$D$21,3)</f>
        <v>356357973</v>
      </c>
      <c r="P15">
        <f>VLOOKUP(P1,'Eksploitasi Batubara'!$A$3:$D$21,3)</f>
        <v>381972830</v>
      </c>
      <c r="Q15">
        <f>VLOOKUP(Q1,'Eksploitasi Batubara'!$A$3:$D$21,3)</f>
        <v>365849610</v>
      </c>
      <c r="R15">
        <f>VLOOKUP(R1,'Eksploitasi Batubara'!$A$3:$D$21,3)</f>
        <v>331128438</v>
      </c>
      <c r="S15">
        <f>VLOOKUP(S1,'Eksploitasi Batubara'!$A$3:$D$21,3)</f>
        <v>297741135</v>
      </c>
      <c r="T15">
        <f>VLOOKUP(T1,'Eksploitasi Batubara'!$A$3:$D$21,3)</f>
        <v>356394687</v>
      </c>
    </row>
    <row r="16" spans="1:22" x14ac:dyDescent="0.25">
      <c r="A16" t="s">
        <v>193</v>
      </c>
      <c r="B16">
        <f>VLOOKUP(B1,'Eksploitasi Batubara'!$A$3:$D$21,4)</f>
        <v>140116</v>
      </c>
      <c r="C16">
        <f>VLOOKUP(C1,'Eksploitasi Batubara'!$A$3:$D$21,4)</f>
        <v>30466</v>
      </c>
      <c r="D16">
        <f>VLOOKUP(D1,'Eksploitasi Batubara'!$A$3:$D$21,4)</f>
        <v>20026</v>
      </c>
      <c r="E16">
        <f>VLOOKUP(E1,'Eksploitasi Batubara'!$A$3:$D$21,4)</f>
        <v>38228</v>
      </c>
      <c r="F16">
        <f>VLOOKUP(F1,'Eksploitasi Batubara'!$A$3:$D$21,4)</f>
        <v>97183</v>
      </c>
      <c r="G16">
        <f>VLOOKUP(G1,'Eksploitasi Batubara'!$A$3:$D$21,4)</f>
        <v>98179</v>
      </c>
      <c r="H16">
        <f>VLOOKUP(H1,'Eksploitasi Batubara'!$A$3:$D$21,4)</f>
        <v>110683</v>
      </c>
      <c r="I16">
        <f>VLOOKUP(I1,'Eksploitasi Batubara'!$A$3:$D$21,4)</f>
        <v>67534</v>
      </c>
      <c r="J16">
        <f>VLOOKUP(J1,'Eksploitasi Batubara'!$A$3:$D$21,4)</f>
        <v>106931</v>
      </c>
      <c r="K16">
        <f>VLOOKUP(K1,'Eksploitasi Batubara'!$A$3:$D$21,4)</f>
        <v>68804</v>
      </c>
      <c r="L16">
        <f>VLOOKUP(L1,'Eksploitasi Batubara'!$A$3:$D$21,4)</f>
        <v>55230</v>
      </c>
      <c r="M16">
        <f>VLOOKUP(M1,'Eksploitasi Batubara'!$A$3:$D$21,4)</f>
        <v>42449</v>
      </c>
      <c r="N16">
        <f>VLOOKUP(N1,'Eksploitasi Batubara'!$A$3:$D$21,4)</f>
        <v>77786</v>
      </c>
      <c r="O16">
        <f>VLOOKUP(O1,'Eksploitasi Batubara'!$A$3:$D$21,4)</f>
        <v>609875</v>
      </c>
      <c r="P16">
        <f>VLOOKUP(P1,'Eksploitasi Batubara'!$A$3:$D$21,4)</f>
        <v>2442319</v>
      </c>
      <c r="Q16">
        <f>VLOOKUP(Q1,'Eksploitasi Batubara'!$A$3:$D$21,4)</f>
        <v>3007934</v>
      </c>
      <c r="R16">
        <f>VLOOKUP(R1,'Eksploitasi Batubara'!$A$3:$D$21,4)</f>
        <v>3898932</v>
      </c>
      <c r="S16">
        <f>VLOOKUP(S1,'Eksploitasi Batubara'!$A$3:$D$21,4)</f>
        <v>4532308</v>
      </c>
      <c r="T16">
        <f>VLOOKUP(T1,'Eksploitasi Batubara'!$A$3:$D$21,4)</f>
        <v>5468706</v>
      </c>
    </row>
    <row r="17" spans="1:20" x14ac:dyDescent="0.25">
      <c r="A17" t="s">
        <v>204</v>
      </c>
      <c r="B17">
        <f>VLOOKUP(B1,'Eksploitasi Minyak Bumi'!$A$3:$J$23,8)</f>
        <v>517489000</v>
      </c>
      <c r="C17">
        <f>VLOOKUP(C1,'Eksploitasi Minyak Bumi'!$A$3:$J$23,8)</f>
        <v>489306000</v>
      </c>
      <c r="D17">
        <f>VLOOKUP(D1,'Eksploitasi Minyak Bumi'!$A$3:$J$23,8)</f>
        <v>456026000</v>
      </c>
      <c r="E17">
        <f>VLOOKUP(E1,'Eksploitasi Minyak Bumi'!$A$3:$J$23,8)</f>
        <v>419255000</v>
      </c>
      <c r="F17">
        <f>VLOOKUP(F1,'Eksploitasi Minyak Bumi'!$A$3:$J$23,8)</f>
        <v>400554000</v>
      </c>
      <c r="G17">
        <f>VLOOKUP(G1,'Eksploitasi Minyak Bumi'!$A$3:$J$23,8)</f>
        <v>386483000</v>
      </c>
      <c r="H17">
        <f>VLOOKUP(H1,'Eksploitasi Minyak Bumi'!$A$3:$J$23,8)</f>
        <v>367049000</v>
      </c>
      <c r="I17">
        <f>VLOOKUP(I1,'Eksploitasi Minyak Bumi'!$A$3:$J$23,8)</f>
        <v>348348000</v>
      </c>
      <c r="J17">
        <f>VLOOKUP(J1,'Eksploitasi Minyak Bumi'!$A$3:$J$23,8)</f>
        <v>357501000</v>
      </c>
      <c r="K17">
        <f>VLOOKUP(K1,'Eksploitasi Minyak Bumi'!$A$3:$J$23,8)</f>
        <v>346313000</v>
      </c>
      <c r="L17">
        <f>VLOOKUP(L1,'Eksploitasi Minyak Bumi'!$A$3:$J$23,8)</f>
        <v>344888000</v>
      </c>
      <c r="M17">
        <f>VLOOKUP(M1,'Eksploitasi Minyak Bumi'!$A$3:$J$23,8)</f>
        <v>329265000</v>
      </c>
      <c r="N17">
        <f>VLOOKUP(N1,'Eksploitasi Minyak Bumi'!$A$3:$J$23,8)</f>
        <v>314666000</v>
      </c>
      <c r="O17">
        <f>VLOOKUP(O1,'Eksploitasi Minyak Bumi'!$A$3:$J$23,8)</f>
        <v>300830000</v>
      </c>
      <c r="P17">
        <f>VLOOKUP(P1,'Eksploitasi Minyak Bumi'!$A$3:$J$23,8)</f>
        <v>287902000</v>
      </c>
      <c r="Q17">
        <f>VLOOKUP(Q1,'Eksploitasi Minyak Bumi'!$A$3:$J$23,8)</f>
        <v>286814000</v>
      </c>
      <c r="R17">
        <f>VLOOKUP(R1,'Eksploitasi Minyak Bumi'!$A$3:$J$23,8)</f>
        <v>304167000</v>
      </c>
      <c r="S17">
        <f>VLOOKUP(S1,'Eksploitasi Minyak Bumi'!$A$3:$J$23,8)</f>
        <v>292374000</v>
      </c>
      <c r="T17">
        <f>VLOOKUP(T1,'Eksploitasi Minyak Bumi'!$A$3:$J$23,8)</f>
        <v>281826000</v>
      </c>
    </row>
    <row r="18" spans="1:20" x14ac:dyDescent="0.25">
      <c r="A18" t="s">
        <v>202</v>
      </c>
      <c r="B18">
        <f>VLOOKUP(B1,'Eksploitasi Minyak Bumi'!$A$3:$J$23,9)</f>
        <v>223500000</v>
      </c>
      <c r="C18">
        <f>VLOOKUP(C1,'Eksploitasi Minyak Bumi'!$A$3:$J$23,9)</f>
        <v>241612000</v>
      </c>
      <c r="D18">
        <f>VLOOKUP(D1,'Eksploitasi Minyak Bumi'!$A$3:$J$23,9)</f>
        <v>218115000</v>
      </c>
      <c r="E18">
        <f>VLOOKUP(E1,'Eksploitasi Minyak Bumi'!$A$3:$J$23,9)</f>
        <v>189095000</v>
      </c>
      <c r="F18">
        <f>VLOOKUP(F1,'Eksploitasi Minyak Bumi'!$A$3:$J$23,9)</f>
        <v>178869000</v>
      </c>
      <c r="G18">
        <f>VLOOKUP(G1,'Eksploitasi Minyak Bumi'!$A$3:$J$23,9)</f>
        <v>159703000</v>
      </c>
      <c r="H18">
        <f>VLOOKUP(H1,'Eksploitasi Minyak Bumi'!$A$3:$J$23,9)</f>
        <v>134960000</v>
      </c>
      <c r="I18">
        <f>VLOOKUP(I1,'Eksploitasi Minyak Bumi'!$A$3:$J$23,9)</f>
        <v>135267000</v>
      </c>
      <c r="J18">
        <f>VLOOKUP(J1,'Eksploitasi Minyak Bumi'!$A$3:$J$23,9)</f>
        <v>134872000</v>
      </c>
      <c r="K18">
        <f>VLOOKUP(K1,'Eksploitasi Minyak Bumi'!$A$3:$J$23,9)</f>
        <v>132223000</v>
      </c>
      <c r="L18">
        <f>VLOOKUP(L1,'Eksploitasi Minyak Bumi'!$A$3:$J$23,9)</f>
        <v>134473000</v>
      </c>
      <c r="M18">
        <f>VLOOKUP(M1,'Eksploitasi Minyak Bumi'!$A$3:$J$23,9)</f>
        <v>135572000</v>
      </c>
      <c r="N18">
        <f>VLOOKUP(N1,'Eksploitasi Minyak Bumi'!$A$3:$J$23,9)</f>
        <v>106485000</v>
      </c>
      <c r="O18">
        <f>VLOOKUP(O1,'Eksploitasi Minyak Bumi'!$A$3:$J$23,9)</f>
        <v>104791000</v>
      </c>
      <c r="P18">
        <f>VLOOKUP(P1,'Eksploitasi Minyak Bumi'!$A$3:$J$23,9)</f>
        <v>93080000</v>
      </c>
      <c r="Q18">
        <f>VLOOKUP(Q1,'Eksploitasi Minyak Bumi'!$A$3:$J$23,9)</f>
        <v>115017000</v>
      </c>
      <c r="R18">
        <f>VLOOKUP(R1,'Eksploitasi Minyak Bumi'!$A$3:$J$23,9)</f>
        <v>125516000</v>
      </c>
      <c r="S18">
        <f>VLOOKUP(S1,'Eksploitasi Minyak Bumi'!$A$3:$J$23,9)</f>
        <v>102678000</v>
      </c>
      <c r="T18">
        <f>VLOOKUP(T1,'Eksploitasi Minyak Bumi'!$A$3:$J$23,9)</f>
        <v>74449000</v>
      </c>
    </row>
    <row r="19" spans="1:20" x14ac:dyDescent="0.25">
      <c r="A19" t="s">
        <v>203</v>
      </c>
      <c r="B19">
        <f>VLOOKUP(B1,'Eksploitasi Minyak Bumi'!$A$3:$J$23,10)</f>
        <v>78615000</v>
      </c>
      <c r="C19">
        <f>VLOOKUP(C1,'Eksploitasi Minyak Bumi'!$A$3:$J$23,10)</f>
        <v>117168000</v>
      </c>
      <c r="D19">
        <f>VLOOKUP(D1,'Eksploitasi Minyak Bumi'!$A$3:$J$23,10)</f>
        <v>124148000</v>
      </c>
      <c r="E19">
        <f>VLOOKUP(E1,'Eksploitasi Minyak Bumi'!$A$3:$J$23,10)</f>
        <v>137127000</v>
      </c>
      <c r="F19">
        <f>VLOOKUP(F1,'Eksploitasi Minyak Bumi'!$A$3:$J$23,10)</f>
        <v>148490000</v>
      </c>
      <c r="G19">
        <f>VLOOKUP(G1,'Eksploitasi Minyak Bumi'!$A$3:$J$23,10)</f>
        <v>164007000</v>
      </c>
      <c r="H19">
        <f>VLOOKUP(H1,'Eksploitasi Minyak Bumi'!$A$3:$J$23,10)</f>
        <v>116232000</v>
      </c>
      <c r="I19">
        <f>VLOOKUP(I1,'Eksploitasi Minyak Bumi'!$A$3:$J$23,10)</f>
        <v>115812000</v>
      </c>
      <c r="J19">
        <f>VLOOKUP(J1,'Eksploitasi Minyak Bumi'!$A$3:$J$23,10)</f>
        <v>97006000</v>
      </c>
      <c r="K19">
        <f>VLOOKUP(K1,'Eksploitasi Minyak Bumi'!$A$3:$J$23,10)</f>
        <v>120119000</v>
      </c>
      <c r="L19">
        <f>VLOOKUP(L1,'Eksploitasi Minyak Bumi'!$A$3:$J$23,10)</f>
        <v>101093000</v>
      </c>
      <c r="M19">
        <f>VLOOKUP(M1,'Eksploitasi Minyak Bumi'!$A$3:$J$23,10)</f>
        <v>96862000</v>
      </c>
      <c r="N19">
        <f>VLOOKUP(N1,'Eksploitasi Minyak Bumi'!$A$3:$J$23,10)</f>
        <v>95968000</v>
      </c>
      <c r="O19">
        <f>VLOOKUP(O1,'Eksploitasi Minyak Bumi'!$A$3:$J$23,10)</f>
        <v>118334000</v>
      </c>
      <c r="P19">
        <f>VLOOKUP(P1,'Eksploitasi Minyak Bumi'!$A$3:$J$23,10)</f>
        <v>121993000</v>
      </c>
      <c r="Q19">
        <f>VLOOKUP(Q1,'Eksploitasi Minyak Bumi'!$A$3:$J$23,10)</f>
        <v>136666000</v>
      </c>
      <c r="R19">
        <f>VLOOKUP(R1,'Eksploitasi Minyak Bumi'!$A$3:$J$23,10)</f>
        <v>148361000</v>
      </c>
      <c r="S19">
        <f>VLOOKUP(S1,'Eksploitasi Minyak Bumi'!$A$3:$J$23,10)</f>
        <v>141616000</v>
      </c>
      <c r="T19">
        <f>VLOOKUP(T1,'Eksploitasi Minyak Bumi'!$A$3:$J$23,10)</f>
        <v>113055000</v>
      </c>
    </row>
    <row r="20" spans="1:20" x14ac:dyDescent="0.25">
      <c r="A20" t="s">
        <v>205</v>
      </c>
      <c r="B20">
        <f>VLOOKUP(B1,'Eksploitasi Gas Bumi'!$J$3:$P$23,7)</f>
        <v>2901302000000</v>
      </c>
      <c r="C20">
        <f>VLOOKUP(C1,'Eksploitasi Gas Bumi'!$J$3:$P$23,7)</f>
        <v>2806084000000</v>
      </c>
      <c r="D20">
        <f>VLOOKUP(D1,'Eksploitasi Gas Bumi'!$J$3:$P$23,7)</f>
        <v>3036355000000</v>
      </c>
      <c r="E20">
        <f>VLOOKUP(E1,'Eksploitasi Gas Bumi'!$J$3:$P$23,7)</f>
        <v>3155243000000</v>
      </c>
      <c r="F20">
        <f>VLOOKUP(F1,'Eksploitasi Gas Bumi'!$J$3:$P$23,7)</f>
        <v>3003945000000</v>
      </c>
      <c r="G20">
        <f>VLOOKUP(G1,'Eksploitasi Gas Bumi'!$J$3:$P$23,7)</f>
        <v>2985341000000</v>
      </c>
      <c r="H20">
        <f>VLOOKUP(H1,'Eksploitasi Gas Bumi'!$J$3:$P$23,7)</f>
        <v>2953997000000</v>
      </c>
      <c r="I20">
        <f>VLOOKUP(I1,'Eksploitasi Gas Bumi'!$J$3:$P$23,7)</f>
        <v>2805540000000</v>
      </c>
      <c r="J20">
        <f>VLOOKUP(J1,'Eksploitasi Gas Bumi'!$J$3:$P$23,7)</f>
        <v>2885328000000</v>
      </c>
      <c r="K20">
        <f>VLOOKUP(K1,'Eksploitasi Gas Bumi'!$J$3:$P$23,7)</f>
        <v>3060897000000</v>
      </c>
      <c r="L20">
        <f>VLOOKUP(L1,'Eksploitasi Gas Bumi'!$J$3:$P$23,7)</f>
        <v>3407592000000</v>
      </c>
      <c r="M20">
        <f>VLOOKUP(M1,'Eksploitasi Gas Bumi'!$J$3:$P$23,7)</f>
        <v>3256379000000</v>
      </c>
      <c r="N20">
        <f>VLOOKUP(N1,'Eksploitasi Gas Bumi'!$J$3:$P$23,7)</f>
        <v>3174639000000</v>
      </c>
      <c r="O20">
        <f>VLOOKUP(O1,'Eksploitasi Gas Bumi'!$J$3:$P$23,7)</f>
        <v>3120838000000</v>
      </c>
      <c r="P20">
        <f>VLOOKUP(P1,'Eksploitasi Gas Bumi'!$J$3:$P$23,7)</f>
        <v>3175791000000</v>
      </c>
      <c r="Q20">
        <f>VLOOKUP(Q1,'Eksploitasi Gas Bumi'!$J$3:$P$23,7)</f>
        <v>3116142000000</v>
      </c>
      <c r="R20">
        <f>VLOOKUP(R1,'Eksploitasi Gas Bumi'!$J$3:$P$23,7)</f>
        <v>3070239000000</v>
      </c>
      <c r="S20">
        <f>VLOOKUP(S1,'Eksploitasi Gas Bumi'!$J$3:$P$23,7)</f>
        <v>2963184000000</v>
      </c>
      <c r="T20">
        <f>VLOOKUP(T1,'Eksploitasi Gas Bumi'!$J$3:$P$23,7)</f>
        <v>2996802000000</v>
      </c>
    </row>
    <row r="21" spans="1:20" x14ac:dyDescent="0.25">
      <c r="A21" t="s">
        <v>202</v>
      </c>
    </row>
    <row r="22" spans="1:20" x14ac:dyDescent="0.25">
      <c r="A22" t="s">
        <v>203</v>
      </c>
    </row>
    <row r="23" spans="1:20" x14ac:dyDescent="0.25">
      <c r="A23" t="s">
        <v>213</v>
      </c>
      <c r="B23">
        <f>VLOOKUP(B1,'Eksploitasi Gas Bumi'!$A$3:$G$23,7)</f>
        <v>170310000000000</v>
      </c>
      <c r="C23">
        <f>VLOOKUP(C1,'Eksploitasi Gas Bumi'!$A$3:$G$23,7)</f>
        <v>168150000000000</v>
      </c>
      <c r="D23">
        <f>VLOOKUP(D1,'Eksploitasi Gas Bumi'!$A$3:$G$23,7)</f>
        <v>176590000000000</v>
      </c>
      <c r="E23">
        <f>VLOOKUP(E1,'Eksploitasi Gas Bumi'!$A$3:$G$23,7)</f>
        <v>178130000000000</v>
      </c>
      <c r="F23">
        <f>VLOOKUP(F1,'Eksploitasi Gas Bumi'!$A$3:$G$23,7)</f>
        <v>188340000000000</v>
      </c>
      <c r="G23">
        <f>VLOOKUP(G1,'Eksploitasi Gas Bumi'!$A$3:$G$23,7)</f>
        <v>185800000000000</v>
      </c>
      <c r="H23">
        <f>VLOOKUP(H1,'Eksploitasi Gas Bumi'!$A$3:$G$23,7)</f>
        <v>187100000000000</v>
      </c>
      <c r="I23">
        <f>VLOOKUP(I1,'Eksploitasi Gas Bumi'!$A$3:$G$23,7)</f>
        <v>165000000000000</v>
      </c>
      <c r="J23">
        <f>VLOOKUP(J1,'Eksploitasi Gas Bumi'!$A$3:$G$23,7)</f>
        <v>170100000000000</v>
      </c>
      <c r="K23">
        <f>VLOOKUP(K1,'Eksploitasi Gas Bumi'!$A$3:$G$23,7)</f>
        <v>159630000000000</v>
      </c>
      <c r="L23">
        <f>VLOOKUP(L1,'Eksploitasi Gas Bumi'!$A$3:$G$23,7)</f>
        <v>157140000000000</v>
      </c>
      <c r="M23">
        <f>VLOOKUP(M1,'Eksploitasi Gas Bumi'!$A$3:$G$23,7)</f>
        <v>152890000000000</v>
      </c>
      <c r="N23">
        <f>VLOOKUP(N1,'Eksploitasi Gas Bumi'!$A$3:$G$23,7)</f>
        <v>150700000000000</v>
      </c>
      <c r="O23">
        <f>VLOOKUP(O1,'Eksploitasi Gas Bumi'!$A$3:$G$23,7)</f>
        <v>150390000000000</v>
      </c>
      <c r="P23">
        <f>VLOOKUP(P1,'Eksploitasi Gas Bumi'!$A$3:$G$23,7)</f>
        <v>149300000000000</v>
      </c>
      <c r="Q23">
        <f>VLOOKUP(Q1,'Eksploitasi Gas Bumi'!$A$3:$G$23,7)</f>
        <v>151330000000000</v>
      </c>
      <c r="R23">
        <f>VLOOKUP(R1,'Eksploitasi Gas Bumi'!$A$3:$G$23,7)</f>
        <v>144060000000000</v>
      </c>
      <c r="S23">
        <f>VLOOKUP(S1,'Eksploitasi Gas Bumi'!$A$3:$G$23,7)</f>
        <v>142720000000000</v>
      </c>
      <c r="T23">
        <f>VLOOKUP(T1,'Eksploitasi Gas Bumi'!$A$3:$G$23,7)</f>
        <v>135550000000000.02</v>
      </c>
    </row>
    <row r="24" spans="1:20" x14ac:dyDescent="0.25">
      <c r="A24" t="s">
        <v>214</v>
      </c>
      <c r="B24">
        <f>B4-B25</f>
        <v>699167610</v>
      </c>
      <c r="C24">
        <f t="shared" ref="C24:T24" si="0">C4-C25</f>
        <v>739906219</v>
      </c>
      <c r="D24">
        <f t="shared" si="0"/>
        <v>767002892</v>
      </c>
      <c r="E24">
        <f t="shared" si="0"/>
        <v>822012046</v>
      </c>
      <c r="F24">
        <f t="shared" si="0"/>
        <v>830369636</v>
      </c>
      <c r="G24">
        <f t="shared" si="0"/>
        <v>852716650</v>
      </c>
      <c r="H24">
        <f t="shared" si="0"/>
        <v>861367174</v>
      </c>
      <c r="I24">
        <f t="shared" si="0"/>
        <v>907610397</v>
      </c>
      <c r="J24">
        <f t="shared" si="0"/>
        <v>938857172</v>
      </c>
      <c r="K24">
        <f t="shared" si="0"/>
        <v>964983618</v>
      </c>
      <c r="L24">
        <f t="shared" si="0"/>
        <v>1093535109</v>
      </c>
      <c r="M24">
        <f t="shared" si="0"/>
        <v>1150989297</v>
      </c>
      <c r="N24">
        <f t="shared" si="0"/>
        <v>1174631215</v>
      </c>
      <c r="O24">
        <f t="shared" si="0"/>
        <v>1188072123</v>
      </c>
      <c r="P24">
        <f t="shared" si="0"/>
        <v>1312541520</v>
      </c>
      <c r="Q24">
        <f t="shared" si="0"/>
        <v>1244735072.7176569</v>
      </c>
      <c r="R24">
        <f t="shared" si="0"/>
        <v>1212672836.976872</v>
      </c>
      <c r="S24">
        <f t="shared" si="0"/>
        <v>1505469935.6630902</v>
      </c>
      <c r="T24">
        <f t="shared" si="0"/>
        <v>1637863420.0291038</v>
      </c>
    </row>
    <row r="25" spans="1:20" x14ac:dyDescent="0.25">
      <c r="A25" t="s">
        <v>215</v>
      </c>
      <c r="B25">
        <f>VLOOKUP(B1,Household!$B$19:$K$37,10)</f>
        <v>296574000</v>
      </c>
      <c r="C25">
        <f>VLOOKUP(C1,Household!$B$19:$K$37,10)</f>
        <v>301346000</v>
      </c>
      <c r="D25">
        <f>VLOOKUP(D1,Household!$B$19:$K$37,10)</f>
        <v>303033000</v>
      </c>
      <c r="E25">
        <f>VLOOKUP(E1,Household!$B$19:$K$37,10)</f>
        <v>309046000</v>
      </c>
      <c r="F25">
        <f>VLOOKUP(F1,Household!$B$19:$K$37,10)</f>
        <v>314114000</v>
      </c>
      <c r="G25">
        <f>VLOOKUP(G1,Household!$B$19:$K$37,10)</f>
        <v>313771000</v>
      </c>
      <c r="H25">
        <f>VLOOKUP(H1,Household!$B$19:$K$37,10)</f>
        <v>312716000</v>
      </c>
      <c r="I25">
        <f>VLOOKUP(I1,Household!$B$19:$K$37,10)</f>
        <v>319332000</v>
      </c>
      <c r="J25">
        <f>VLOOKUP(J1,Household!$B$19:$K$37,10)</f>
        <v>316802000</v>
      </c>
      <c r="K25">
        <f>VLOOKUP(K1,Household!$B$19:$K$37,10)</f>
        <v>314095000</v>
      </c>
      <c r="L25">
        <f>VLOOKUP(L1,Household!$B$19:$K$37,10)</f>
        <v>310548000</v>
      </c>
      <c r="M25">
        <f>VLOOKUP(M1,Household!$B$19:$K$37,10)</f>
        <v>323355000</v>
      </c>
      <c r="N25">
        <f>VLOOKUP(N1,Household!$B$19:$K$37,10)</f>
        <v>349083000</v>
      </c>
      <c r="O25">
        <f>VLOOKUP(O1,Household!$B$19:$K$37,10)</f>
        <v>360015000</v>
      </c>
      <c r="P25">
        <f>VLOOKUP(P1,Household!$B$19:$K$37,10)</f>
        <v>369893000</v>
      </c>
      <c r="Q25">
        <f>VLOOKUP(Q1,Household!$B$19:$K$37,10)</f>
        <v>373786000</v>
      </c>
      <c r="R25">
        <f>VLOOKUP(R1,Household!$B$19:$K$37,10)</f>
        <v>378047000</v>
      </c>
      <c r="S25">
        <f>VLOOKUP(S1,Household!$B$19:$K$37,10)</f>
        <v>149026000</v>
      </c>
      <c r="T25">
        <f>VLOOKUP(T1,Household!$B$19:$K$37,10)</f>
        <v>151215000</v>
      </c>
    </row>
    <row r="26" spans="1:20" x14ac:dyDescent="0.25">
      <c r="A26" t="s">
        <v>217</v>
      </c>
      <c r="B26">
        <f>B24/B2</f>
        <v>503.08156047990394</v>
      </c>
      <c r="C26">
        <f t="shared" ref="C26:T26" si="1">C24/C2</f>
        <v>439.30106594477581</v>
      </c>
      <c r="D26">
        <f t="shared" si="1"/>
        <v>411.6424121467436</v>
      </c>
      <c r="E26">
        <f t="shared" si="1"/>
        <v>408.21493502475522</v>
      </c>
      <c r="F26">
        <f t="shared" si="1"/>
        <v>361.68662767242569</v>
      </c>
      <c r="G26">
        <f t="shared" si="1"/>
        <v>307.36490617335062</v>
      </c>
      <c r="H26">
        <f t="shared" si="1"/>
        <v>257.93455183855593</v>
      </c>
      <c r="I26">
        <f t="shared" si="1"/>
        <v>229.72283761049272</v>
      </c>
      <c r="J26">
        <f t="shared" si="1"/>
        <v>189.61614540919663</v>
      </c>
      <c r="K26">
        <f t="shared" si="1"/>
        <v>172.1278286121406</v>
      </c>
      <c r="L26">
        <f t="shared" si="1"/>
        <v>159.31146861519147</v>
      </c>
      <c r="M26">
        <f t="shared" si="1"/>
        <v>146.96495983133221</v>
      </c>
      <c r="N26">
        <f t="shared" si="1"/>
        <v>136.33606899679933</v>
      </c>
      <c r="O26">
        <f t="shared" si="1"/>
        <v>124.45583971479972</v>
      </c>
      <c r="P26">
        <f t="shared" si="1"/>
        <v>124.17957927870268</v>
      </c>
      <c r="Q26">
        <f t="shared" si="1"/>
        <v>107.99055282522697</v>
      </c>
      <c r="R26">
        <f t="shared" si="1"/>
        <v>97.742800584331746</v>
      </c>
      <c r="S26">
        <f t="shared" si="1"/>
        <v>110.8004957060061</v>
      </c>
      <c r="T26">
        <f t="shared" si="1"/>
        <v>110.38781502858654</v>
      </c>
    </row>
    <row r="27" spans="1:20" x14ac:dyDescent="0.25">
      <c r="A27" t="s">
        <v>218</v>
      </c>
      <c r="B27">
        <f>VLOOKUP(B1,Household!$B$19:$L$37,11)</f>
        <v>1.4407776800765633</v>
      </c>
      <c r="C27">
        <f>VLOOKUP(C1,Household!$B$19:$L$37,11)</f>
        <v>1.4442862825729581</v>
      </c>
      <c r="D27">
        <f>VLOOKUP(D1,Household!$B$19:$L$37,11)</f>
        <v>1.4293807163106182</v>
      </c>
      <c r="E27">
        <f>VLOOKUP(E1,Household!$B$19:$L$37,11)</f>
        <v>1.435580371244356</v>
      </c>
      <c r="F27">
        <f>VLOOKUP(F1,Household!$B$19:$L$37,11)</f>
        <v>1.4418555546375096</v>
      </c>
      <c r="G27">
        <f>VLOOKUP(G1,Household!$B$19:$L$37,11)</f>
        <v>1.4336018348875355</v>
      </c>
      <c r="H27">
        <f>VLOOKUP(H1,Household!$B$19:$L$37,11)</f>
        <v>1.4074134082235183</v>
      </c>
      <c r="I27">
        <f>VLOOKUP(I1,Household!$B$19:$L$37,11)</f>
        <v>1.4152152524795916</v>
      </c>
      <c r="J27">
        <f>VLOOKUP(J1,Household!$B$19:$L$37,11)</f>
        <v>1.3863024728364322</v>
      </c>
      <c r="K27">
        <f>VLOOKUP(K1,Household!$B$19:$L$37,11)</f>
        <v>1.3379579735641536</v>
      </c>
      <c r="L27">
        <f>VLOOKUP(L1,Household!$B$19:$L$37,11)</f>
        <v>1.3067947029342579</v>
      </c>
      <c r="M27">
        <f>VLOOKUP(M1,Household!$B$19:$L$37,11)</f>
        <v>1.3556781640037061</v>
      </c>
      <c r="N27">
        <f>VLOOKUP(N1,Household!$B$19:$L$37,11)</f>
        <v>1.4223612101456657</v>
      </c>
      <c r="O27">
        <f>VLOOKUP(O1,Household!$B$19:$L$37,11)</f>
        <v>1.446900947680634</v>
      </c>
      <c r="P27">
        <f>VLOOKUP(P1,Household!$B$19:$L$37,11)</f>
        <v>1.4668689151944163</v>
      </c>
      <c r="Q27">
        <f>VLOOKUP(Q1,Household!$B$19:$L$37,11)</f>
        <v>1.46317651940406</v>
      </c>
      <c r="R27">
        <f>VLOOKUP(R1,Household!$B$19:$L$37,11)</f>
        <v>1.4613053477899538</v>
      </c>
      <c r="S27">
        <f>VLOOKUP(S1,Household!$B$19:$L$37,11)</f>
        <v>0.56903826401059987</v>
      </c>
      <c r="T27">
        <f>VLOOKUP(T1,Household!$B$19:$L$37,11)</f>
        <v>0.57059034394279573</v>
      </c>
    </row>
    <row r="28" spans="1:20" x14ac:dyDescent="0.25">
      <c r="A28" t="s">
        <v>224</v>
      </c>
      <c r="B28">
        <f>VLOOKUP(B1,'Energi Primer Nasional'!$F$24:$G$43,2)</f>
        <v>351082699380756</v>
      </c>
      <c r="C28">
        <f>VLOOKUP(C1,'Energi Primer Nasional'!$F$24:$G$43,2)</f>
        <v>366934170728286</v>
      </c>
      <c r="D28">
        <f>VLOOKUP(D1,'Energi Primer Nasional'!$F$24:$G$43,2)</f>
        <v>402625442497572</v>
      </c>
      <c r="E28">
        <f>VLOOKUP(E1,'Energi Primer Nasional'!$F$24:$G$43,2)</f>
        <v>435291693460092</v>
      </c>
      <c r="F28">
        <f>VLOOKUP(F1,'Energi Primer Nasional'!$F$24:$G$43,2)</f>
        <v>399920541457248</v>
      </c>
      <c r="G28">
        <f>VLOOKUP(G1,'Energi Primer Nasional'!$F$24:$G$43,2)</f>
        <v>407672724066048</v>
      </c>
      <c r="H28">
        <f>VLOOKUP(H1,'Energi Primer Nasional'!$F$24:$G$43,2)</f>
        <v>419208477569028</v>
      </c>
      <c r="I28">
        <f>VLOOKUP(I1,'Energi Primer Nasional'!$F$24:$G$43,2)</f>
        <v>391540311795528</v>
      </c>
      <c r="J28">
        <f>VLOOKUP(J1,'Energi Primer Nasional'!$F$24:$G$43,2)</f>
        <v>503328017482668</v>
      </c>
      <c r="K28">
        <f>VLOOKUP(K1,'Energi Primer Nasional'!$F$24:$G$43,2)</f>
        <v>535281961504500</v>
      </c>
      <c r="L28">
        <f>VLOOKUP(L1,'Energi Primer Nasional'!$F$24:$G$43,2)</f>
        <v>575597181191130</v>
      </c>
      <c r="M28">
        <f>VLOOKUP(M1,'Energi Primer Nasional'!$F$24:$G$43,2)</f>
        <v>558040152906936</v>
      </c>
      <c r="N28">
        <f>VLOOKUP(N1,'Energi Primer Nasional'!$F$24:$G$43,2)</f>
        <v>553238392659372</v>
      </c>
      <c r="O28">
        <f>VLOOKUP(O1,'Energi Primer Nasional'!$F$24:$G$43,2)</f>
        <v>495545963511186</v>
      </c>
      <c r="P28">
        <f>VLOOKUP(P1,'Energi Primer Nasional'!$F$24:$G$43,2)</f>
        <v>578653160832558</v>
      </c>
      <c r="Q28">
        <f>VLOOKUP(Q1,'Energi Primer Nasional'!$F$24:$G$43,2)</f>
        <v>587374833240720</v>
      </c>
      <c r="R28">
        <f>VLOOKUP(R1,'Energi Primer Nasional'!$F$24:$G$43,2)</f>
        <v>591008518511586</v>
      </c>
      <c r="S28">
        <f>VLOOKUP(S1,'Energi Primer Nasional'!$F$24:$G$43,2)</f>
        <v>586685220347646</v>
      </c>
      <c r="T28">
        <f>VLOOKUP(T1,'Energi Primer Nasional'!$F$24:$G$43,2)</f>
        <v>614764574202870</v>
      </c>
    </row>
    <row r="29" spans="1:20" x14ac:dyDescent="0.25">
      <c r="A29" t="s">
        <v>226</v>
      </c>
      <c r="B29">
        <f>VLOOKUP(B1,'Energi Primer Nasional'!$K$25:$L$43,2)</f>
        <v>303899141</v>
      </c>
      <c r="C29">
        <f>VLOOKUP(C1,'Energi Primer Nasional'!$K$25:$L$43,2)</f>
        <v>308311581</v>
      </c>
      <c r="D29">
        <f>VLOOKUP(D1,'Energi Primer Nasional'!$K$25:$L$43,2)</f>
        <v>305516297</v>
      </c>
      <c r="E29">
        <f>VLOOKUP(E1,'Energi Primer Nasional'!$K$25:$L$43,2)</f>
        <v>305318112</v>
      </c>
      <c r="F29">
        <f>VLOOKUP(F1,'Energi Primer Nasional'!$K$25:$L$43,2)</f>
        <v>307268880</v>
      </c>
      <c r="G29">
        <f>VLOOKUP(G1,'Energi Primer Nasional'!$K$25:$L$43,2)</f>
        <v>307988196</v>
      </c>
      <c r="H29">
        <f>VLOOKUP(H1,'Energi Primer Nasional'!$K$25:$L$43,2)</f>
        <v>311775482</v>
      </c>
      <c r="I29">
        <f>VLOOKUP(I1,'Energi Primer Nasional'!$K$25:$L$43,2)</f>
        <v>315108704</v>
      </c>
      <c r="J29">
        <f>VLOOKUP(J1,'Energi Primer Nasional'!$K$25:$L$43,2)</f>
        <v>320525851</v>
      </c>
      <c r="K29">
        <f>VLOOKUP(K1,'Energi Primer Nasional'!$K$25:$L$43,2)</f>
        <v>323721303</v>
      </c>
      <c r="L29">
        <f>VLOOKUP(L1,'Energi Primer Nasional'!$K$25:$L$43,2)</f>
        <v>334335363</v>
      </c>
      <c r="M29">
        <f>VLOOKUP(M1,'Energi Primer Nasional'!$K$25:$L$43,2)</f>
        <v>331857894</v>
      </c>
      <c r="N29">
        <f>VLOOKUP(N1,'Energi Primer Nasional'!$K$25:$L$43,2)</f>
        <v>352534164</v>
      </c>
      <c r="O29">
        <f>VLOOKUP(O1,'Energi Primer Nasional'!$K$25:$L$43,2)</f>
        <v>362170189</v>
      </c>
      <c r="P29">
        <f>VLOOKUP(P1,'Energi Primer Nasional'!$K$25:$L$43,2)</f>
        <v>368459329</v>
      </c>
      <c r="Q29">
        <f>VLOOKUP(Q1,'Energi Primer Nasional'!$K$25:$L$43,2)</f>
        <v>370645047.71765685</v>
      </c>
      <c r="R29">
        <f>VLOOKUP(R1,'Energi Primer Nasional'!$K$25:$L$43,2)</f>
        <v>399032953.97687203</v>
      </c>
      <c r="S29">
        <f>VLOOKUP(S1,'Energi Primer Nasional'!$K$25:$L$43,2)</f>
        <v>404298920.66309011</v>
      </c>
      <c r="T29">
        <f>VLOOKUP(T1,'Energi Primer Nasional'!$K$25:$L$43,2)</f>
        <v>448406840.02910364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AD51"/>
  <sheetViews>
    <sheetView topLeftCell="A16" zoomScale="81" workbookViewId="0">
      <selection activeCell="F28" sqref="F28"/>
    </sheetView>
  </sheetViews>
  <sheetFormatPr defaultRowHeight="15" x14ac:dyDescent="0.25"/>
  <cols>
    <col min="3" max="3" width="14.42578125" bestFit="1" customWidth="1"/>
    <col min="4" max="5" width="9.28515625" bestFit="1" customWidth="1"/>
    <col min="6" max="6" width="14.42578125" bestFit="1" customWidth="1"/>
    <col min="7" max="7" width="10.5703125" bestFit="1" customWidth="1"/>
    <col min="8" max="8" width="9.28515625" bestFit="1" customWidth="1"/>
    <col min="9" max="9" width="11.7109375" bestFit="1" customWidth="1"/>
    <col min="11" max="11" width="11.7109375" bestFit="1" customWidth="1"/>
    <col min="14" max="14" width="9.28515625" bestFit="1" customWidth="1"/>
    <col min="15" max="15" width="10.7109375" bestFit="1" customWidth="1"/>
    <col min="16" max="16" width="11.28515625" bestFit="1" customWidth="1"/>
    <col min="17" max="17" width="10.7109375" bestFit="1" customWidth="1"/>
    <col min="18" max="18" width="17.5703125" bestFit="1" customWidth="1"/>
    <col min="19" max="19" width="11.7109375" bestFit="1" customWidth="1"/>
    <col min="24" max="24" width="12.85546875" bestFit="1" customWidth="1"/>
  </cols>
  <sheetData>
    <row r="2" spans="2:26" x14ac:dyDescent="0.25">
      <c r="B2" s="73" t="s">
        <v>27</v>
      </c>
      <c r="C2" s="73"/>
      <c r="D2" s="73"/>
      <c r="E2" s="73"/>
      <c r="F2" s="73"/>
      <c r="G2" s="73"/>
      <c r="H2" s="73"/>
      <c r="N2" t="s">
        <v>102</v>
      </c>
      <c r="O2">
        <v>63216000</v>
      </c>
      <c r="P2">
        <v>62329000</v>
      </c>
      <c r="Q2">
        <v>59261000</v>
      </c>
      <c r="R2">
        <v>59640000</v>
      </c>
      <c r="S2">
        <v>60112000</v>
      </c>
      <c r="T2">
        <v>57696000</v>
      </c>
      <c r="U2">
        <v>50862000</v>
      </c>
      <c r="V2">
        <v>50229000</v>
      </c>
      <c r="W2">
        <v>40096000</v>
      </c>
      <c r="X2">
        <v>24255000</v>
      </c>
      <c r="Y2">
        <v>14439000</v>
      </c>
      <c r="Z2">
        <v>10072000</v>
      </c>
    </row>
    <row r="3" spans="2:26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N3" t="s">
        <v>103</v>
      </c>
      <c r="O3">
        <v>6013000</v>
      </c>
      <c r="P3">
        <v>6257000</v>
      </c>
      <c r="Q3">
        <v>6469000</v>
      </c>
      <c r="R3">
        <v>7112000</v>
      </c>
      <c r="S3">
        <v>6922000</v>
      </c>
      <c r="T3">
        <v>6122000</v>
      </c>
      <c r="U3">
        <v>6847000</v>
      </c>
      <c r="V3">
        <v>8477000</v>
      </c>
      <c r="W3">
        <v>13699000</v>
      </c>
      <c r="X3">
        <v>22897000</v>
      </c>
      <c r="Y3">
        <v>30521000</v>
      </c>
      <c r="Z3">
        <v>35440000</v>
      </c>
    </row>
    <row r="4" spans="2:26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N4" t="s">
        <v>104</v>
      </c>
      <c r="O4">
        <v>18735000</v>
      </c>
      <c r="P4">
        <v>20437000</v>
      </c>
      <c r="Q4">
        <v>20838000</v>
      </c>
      <c r="R4">
        <v>21917000</v>
      </c>
      <c r="S4">
        <v>23655000</v>
      </c>
      <c r="T4">
        <v>25246000</v>
      </c>
      <c r="U4">
        <v>26821000</v>
      </c>
      <c r="V4">
        <v>29010000</v>
      </c>
      <c r="W4">
        <v>30763000</v>
      </c>
      <c r="X4">
        <v>33682000</v>
      </c>
      <c r="Y4">
        <v>36673000</v>
      </c>
      <c r="Z4">
        <v>39914000</v>
      </c>
    </row>
    <row r="5" spans="2:26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N5" t="s">
        <v>105</v>
      </c>
      <c r="O5">
        <v>208610000</v>
      </c>
      <c r="P5">
        <v>212323000</v>
      </c>
      <c r="Q5">
        <v>216465000</v>
      </c>
      <c r="R5">
        <v>220377000</v>
      </c>
      <c r="S5">
        <v>223425000</v>
      </c>
      <c r="T5">
        <v>224707000</v>
      </c>
      <c r="U5">
        <v>228186000</v>
      </c>
      <c r="V5">
        <v>231616000</v>
      </c>
      <c r="W5">
        <v>232244000</v>
      </c>
      <c r="X5">
        <v>233261000</v>
      </c>
      <c r="Y5">
        <v>228915000</v>
      </c>
      <c r="Z5">
        <v>237929000</v>
      </c>
    </row>
    <row r="6" spans="2:26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6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6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6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6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6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6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6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6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6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6" x14ac:dyDescent="0.25">
      <c r="U16" t="s">
        <v>101</v>
      </c>
    </row>
    <row r="17" spans="2:30" ht="15" customHeight="1" x14ac:dyDescent="0.25">
      <c r="B17" s="73" t="s">
        <v>96</v>
      </c>
      <c r="C17" s="73"/>
      <c r="D17" s="73"/>
      <c r="E17" s="73"/>
      <c r="F17" s="73"/>
      <c r="G17" s="73"/>
      <c r="H17" s="73"/>
      <c r="I17" s="73"/>
      <c r="L17" t="s">
        <v>154</v>
      </c>
      <c r="N17" s="81" t="s">
        <v>2</v>
      </c>
      <c r="O17" s="81" t="s">
        <v>92</v>
      </c>
      <c r="P17" s="81" t="s">
        <v>93</v>
      </c>
      <c r="Q17" s="81" t="s">
        <v>12</v>
      </c>
      <c r="R17" s="81" t="s">
        <v>94</v>
      </c>
      <c r="S17" s="74" t="s">
        <v>20</v>
      </c>
      <c r="U17" s="81" t="s">
        <v>2</v>
      </c>
      <c r="W17" s="20" t="s">
        <v>92</v>
      </c>
      <c r="Y17" s="20" t="s">
        <v>93</v>
      </c>
      <c r="AA17" s="20" t="s">
        <v>12</v>
      </c>
      <c r="AC17" s="20" t="s">
        <v>94</v>
      </c>
      <c r="AD17" s="2" t="s">
        <v>20</v>
      </c>
    </row>
    <row r="18" spans="2:30" x14ac:dyDescent="0.25">
      <c r="B18" s="62" t="s">
        <v>0</v>
      </c>
      <c r="C18" s="62" t="s">
        <v>1</v>
      </c>
      <c r="D18" s="62" t="s">
        <v>4</v>
      </c>
      <c r="E18" s="62" t="s">
        <v>6</v>
      </c>
      <c r="F18" s="62" t="s">
        <v>11</v>
      </c>
      <c r="G18" s="62" t="s">
        <v>24</v>
      </c>
      <c r="H18" s="62" t="s">
        <v>12</v>
      </c>
      <c r="I18" s="62" t="s">
        <v>20</v>
      </c>
      <c r="K18" s="3" t="s">
        <v>216</v>
      </c>
      <c r="N18" s="81"/>
      <c r="O18" s="81"/>
      <c r="P18" s="81"/>
      <c r="Q18" s="81"/>
      <c r="R18" s="81"/>
      <c r="S18" s="74"/>
      <c r="U18" s="81"/>
      <c r="W18" s="20"/>
      <c r="Y18" s="20"/>
      <c r="AA18" s="20"/>
      <c r="AC18" s="20"/>
      <c r="AD18" s="2"/>
    </row>
    <row r="19" spans="2:30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8">
        <v>0</v>
      </c>
      <c r="H19" s="4">
        <v>18735</v>
      </c>
      <c r="I19" s="4">
        <v>296573</v>
      </c>
      <c r="J19" s="4">
        <f>SUM(C19:H19)</f>
        <v>296574</v>
      </c>
      <c r="K19" s="4">
        <f>J19*1000</f>
        <v>296574000</v>
      </c>
      <c r="L19" s="39">
        <f>J19*1000/Population!L3</f>
        <v>1.4407776800765633</v>
      </c>
      <c r="M19" s="1"/>
      <c r="N19" s="26">
        <v>0</v>
      </c>
      <c r="O19" s="27">
        <f>(E19)*1000</f>
        <v>63216000</v>
      </c>
      <c r="P19" s="28">
        <f>(F19+D19)*1000</f>
        <v>6013000</v>
      </c>
      <c r="Q19" s="28">
        <f>H19*1000</f>
        <v>18735000</v>
      </c>
      <c r="R19" s="28">
        <f>(G19+C19)*1000</f>
        <v>208610000</v>
      </c>
      <c r="S19" s="27">
        <f>SUM(O19:R19)</f>
        <v>296574000</v>
      </c>
      <c r="T19">
        <v>2000</v>
      </c>
      <c r="U19">
        <f>N19/$S19</f>
        <v>0</v>
      </c>
      <c r="V19">
        <v>2000</v>
      </c>
      <c r="W19">
        <f t="shared" ref="W19:W33" si="0">O19/$S19</f>
        <v>0.21315422120617453</v>
      </c>
      <c r="X19">
        <v>2000</v>
      </c>
      <c r="Y19">
        <f t="shared" ref="Y19:Y33" si="1">P19/$S19</f>
        <v>2.027487237586572E-2</v>
      </c>
      <c r="Z19">
        <v>2000</v>
      </c>
      <c r="AA19">
        <f t="shared" ref="AA19:AA33" si="2">Q19/$S19</f>
        <v>6.3171417588864839E-2</v>
      </c>
      <c r="AB19">
        <v>2000</v>
      </c>
      <c r="AC19">
        <f t="shared" ref="AC19:AC33" si="3">R19/$S19</f>
        <v>0.70339948882909498</v>
      </c>
    </row>
    <row r="20" spans="2:30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8">
        <v>0</v>
      </c>
      <c r="H20" s="18">
        <v>20437</v>
      </c>
      <c r="I20" s="4">
        <v>301347</v>
      </c>
      <c r="J20" s="4">
        <f t="shared" ref="J20:J37" si="4">SUM(C20:H20)</f>
        <v>301346</v>
      </c>
      <c r="K20" s="4">
        <f t="shared" ref="K20:K37" si="5">J20*1000</f>
        <v>301346000</v>
      </c>
      <c r="L20" s="39">
        <f>J20*1000/Population!L4</f>
        <v>1.4442862825729581</v>
      </c>
      <c r="M20" s="1"/>
      <c r="N20" s="26">
        <v>0</v>
      </c>
      <c r="O20" s="27">
        <f t="shared" ref="O20:O36" si="6">(E20)*1000</f>
        <v>62329000</v>
      </c>
      <c r="P20" s="28">
        <f t="shared" ref="P20:P37" si="7">(F20+D20)*1000</f>
        <v>6257000</v>
      </c>
      <c r="Q20" s="28">
        <f t="shared" ref="Q20:Q37" si="8">H20*1000</f>
        <v>20437000</v>
      </c>
      <c r="R20" s="28">
        <f t="shared" ref="R20:R37" si="9">(G20+C20)*1000</f>
        <v>212323000</v>
      </c>
      <c r="S20" s="27">
        <f t="shared" ref="S20:S37" si="10">SUM(O20:R20)</f>
        <v>301346000</v>
      </c>
      <c r="T20">
        <v>2001</v>
      </c>
      <c r="U20">
        <f t="shared" ref="U20:U33" si="11">N20/$S20</f>
        <v>0</v>
      </c>
      <c r="V20">
        <v>2001</v>
      </c>
      <c r="W20">
        <f t="shared" si="0"/>
        <v>0.20683533214311789</v>
      </c>
      <c r="X20">
        <v>2001</v>
      </c>
      <c r="Y20">
        <f t="shared" si="1"/>
        <v>2.0763507728657423E-2</v>
      </c>
      <c r="Z20">
        <v>2001</v>
      </c>
      <c r="AA20">
        <f t="shared" si="2"/>
        <v>6.7819051854014989E-2</v>
      </c>
      <c r="AB20">
        <v>2001</v>
      </c>
      <c r="AC20">
        <f t="shared" si="3"/>
        <v>0.70458210827420975</v>
      </c>
    </row>
    <row r="21" spans="2:30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8">
        <v>0</v>
      </c>
      <c r="H21" s="18">
        <v>20838</v>
      </c>
      <c r="I21" s="4">
        <v>303033</v>
      </c>
      <c r="J21" s="4">
        <f t="shared" si="4"/>
        <v>303033</v>
      </c>
      <c r="K21" s="4">
        <f t="shared" si="5"/>
        <v>303033000</v>
      </c>
      <c r="L21" s="39">
        <f>J21*1000/Population!L5</f>
        <v>1.4293807163106182</v>
      </c>
      <c r="M21" s="1"/>
      <c r="N21" s="26">
        <v>0</v>
      </c>
      <c r="O21" s="27">
        <f t="shared" si="6"/>
        <v>59261000</v>
      </c>
      <c r="P21" s="28">
        <f t="shared" si="7"/>
        <v>6469000</v>
      </c>
      <c r="Q21" s="28">
        <f t="shared" si="8"/>
        <v>20838000</v>
      </c>
      <c r="R21" s="28">
        <f t="shared" si="9"/>
        <v>216465000</v>
      </c>
      <c r="S21" s="27">
        <f t="shared" si="10"/>
        <v>303033000</v>
      </c>
      <c r="T21">
        <v>2002</v>
      </c>
      <c r="U21">
        <f t="shared" si="11"/>
        <v>0</v>
      </c>
      <c r="V21">
        <v>2002</v>
      </c>
      <c r="W21">
        <f t="shared" si="0"/>
        <v>0.19555955951992027</v>
      </c>
      <c r="X21">
        <v>2002</v>
      </c>
      <c r="Y21">
        <f t="shared" si="1"/>
        <v>2.1347510007160935E-2</v>
      </c>
      <c r="Z21">
        <v>2002</v>
      </c>
      <c r="AA21">
        <f t="shared" si="2"/>
        <v>6.8764787993386853E-2</v>
      </c>
      <c r="AB21">
        <v>2002</v>
      </c>
      <c r="AC21">
        <f t="shared" si="3"/>
        <v>0.71432814247953191</v>
      </c>
    </row>
    <row r="22" spans="2:30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8">
        <v>0</v>
      </c>
      <c r="H22" s="18">
        <v>21917</v>
      </c>
      <c r="I22" s="4">
        <v>309046</v>
      </c>
      <c r="J22" s="4">
        <f t="shared" si="4"/>
        <v>309046</v>
      </c>
      <c r="K22" s="4">
        <f t="shared" si="5"/>
        <v>309046000</v>
      </c>
      <c r="L22" s="39">
        <f>J22*1000/Population!L6</f>
        <v>1.435580371244356</v>
      </c>
      <c r="M22" s="1"/>
      <c r="N22" s="26">
        <v>0</v>
      </c>
      <c r="O22" s="27">
        <f t="shared" si="6"/>
        <v>59640000</v>
      </c>
      <c r="P22" s="28">
        <f t="shared" si="7"/>
        <v>7112000</v>
      </c>
      <c r="Q22" s="28">
        <f t="shared" si="8"/>
        <v>21917000</v>
      </c>
      <c r="R22" s="28">
        <f t="shared" si="9"/>
        <v>220377000</v>
      </c>
      <c r="S22" s="27">
        <f t="shared" si="10"/>
        <v>309046000</v>
      </c>
      <c r="T22">
        <v>2003</v>
      </c>
      <c r="U22">
        <f t="shared" si="11"/>
        <v>0</v>
      </c>
      <c r="V22">
        <v>2003</v>
      </c>
      <c r="W22">
        <f t="shared" si="0"/>
        <v>0.19298098017770818</v>
      </c>
      <c r="X22">
        <v>2003</v>
      </c>
      <c r="Y22">
        <f t="shared" si="1"/>
        <v>2.3012755382693838E-2</v>
      </c>
      <c r="Z22">
        <v>2003</v>
      </c>
      <c r="AA22">
        <f t="shared" si="2"/>
        <v>7.0918245180329145E-2</v>
      </c>
      <c r="AB22">
        <v>2003</v>
      </c>
      <c r="AC22">
        <f t="shared" si="3"/>
        <v>0.7130880192592689</v>
      </c>
    </row>
    <row r="23" spans="2:30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8">
        <v>0</v>
      </c>
      <c r="H23" s="18">
        <v>23655</v>
      </c>
      <c r="I23" s="4">
        <v>314115</v>
      </c>
      <c r="J23" s="4">
        <f t="shared" si="4"/>
        <v>314114</v>
      </c>
      <c r="K23" s="4">
        <f t="shared" si="5"/>
        <v>314114000</v>
      </c>
      <c r="L23" s="39">
        <f>J23*1000/Population!L7</f>
        <v>1.4418555546375096</v>
      </c>
      <c r="M23" s="1"/>
      <c r="N23" s="26">
        <v>0</v>
      </c>
      <c r="O23" s="27">
        <f t="shared" si="6"/>
        <v>60112000</v>
      </c>
      <c r="P23" s="28">
        <f t="shared" si="7"/>
        <v>6922000</v>
      </c>
      <c r="Q23" s="28">
        <f t="shared" si="8"/>
        <v>23655000</v>
      </c>
      <c r="R23" s="28">
        <f t="shared" si="9"/>
        <v>223425000</v>
      </c>
      <c r="S23" s="27">
        <f t="shared" si="10"/>
        <v>314114000</v>
      </c>
      <c r="T23">
        <v>2004</v>
      </c>
      <c r="U23">
        <f t="shared" si="11"/>
        <v>0</v>
      </c>
      <c r="V23">
        <v>2004</v>
      </c>
      <c r="W23">
        <f t="shared" si="0"/>
        <v>0.19137001216118987</v>
      </c>
      <c r="X23">
        <v>2004</v>
      </c>
      <c r="Y23">
        <f t="shared" si="1"/>
        <v>2.2036585443501403E-2</v>
      </c>
      <c r="Z23">
        <v>2004</v>
      </c>
      <c r="AA23">
        <f t="shared" si="2"/>
        <v>7.5307054126845671E-2</v>
      </c>
      <c r="AB23">
        <v>2004</v>
      </c>
      <c r="AC23">
        <f t="shared" si="3"/>
        <v>0.71128634826846304</v>
      </c>
    </row>
    <row r="24" spans="2:30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8">
        <v>0</v>
      </c>
      <c r="H24" s="18">
        <v>25246</v>
      </c>
      <c r="I24" s="4">
        <v>313772</v>
      </c>
      <c r="J24" s="4">
        <f t="shared" si="4"/>
        <v>313771</v>
      </c>
      <c r="K24" s="4">
        <f t="shared" si="5"/>
        <v>313771000</v>
      </c>
      <c r="L24" s="39">
        <f>J24*1000/Population!L8</f>
        <v>1.4336018348875355</v>
      </c>
      <c r="M24" s="1"/>
      <c r="N24" s="26">
        <v>0</v>
      </c>
      <c r="O24" s="27">
        <f t="shared" si="6"/>
        <v>57696000</v>
      </c>
      <c r="P24" s="28">
        <f t="shared" si="7"/>
        <v>6122000</v>
      </c>
      <c r="Q24" s="28">
        <f t="shared" si="8"/>
        <v>25246000</v>
      </c>
      <c r="R24" s="28">
        <f t="shared" si="9"/>
        <v>224707000</v>
      </c>
      <c r="S24" s="27">
        <f t="shared" si="10"/>
        <v>313771000</v>
      </c>
      <c r="T24">
        <v>2005</v>
      </c>
      <c r="U24">
        <f t="shared" si="11"/>
        <v>0</v>
      </c>
      <c r="V24">
        <v>2005</v>
      </c>
      <c r="W24">
        <f t="shared" si="0"/>
        <v>0.18387932600527135</v>
      </c>
      <c r="X24">
        <v>2005</v>
      </c>
      <c r="Y24">
        <f t="shared" si="1"/>
        <v>1.9511044679081241E-2</v>
      </c>
      <c r="Z24">
        <v>2005</v>
      </c>
      <c r="AA24">
        <f t="shared" si="2"/>
        <v>8.0459953278027602E-2</v>
      </c>
      <c r="AB24">
        <v>2005</v>
      </c>
      <c r="AC24">
        <f t="shared" si="3"/>
        <v>0.71614967603761981</v>
      </c>
    </row>
    <row r="25" spans="2:30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8">
        <v>0</v>
      </c>
      <c r="H25" s="18">
        <v>26821</v>
      </c>
      <c r="I25" s="4">
        <v>312716</v>
      </c>
      <c r="J25" s="4">
        <f t="shared" si="4"/>
        <v>312716</v>
      </c>
      <c r="K25" s="4">
        <f t="shared" si="5"/>
        <v>312716000</v>
      </c>
      <c r="L25" s="39">
        <f>J25*1000/Population!L9</f>
        <v>1.4074134082235183</v>
      </c>
      <c r="M25" s="1"/>
      <c r="N25" s="26">
        <v>0</v>
      </c>
      <c r="O25" s="27">
        <f t="shared" si="6"/>
        <v>50862000</v>
      </c>
      <c r="P25" s="28">
        <f t="shared" si="7"/>
        <v>6847000</v>
      </c>
      <c r="Q25" s="28">
        <f t="shared" si="8"/>
        <v>26821000</v>
      </c>
      <c r="R25" s="28">
        <f t="shared" si="9"/>
        <v>228186000</v>
      </c>
      <c r="S25" s="27">
        <f t="shared" si="10"/>
        <v>312716000</v>
      </c>
      <c r="T25">
        <v>2006</v>
      </c>
      <c r="U25">
        <f t="shared" si="11"/>
        <v>0</v>
      </c>
      <c r="V25">
        <v>2006</v>
      </c>
      <c r="W25">
        <f t="shared" si="0"/>
        <v>0.16264597909924661</v>
      </c>
      <c r="X25">
        <v>2006</v>
      </c>
      <c r="Y25">
        <f t="shared" si="1"/>
        <v>2.1895265992146227E-2</v>
      </c>
      <c r="Z25">
        <v>2006</v>
      </c>
      <c r="AA25">
        <f t="shared" si="2"/>
        <v>8.5767917215620562E-2</v>
      </c>
      <c r="AB25">
        <v>2006</v>
      </c>
      <c r="AC25">
        <f t="shared" si="3"/>
        <v>0.72969083769298659</v>
      </c>
    </row>
    <row r="26" spans="2:30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8">
        <v>0</v>
      </c>
      <c r="H26" s="18">
        <v>29010</v>
      </c>
      <c r="I26" s="4">
        <v>319333</v>
      </c>
      <c r="J26" s="4">
        <f t="shared" si="4"/>
        <v>319332</v>
      </c>
      <c r="K26" s="4">
        <f t="shared" si="5"/>
        <v>319332000</v>
      </c>
      <c r="L26" s="39">
        <f>J26*1000/Population!L10</f>
        <v>1.4152152524795916</v>
      </c>
      <c r="M26" s="1"/>
      <c r="N26" s="26">
        <v>0</v>
      </c>
      <c r="O26" s="27">
        <f t="shared" si="6"/>
        <v>50229000</v>
      </c>
      <c r="P26" s="28">
        <f t="shared" si="7"/>
        <v>8477000</v>
      </c>
      <c r="Q26" s="28">
        <f t="shared" si="8"/>
        <v>29010000</v>
      </c>
      <c r="R26" s="28">
        <f t="shared" si="9"/>
        <v>231616000</v>
      </c>
      <c r="S26" s="27">
        <f t="shared" si="10"/>
        <v>319332000</v>
      </c>
      <c r="T26">
        <v>2007</v>
      </c>
      <c r="U26">
        <f t="shared" si="11"/>
        <v>0</v>
      </c>
      <c r="V26">
        <v>2007</v>
      </c>
      <c r="W26">
        <f t="shared" si="0"/>
        <v>0.15729397617526586</v>
      </c>
      <c r="X26">
        <v>2007</v>
      </c>
      <c r="Y26">
        <f t="shared" si="1"/>
        <v>2.6546039858204001E-2</v>
      </c>
      <c r="Z26">
        <v>2007</v>
      </c>
      <c r="AA26">
        <f t="shared" si="2"/>
        <v>9.0845890797038822E-2</v>
      </c>
      <c r="AB26">
        <v>2007</v>
      </c>
      <c r="AC26">
        <f t="shared" si="3"/>
        <v>0.72531409316949136</v>
      </c>
    </row>
    <row r="27" spans="2:30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8">
        <v>0</v>
      </c>
      <c r="H27" s="4">
        <v>30763</v>
      </c>
      <c r="I27" s="4">
        <v>316802</v>
      </c>
      <c r="J27" s="4">
        <f t="shared" si="4"/>
        <v>316802</v>
      </c>
      <c r="K27" s="4">
        <f t="shared" si="5"/>
        <v>316802000</v>
      </c>
      <c r="L27" s="39">
        <f>J27*1000/Population!L11</f>
        <v>1.3863024728364322</v>
      </c>
      <c r="M27" s="1"/>
      <c r="N27" s="29">
        <v>0</v>
      </c>
      <c r="O27" s="27">
        <f t="shared" si="6"/>
        <v>40096000</v>
      </c>
      <c r="P27" s="28">
        <f t="shared" si="7"/>
        <v>13699000</v>
      </c>
      <c r="Q27" s="28">
        <f t="shared" si="8"/>
        <v>30763000</v>
      </c>
      <c r="R27" s="28">
        <f t="shared" si="9"/>
        <v>232244000</v>
      </c>
      <c r="S27" s="27">
        <f t="shared" si="10"/>
        <v>316802000</v>
      </c>
      <c r="T27">
        <v>2008</v>
      </c>
      <c r="U27">
        <f t="shared" si="11"/>
        <v>0</v>
      </c>
      <c r="V27">
        <v>2008</v>
      </c>
      <c r="W27">
        <f t="shared" si="0"/>
        <v>0.12656485754509125</v>
      </c>
      <c r="X27">
        <v>2008</v>
      </c>
      <c r="Y27">
        <f t="shared" si="1"/>
        <v>4.3241519939899373E-2</v>
      </c>
      <c r="Z27">
        <v>2008</v>
      </c>
      <c r="AA27">
        <f t="shared" si="2"/>
        <v>9.7104816257473123E-2</v>
      </c>
      <c r="AB27">
        <v>2008</v>
      </c>
      <c r="AC27">
        <f t="shared" si="3"/>
        <v>0.73308880625753625</v>
      </c>
    </row>
    <row r="28" spans="2:30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8">
        <v>0</v>
      </c>
      <c r="H28" s="4">
        <v>33682</v>
      </c>
      <c r="I28" s="4">
        <v>314094</v>
      </c>
      <c r="J28" s="4">
        <f t="shared" si="4"/>
        <v>314095</v>
      </c>
      <c r="K28" s="4">
        <f t="shared" si="5"/>
        <v>314095000</v>
      </c>
      <c r="L28" s="39">
        <f>J28*1000/Population!L12</f>
        <v>1.3379579735641536</v>
      </c>
      <c r="M28" s="1"/>
      <c r="N28" s="29">
        <v>0</v>
      </c>
      <c r="O28" s="27">
        <f t="shared" si="6"/>
        <v>24255000</v>
      </c>
      <c r="P28" s="28">
        <f t="shared" si="7"/>
        <v>22897000</v>
      </c>
      <c r="Q28" s="28">
        <f t="shared" si="8"/>
        <v>33682000</v>
      </c>
      <c r="R28" s="28">
        <f t="shared" si="9"/>
        <v>233261000</v>
      </c>
      <c r="S28" s="27">
        <f t="shared" si="10"/>
        <v>314095000</v>
      </c>
      <c r="T28">
        <v>2009</v>
      </c>
      <c r="U28">
        <f t="shared" si="11"/>
        <v>0</v>
      </c>
      <c r="V28">
        <v>2009</v>
      </c>
      <c r="W28">
        <f t="shared" si="0"/>
        <v>7.722185962845636E-2</v>
      </c>
      <c r="X28">
        <v>2009</v>
      </c>
      <c r="Y28">
        <f t="shared" si="1"/>
        <v>7.2898326939301802E-2</v>
      </c>
      <c r="Z28">
        <v>2009</v>
      </c>
      <c r="AA28">
        <f t="shared" si="2"/>
        <v>0.10723507219153441</v>
      </c>
      <c r="AB28">
        <v>2009</v>
      </c>
      <c r="AC28">
        <f t="shared" si="3"/>
        <v>0.74264474124070745</v>
      </c>
    </row>
    <row r="29" spans="2:30" x14ac:dyDescent="0.25">
      <c r="B29" s="3">
        <v>2010</v>
      </c>
      <c r="C29" s="4">
        <v>228915</v>
      </c>
      <c r="D29" s="3">
        <v>135</v>
      </c>
      <c r="E29" s="4">
        <v>14439</v>
      </c>
      <c r="F29" s="4">
        <v>30386</v>
      </c>
      <c r="G29" s="18">
        <v>0</v>
      </c>
      <c r="H29" s="4">
        <v>36673</v>
      </c>
      <c r="I29" s="4">
        <v>310548</v>
      </c>
      <c r="J29" s="4">
        <f t="shared" si="4"/>
        <v>310548</v>
      </c>
      <c r="K29" s="4">
        <f t="shared" si="5"/>
        <v>310548000</v>
      </c>
      <c r="L29" s="39">
        <f>J29*1000/Population!L13</f>
        <v>1.3067947029342579</v>
      </c>
      <c r="M29" s="1"/>
      <c r="N29" s="29">
        <v>0</v>
      </c>
      <c r="O29" s="27">
        <f t="shared" si="6"/>
        <v>14439000</v>
      </c>
      <c r="P29" s="28">
        <f t="shared" si="7"/>
        <v>30521000</v>
      </c>
      <c r="Q29" s="28">
        <f t="shared" si="8"/>
        <v>36673000</v>
      </c>
      <c r="R29" s="28">
        <f t="shared" si="9"/>
        <v>228915000</v>
      </c>
      <c r="S29" s="27">
        <f t="shared" si="10"/>
        <v>310548000</v>
      </c>
      <c r="T29">
        <v>2010</v>
      </c>
      <c r="U29">
        <f t="shared" si="11"/>
        <v>0</v>
      </c>
      <c r="V29">
        <v>2010</v>
      </c>
      <c r="W29">
        <f t="shared" si="0"/>
        <v>4.6495227790872909E-2</v>
      </c>
      <c r="X29">
        <v>2010</v>
      </c>
      <c r="Y29">
        <f t="shared" si="1"/>
        <v>9.8281103082293236E-2</v>
      </c>
      <c r="Z29">
        <v>2010</v>
      </c>
      <c r="AA29">
        <f t="shared" si="2"/>
        <v>0.11809124515372825</v>
      </c>
      <c r="AB29">
        <v>2010</v>
      </c>
      <c r="AC29">
        <f t="shared" si="3"/>
        <v>0.73713242397310563</v>
      </c>
    </row>
    <row r="30" spans="2:30" x14ac:dyDescent="0.25">
      <c r="B30" s="3">
        <v>2011</v>
      </c>
      <c r="C30" s="4">
        <v>237929</v>
      </c>
      <c r="D30" s="3">
        <v>114</v>
      </c>
      <c r="E30" s="4">
        <v>10072</v>
      </c>
      <c r="F30" s="4">
        <v>35326</v>
      </c>
      <c r="G30" s="18">
        <v>0</v>
      </c>
      <c r="H30" s="4">
        <v>39914</v>
      </c>
      <c r="I30" s="4">
        <v>323356</v>
      </c>
      <c r="J30" s="4">
        <f t="shared" si="4"/>
        <v>323355</v>
      </c>
      <c r="K30" s="4">
        <f t="shared" si="5"/>
        <v>323355000</v>
      </c>
      <c r="L30" s="39">
        <f>J30*1000/Population!L14</f>
        <v>1.3556781640037061</v>
      </c>
      <c r="M30" s="1"/>
      <c r="N30" s="30">
        <v>0</v>
      </c>
      <c r="O30" s="27">
        <f t="shared" si="6"/>
        <v>10072000</v>
      </c>
      <c r="P30" s="28">
        <f t="shared" si="7"/>
        <v>35440000</v>
      </c>
      <c r="Q30" s="28">
        <f t="shared" si="8"/>
        <v>39914000</v>
      </c>
      <c r="R30" s="28">
        <f t="shared" si="9"/>
        <v>237929000</v>
      </c>
      <c r="S30" s="27">
        <f t="shared" si="10"/>
        <v>323355000</v>
      </c>
      <c r="T30">
        <v>2011</v>
      </c>
      <c r="U30">
        <f t="shared" si="11"/>
        <v>0</v>
      </c>
      <c r="V30">
        <v>2011</v>
      </c>
      <c r="W30">
        <f t="shared" si="0"/>
        <v>3.1148428198110437E-2</v>
      </c>
      <c r="X30">
        <v>2011</v>
      </c>
      <c r="Y30">
        <f t="shared" si="1"/>
        <v>0.10960090303227103</v>
      </c>
      <c r="Z30">
        <v>2011</v>
      </c>
      <c r="AA30">
        <f t="shared" si="2"/>
        <v>0.12343708926721406</v>
      </c>
      <c r="AB30">
        <v>2011</v>
      </c>
      <c r="AC30">
        <f t="shared" si="3"/>
        <v>0.73581357950240445</v>
      </c>
    </row>
    <row r="31" spans="2:30" x14ac:dyDescent="0.25">
      <c r="B31" s="3">
        <v>2012</v>
      </c>
      <c r="C31" s="4">
        <v>256594</v>
      </c>
      <c r="D31" s="3">
        <v>134</v>
      </c>
      <c r="E31" s="4">
        <v>7015</v>
      </c>
      <c r="F31" s="4">
        <v>41123</v>
      </c>
      <c r="G31" s="18">
        <v>0</v>
      </c>
      <c r="H31" s="4">
        <v>44217</v>
      </c>
      <c r="I31" s="4">
        <v>349084</v>
      </c>
      <c r="J31" s="4">
        <f t="shared" si="4"/>
        <v>349083</v>
      </c>
      <c r="K31" s="4">
        <f t="shared" si="5"/>
        <v>349083000</v>
      </c>
      <c r="L31" s="39">
        <f>J31*1000/Population!L15</f>
        <v>1.4223612101456657</v>
      </c>
      <c r="M31" s="1"/>
      <c r="N31" s="30">
        <v>0</v>
      </c>
      <c r="O31" s="27">
        <f t="shared" si="6"/>
        <v>7015000</v>
      </c>
      <c r="P31" s="28">
        <f t="shared" si="7"/>
        <v>41257000</v>
      </c>
      <c r="Q31" s="28">
        <f t="shared" si="8"/>
        <v>44217000</v>
      </c>
      <c r="R31" s="28">
        <f t="shared" si="9"/>
        <v>256594000</v>
      </c>
      <c r="S31" s="27">
        <f t="shared" si="10"/>
        <v>349083000</v>
      </c>
      <c r="T31">
        <v>2012</v>
      </c>
      <c r="U31">
        <f t="shared" si="11"/>
        <v>0</v>
      </c>
      <c r="V31">
        <v>2012</v>
      </c>
      <c r="W31">
        <f t="shared" si="0"/>
        <v>2.0095507372172233E-2</v>
      </c>
      <c r="X31">
        <v>2012</v>
      </c>
      <c r="Y31">
        <f t="shared" si="1"/>
        <v>0.11818679225284531</v>
      </c>
      <c r="Z31">
        <v>2012</v>
      </c>
      <c r="AA31">
        <f t="shared" si="2"/>
        <v>0.12666615102998427</v>
      </c>
      <c r="AB31">
        <v>2012</v>
      </c>
      <c r="AC31">
        <f t="shared" si="3"/>
        <v>0.73505154934499817</v>
      </c>
    </row>
    <row r="32" spans="2:30" x14ac:dyDescent="0.25">
      <c r="B32" s="3">
        <v>2013</v>
      </c>
      <c r="C32" s="4">
        <v>260328</v>
      </c>
      <c r="D32" s="3">
        <v>122</v>
      </c>
      <c r="E32" s="4">
        <v>6396</v>
      </c>
      <c r="F32" s="4">
        <v>45839</v>
      </c>
      <c r="G32" s="18">
        <v>0</v>
      </c>
      <c r="H32" s="4">
        <v>47330</v>
      </c>
      <c r="I32" s="4">
        <v>360016</v>
      </c>
      <c r="J32" s="4">
        <f t="shared" si="4"/>
        <v>360015</v>
      </c>
      <c r="K32" s="4">
        <f t="shared" si="5"/>
        <v>360015000</v>
      </c>
      <c r="L32" s="39">
        <f>J32*1000/Population!L16</f>
        <v>1.446900947680634</v>
      </c>
      <c r="M32" s="1"/>
      <c r="N32" s="30">
        <v>0</v>
      </c>
      <c r="O32" s="27">
        <f t="shared" si="6"/>
        <v>6396000</v>
      </c>
      <c r="P32" s="28">
        <f t="shared" si="7"/>
        <v>45961000</v>
      </c>
      <c r="Q32" s="28">
        <f t="shared" si="8"/>
        <v>47330000</v>
      </c>
      <c r="R32" s="28">
        <f t="shared" si="9"/>
        <v>260328000</v>
      </c>
      <c r="S32" s="27">
        <f t="shared" si="10"/>
        <v>360015000</v>
      </c>
      <c r="T32">
        <v>2013</v>
      </c>
      <c r="U32">
        <f t="shared" si="11"/>
        <v>0</v>
      </c>
      <c r="V32">
        <v>2013</v>
      </c>
      <c r="W32">
        <f t="shared" si="0"/>
        <v>1.776592641973251E-2</v>
      </c>
      <c r="X32">
        <v>2013</v>
      </c>
      <c r="Y32">
        <f t="shared" si="1"/>
        <v>0.12766412510589836</v>
      </c>
      <c r="Z32">
        <v>2013</v>
      </c>
      <c r="AA32">
        <f t="shared" si="2"/>
        <v>0.13146674444120385</v>
      </c>
      <c r="AB32">
        <v>2013</v>
      </c>
      <c r="AC32">
        <f t="shared" si="3"/>
        <v>0.7231032040331653</v>
      </c>
    </row>
    <row r="33" spans="2:29" x14ac:dyDescent="0.25">
      <c r="B33" s="3">
        <v>2014</v>
      </c>
      <c r="C33" s="4">
        <v>263495</v>
      </c>
      <c r="D33" s="3">
        <v>114</v>
      </c>
      <c r="E33" s="4">
        <v>4929</v>
      </c>
      <c r="F33" s="4">
        <v>49810</v>
      </c>
      <c r="G33" s="18">
        <v>0</v>
      </c>
      <c r="H33" s="18">
        <v>51545</v>
      </c>
      <c r="I33" s="4">
        <v>369893</v>
      </c>
      <c r="J33" s="4">
        <f t="shared" si="4"/>
        <v>369893</v>
      </c>
      <c r="K33" s="4">
        <f t="shared" si="5"/>
        <v>369893000</v>
      </c>
      <c r="L33" s="39">
        <f>J33*1000/Population!L17</f>
        <v>1.4668689151944163</v>
      </c>
      <c r="M33" s="1"/>
      <c r="N33" s="30">
        <v>0</v>
      </c>
      <c r="O33" s="27">
        <f>(E33)*1000</f>
        <v>4929000</v>
      </c>
      <c r="P33" s="28">
        <f>(F33+D33)*1000</f>
        <v>49924000</v>
      </c>
      <c r="Q33" s="28">
        <f>H33*1000</f>
        <v>51545000</v>
      </c>
      <c r="R33" s="28">
        <f>(G33+C33)*1000</f>
        <v>263495000</v>
      </c>
      <c r="S33" s="27">
        <f t="shared" si="10"/>
        <v>369893000</v>
      </c>
      <c r="T33">
        <v>2014</v>
      </c>
      <c r="U33">
        <f t="shared" si="11"/>
        <v>0</v>
      </c>
      <c r="V33">
        <v>2014</v>
      </c>
      <c r="W33">
        <f t="shared" si="0"/>
        <v>1.3325475204991714E-2</v>
      </c>
      <c r="X33">
        <v>2014</v>
      </c>
      <c r="Y33">
        <f t="shared" si="1"/>
        <v>0.13496876123635754</v>
      </c>
      <c r="Z33">
        <v>2014</v>
      </c>
      <c r="AA33">
        <f t="shared" si="2"/>
        <v>0.13935110964522174</v>
      </c>
      <c r="AB33">
        <v>2014</v>
      </c>
      <c r="AC33">
        <f t="shared" si="3"/>
        <v>0.712354653913429</v>
      </c>
    </row>
    <row r="34" spans="2:29" x14ac:dyDescent="0.25">
      <c r="B34" s="3">
        <v>2015</v>
      </c>
      <c r="C34" s="4">
        <v>263275</v>
      </c>
      <c r="D34" s="3">
        <v>116</v>
      </c>
      <c r="E34" s="4">
        <v>3903</v>
      </c>
      <c r="F34" s="4">
        <v>52130</v>
      </c>
      <c r="G34" s="18">
        <v>0</v>
      </c>
      <c r="H34" s="18">
        <v>54362</v>
      </c>
      <c r="I34" s="4">
        <v>373787</v>
      </c>
      <c r="J34" s="4">
        <f t="shared" si="4"/>
        <v>373786</v>
      </c>
      <c r="K34" s="4">
        <f t="shared" si="5"/>
        <v>373786000</v>
      </c>
      <c r="L34" s="39">
        <f>J34*1000/Population!L18</f>
        <v>1.46317651940406</v>
      </c>
      <c r="M34" s="1"/>
      <c r="N34" s="30">
        <v>0</v>
      </c>
      <c r="O34" s="27">
        <f t="shared" si="6"/>
        <v>3903000</v>
      </c>
      <c r="P34" s="28">
        <f t="shared" si="7"/>
        <v>52246000</v>
      </c>
      <c r="Q34" s="28">
        <f t="shared" si="8"/>
        <v>54362000</v>
      </c>
      <c r="R34" s="28">
        <f t="shared" si="9"/>
        <v>263275000</v>
      </c>
      <c r="S34" s="27">
        <f t="shared" si="10"/>
        <v>373786000</v>
      </c>
    </row>
    <row r="35" spans="2:29" x14ac:dyDescent="0.25">
      <c r="B35" s="3">
        <v>2016</v>
      </c>
      <c r="C35" s="4">
        <v>263215</v>
      </c>
      <c r="D35" s="3">
        <v>137</v>
      </c>
      <c r="E35" s="4">
        <v>2995</v>
      </c>
      <c r="F35" s="4">
        <v>54302</v>
      </c>
      <c r="G35" s="18">
        <v>0</v>
      </c>
      <c r="H35" s="18">
        <v>57398</v>
      </c>
      <c r="I35" s="4">
        <v>378046</v>
      </c>
      <c r="J35" s="4">
        <f t="shared" si="4"/>
        <v>378047</v>
      </c>
      <c r="K35" s="4">
        <f t="shared" si="5"/>
        <v>378047000</v>
      </c>
      <c r="L35" s="39">
        <f>J35*1000/Population!L19</f>
        <v>1.4613053477899538</v>
      </c>
      <c r="M35" s="1"/>
      <c r="N35" s="30">
        <v>0</v>
      </c>
      <c r="O35" s="27">
        <f t="shared" si="6"/>
        <v>2995000</v>
      </c>
      <c r="P35" s="28">
        <f t="shared" si="7"/>
        <v>54439000</v>
      </c>
      <c r="Q35" s="28">
        <f t="shared" si="8"/>
        <v>57398000</v>
      </c>
      <c r="R35" s="28">
        <f t="shared" si="9"/>
        <v>263215000</v>
      </c>
      <c r="S35" s="27">
        <f t="shared" si="10"/>
        <v>378047000</v>
      </c>
    </row>
    <row r="36" spans="2:29" x14ac:dyDescent="0.25">
      <c r="B36" s="3">
        <v>2017</v>
      </c>
      <c r="C36" s="4">
        <v>29050</v>
      </c>
      <c r="D36" s="3">
        <v>177</v>
      </c>
      <c r="E36" s="4">
        <v>3114</v>
      </c>
      <c r="F36" s="4">
        <v>58783</v>
      </c>
      <c r="G36" s="3">
        <v>0</v>
      </c>
      <c r="H36" s="4">
        <v>57902</v>
      </c>
      <c r="I36" s="4">
        <v>149026</v>
      </c>
      <c r="J36" s="4">
        <f>SUM(C36:H36)</f>
        <v>149026</v>
      </c>
      <c r="K36" s="4">
        <f t="shared" si="5"/>
        <v>149026000</v>
      </c>
      <c r="L36" s="39">
        <f>J36*1000/Population!L20</f>
        <v>0.56903826401059987</v>
      </c>
      <c r="M36" s="1"/>
      <c r="N36" s="16">
        <v>0</v>
      </c>
      <c r="O36" s="1">
        <f t="shared" si="6"/>
        <v>3114000</v>
      </c>
      <c r="P36">
        <f t="shared" si="7"/>
        <v>58960000</v>
      </c>
      <c r="Q36">
        <f t="shared" si="8"/>
        <v>57902000</v>
      </c>
      <c r="R36">
        <f t="shared" si="9"/>
        <v>29050000</v>
      </c>
      <c r="S36" s="1">
        <f t="shared" si="10"/>
        <v>149026000</v>
      </c>
    </row>
    <row r="37" spans="2:29" x14ac:dyDescent="0.25">
      <c r="B37" s="3">
        <v>2018</v>
      </c>
      <c r="C37" s="63">
        <v>23020</v>
      </c>
      <c r="D37" s="36">
        <v>203</v>
      </c>
      <c r="E37" s="63">
        <v>3043</v>
      </c>
      <c r="F37" s="63">
        <v>61819</v>
      </c>
      <c r="G37" s="36">
        <v>167</v>
      </c>
      <c r="H37" s="63">
        <v>62963</v>
      </c>
      <c r="I37" s="63">
        <v>151214</v>
      </c>
      <c r="J37" s="4">
        <f t="shared" si="4"/>
        <v>151215</v>
      </c>
      <c r="K37" s="4">
        <f t="shared" si="5"/>
        <v>151215000</v>
      </c>
      <c r="L37" s="39">
        <f>J37*1000/Population!L21</f>
        <v>0.57059034394279573</v>
      </c>
      <c r="M37" s="1"/>
      <c r="N37" s="16">
        <v>0</v>
      </c>
      <c r="O37" s="1">
        <f t="shared" ref="O37" si="12">(E37)*1000</f>
        <v>3043000</v>
      </c>
      <c r="P37">
        <f t="shared" si="7"/>
        <v>62022000</v>
      </c>
      <c r="Q37">
        <f t="shared" si="8"/>
        <v>62963000</v>
      </c>
      <c r="R37">
        <f t="shared" si="9"/>
        <v>23187000</v>
      </c>
      <c r="S37" s="1">
        <f t="shared" si="10"/>
        <v>151215000</v>
      </c>
    </row>
    <row r="39" spans="2:29" x14ac:dyDescent="0.25">
      <c r="B39" s="73" t="s">
        <v>28</v>
      </c>
      <c r="C39" s="73"/>
      <c r="D39" s="73"/>
      <c r="E39" s="73"/>
      <c r="F39" s="73"/>
      <c r="G39" s="73"/>
    </row>
    <row r="40" spans="2:29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9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9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9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9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9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9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9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9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0">
    <mergeCell ref="B2:H2"/>
    <mergeCell ref="B39:G39"/>
    <mergeCell ref="N17:N18"/>
    <mergeCell ref="O17:O18"/>
    <mergeCell ref="U17:U18"/>
    <mergeCell ref="P17:P18"/>
    <mergeCell ref="Q17:Q18"/>
    <mergeCell ref="R17:R18"/>
    <mergeCell ref="S17:S18"/>
    <mergeCell ref="B17:I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AC20"/>
  <sheetViews>
    <sheetView topLeftCell="B1" workbookViewId="0">
      <selection activeCell="Q4" sqref="Q4:Q20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9" x14ac:dyDescent="0.25">
      <c r="T1" t="s">
        <v>101</v>
      </c>
    </row>
    <row r="2" spans="2:29" ht="15" customHeight="1" x14ac:dyDescent="0.25">
      <c r="C2" s="71" t="s">
        <v>19</v>
      </c>
      <c r="D2" s="71"/>
      <c r="E2" s="71"/>
      <c r="F2" s="71"/>
      <c r="G2" s="71"/>
      <c r="H2" s="71"/>
      <c r="I2" s="71"/>
      <c r="J2" s="71"/>
      <c r="K2" s="71"/>
      <c r="M2" s="81" t="s">
        <v>2</v>
      </c>
      <c r="N2" s="81" t="s">
        <v>92</v>
      </c>
      <c r="O2" s="81" t="s">
        <v>93</v>
      </c>
      <c r="P2" s="81" t="s">
        <v>12</v>
      </c>
      <c r="Q2" s="81" t="s">
        <v>94</v>
      </c>
      <c r="R2" s="74" t="s">
        <v>20</v>
      </c>
      <c r="T2" s="20" t="s">
        <v>2</v>
      </c>
      <c r="V2" s="20" t="s">
        <v>92</v>
      </c>
      <c r="X2" s="20" t="s">
        <v>93</v>
      </c>
      <c r="Z2" s="20" t="s">
        <v>12</v>
      </c>
      <c r="AB2" s="20" t="s">
        <v>94</v>
      </c>
      <c r="AC2" s="2" t="s">
        <v>20</v>
      </c>
    </row>
    <row r="3" spans="2:29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81"/>
      <c r="N3" s="81"/>
      <c r="O3" s="81"/>
      <c r="P3" s="81"/>
      <c r="Q3" s="81"/>
      <c r="R3" s="74"/>
      <c r="T3" s="20"/>
      <c r="V3" s="20"/>
      <c r="X3" s="20"/>
      <c r="Z3" s="20"/>
      <c r="AB3" s="20"/>
      <c r="AC3" s="2"/>
    </row>
    <row r="4" spans="2:29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24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S4">
        <v>2000</v>
      </c>
      <c r="T4">
        <f>M4/$R4</f>
        <v>0</v>
      </c>
      <c r="U4">
        <v>2000</v>
      </c>
      <c r="V4">
        <f t="shared" ref="V4:V18" si="0">N4/$R4</f>
        <v>0.42985681114551083</v>
      </c>
      <c r="W4">
        <v>2000</v>
      </c>
      <c r="X4">
        <f t="shared" ref="X4:X18" si="1">O4/$R4</f>
        <v>6.7289086687306501E-2</v>
      </c>
      <c r="Y4">
        <v>2000</v>
      </c>
      <c r="Z4">
        <f t="shared" ref="Z4:Z18" si="2">P4/$R4</f>
        <v>0.43261416408668729</v>
      </c>
      <c r="AA4">
        <v>2000</v>
      </c>
      <c r="AB4">
        <f>Q4/$R4</f>
        <v>7.0239938080495362E-2</v>
      </c>
      <c r="AC4">
        <f>R4/$R4</f>
        <v>1</v>
      </c>
    </row>
    <row r="5" spans="2:29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24">
        <v>2001</v>
      </c>
      <c r="M5" s="4">
        <v>0</v>
      </c>
      <c r="N5" s="3">
        <f t="shared" ref="N5:N20" si="3">SUM(E5:G5)*1000</f>
        <v>9166000</v>
      </c>
      <c r="O5" s="4">
        <f t="shared" ref="O5:O20" si="4">(I5+D5)*1000</f>
        <v>1285000</v>
      </c>
      <c r="P5" s="3">
        <f t="shared" ref="P5:P20" si="5">J5*1000</f>
        <v>9555000</v>
      </c>
      <c r="Q5" s="3">
        <f t="shared" ref="Q5:Q20" si="6">C5*1000</f>
        <v>1444000</v>
      </c>
      <c r="R5" s="4">
        <f t="shared" ref="R5:R20" si="7">SUM(M5:Q5)</f>
        <v>21450000</v>
      </c>
      <c r="S5">
        <v>2001</v>
      </c>
      <c r="T5">
        <f t="shared" ref="T5:T18" si="8">M5/$R5</f>
        <v>0</v>
      </c>
      <c r="U5">
        <v>2001</v>
      </c>
      <c r="V5">
        <f t="shared" si="0"/>
        <v>0.42731934731934734</v>
      </c>
      <c r="W5">
        <v>2001</v>
      </c>
      <c r="X5">
        <f t="shared" si="1"/>
        <v>5.9906759906759907E-2</v>
      </c>
      <c r="Y5">
        <v>2001</v>
      </c>
      <c r="Z5">
        <f t="shared" si="2"/>
        <v>0.44545454545454544</v>
      </c>
      <c r="AA5">
        <v>2001</v>
      </c>
      <c r="AB5">
        <f t="shared" ref="AB5:AB18" si="9">Q5/$R5</f>
        <v>6.7319347319347314E-2</v>
      </c>
    </row>
    <row r="6" spans="2:29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24">
        <v>2002</v>
      </c>
      <c r="M6" s="4">
        <v>0</v>
      </c>
      <c r="N6" s="3">
        <f t="shared" si="3"/>
        <v>8902000</v>
      </c>
      <c r="O6" s="4">
        <f t="shared" si="4"/>
        <v>1443000</v>
      </c>
      <c r="P6" s="3">
        <f t="shared" si="5"/>
        <v>9970000</v>
      </c>
      <c r="Q6" s="3">
        <f t="shared" si="6"/>
        <v>1437000</v>
      </c>
      <c r="R6" s="4">
        <f t="shared" si="7"/>
        <v>21752000</v>
      </c>
      <c r="S6">
        <v>2002</v>
      </c>
      <c r="T6">
        <f t="shared" si="8"/>
        <v>0</v>
      </c>
      <c r="U6">
        <v>2002</v>
      </c>
      <c r="V6">
        <f t="shared" si="0"/>
        <v>0.4092497241632953</v>
      </c>
      <c r="W6">
        <v>2002</v>
      </c>
      <c r="X6">
        <f t="shared" si="1"/>
        <v>6.6338727473335787E-2</v>
      </c>
      <c r="Y6">
        <v>2002</v>
      </c>
      <c r="Z6">
        <f t="shared" si="2"/>
        <v>0.45834865759470395</v>
      </c>
      <c r="AA6">
        <v>2002</v>
      </c>
      <c r="AB6">
        <f t="shared" si="9"/>
        <v>6.606289076866495E-2</v>
      </c>
    </row>
    <row r="7" spans="2:29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24">
        <v>2003</v>
      </c>
      <c r="M7" s="4">
        <v>0</v>
      </c>
      <c r="N7" s="3">
        <f t="shared" si="3"/>
        <v>8712000</v>
      </c>
      <c r="O7" s="4">
        <f t="shared" si="4"/>
        <v>1104000</v>
      </c>
      <c r="P7" s="3">
        <f t="shared" si="5"/>
        <v>11151000</v>
      </c>
      <c r="Q7" s="3">
        <f t="shared" si="6"/>
        <v>1430000</v>
      </c>
      <c r="R7" s="4">
        <f t="shared" si="7"/>
        <v>22397000</v>
      </c>
      <c r="S7">
        <v>2003</v>
      </c>
      <c r="T7">
        <f t="shared" si="8"/>
        <v>0</v>
      </c>
      <c r="U7">
        <v>2003</v>
      </c>
      <c r="V7">
        <f t="shared" si="0"/>
        <v>0.38898066705362327</v>
      </c>
      <c r="W7">
        <v>2003</v>
      </c>
      <c r="X7">
        <f t="shared" si="1"/>
        <v>4.9292315935169889E-2</v>
      </c>
      <c r="Y7">
        <v>2003</v>
      </c>
      <c r="Z7">
        <f t="shared" si="2"/>
        <v>0.49787918024735456</v>
      </c>
      <c r="AA7">
        <v>2003</v>
      </c>
      <c r="AB7">
        <f t="shared" si="9"/>
        <v>6.3847836763852306E-2</v>
      </c>
    </row>
    <row r="8" spans="2:29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24">
        <v>2004</v>
      </c>
      <c r="M8" s="4">
        <v>0</v>
      </c>
      <c r="N8" s="3">
        <f t="shared" si="3"/>
        <v>9540000</v>
      </c>
      <c r="O8" s="4">
        <f t="shared" si="4"/>
        <v>1462000</v>
      </c>
      <c r="P8" s="3">
        <f t="shared" si="5"/>
        <v>12986000</v>
      </c>
      <c r="Q8" s="3">
        <f t="shared" si="6"/>
        <v>1423000</v>
      </c>
      <c r="R8" s="4">
        <f t="shared" si="7"/>
        <v>25411000</v>
      </c>
      <c r="S8">
        <v>2004</v>
      </c>
      <c r="T8">
        <f t="shared" si="8"/>
        <v>0</v>
      </c>
      <c r="U8">
        <v>2004</v>
      </c>
      <c r="V8">
        <f t="shared" si="0"/>
        <v>0.37542796426744324</v>
      </c>
      <c r="W8">
        <v>2004</v>
      </c>
      <c r="X8">
        <f t="shared" si="1"/>
        <v>5.7534138758805239E-2</v>
      </c>
      <c r="Y8">
        <v>2004</v>
      </c>
      <c r="Z8">
        <f t="shared" si="2"/>
        <v>0.51103852662232896</v>
      </c>
      <c r="AA8">
        <v>2004</v>
      </c>
      <c r="AB8">
        <f t="shared" si="9"/>
        <v>5.5999370351422613E-2</v>
      </c>
    </row>
    <row r="9" spans="2:29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24">
        <v>2005</v>
      </c>
      <c r="M9" s="4">
        <v>0</v>
      </c>
      <c r="N9" s="3">
        <f t="shared" si="3"/>
        <v>8961000</v>
      </c>
      <c r="O9" s="4">
        <f t="shared" si="4"/>
        <v>1514000</v>
      </c>
      <c r="P9" s="3">
        <f t="shared" si="5"/>
        <v>14344000</v>
      </c>
      <c r="Q9" s="3">
        <f t="shared" si="6"/>
        <v>1416000</v>
      </c>
      <c r="R9" s="4">
        <f t="shared" si="7"/>
        <v>26235000</v>
      </c>
      <c r="S9">
        <v>2005</v>
      </c>
      <c r="T9">
        <f t="shared" si="8"/>
        <v>0</v>
      </c>
      <c r="U9">
        <v>2005</v>
      </c>
      <c r="V9">
        <f t="shared" si="0"/>
        <v>0.34156660949113782</v>
      </c>
      <c r="W9">
        <v>2005</v>
      </c>
      <c r="X9">
        <f t="shared" si="1"/>
        <v>5.770916714312941E-2</v>
      </c>
      <c r="Y9">
        <v>2005</v>
      </c>
      <c r="Z9">
        <f t="shared" si="2"/>
        <v>0.5467505241090147</v>
      </c>
      <c r="AA9">
        <v>2005</v>
      </c>
      <c r="AB9">
        <f t="shared" si="9"/>
        <v>5.3973699256718126E-2</v>
      </c>
    </row>
    <row r="10" spans="2:29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24">
        <v>2006</v>
      </c>
      <c r="M10" s="4">
        <v>0</v>
      </c>
      <c r="N10" s="3">
        <f t="shared" si="3"/>
        <v>7867000</v>
      </c>
      <c r="O10" s="4">
        <f t="shared" si="4"/>
        <v>1447000</v>
      </c>
      <c r="P10" s="3">
        <f t="shared" si="5"/>
        <v>15473000</v>
      </c>
      <c r="Q10" s="3">
        <f t="shared" si="6"/>
        <v>1409000</v>
      </c>
      <c r="R10" s="4">
        <f t="shared" si="7"/>
        <v>26196000</v>
      </c>
      <c r="S10">
        <v>2006</v>
      </c>
      <c r="T10">
        <f t="shared" si="8"/>
        <v>0</v>
      </c>
      <c r="U10">
        <v>2006</v>
      </c>
      <c r="V10">
        <f t="shared" si="0"/>
        <v>0.30031302488929607</v>
      </c>
      <c r="W10">
        <v>2006</v>
      </c>
      <c r="X10">
        <f t="shared" si="1"/>
        <v>5.5237440830661171E-2</v>
      </c>
      <c r="Y10">
        <v>2006</v>
      </c>
      <c r="Z10">
        <f t="shared" si="2"/>
        <v>0.59066269659490001</v>
      </c>
      <c r="AA10">
        <v>2006</v>
      </c>
      <c r="AB10">
        <f t="shared" si="9"/>
        <v>5.3786837685142773E-2</v>
      </c>
    </row>
    <row r="11" spans="2:29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4285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24">
        <v>2007</v>
      </c>
      <c r="M11" s="4">
        <v>0</v>
      </c>
      <c r="N11" s="3">
        <f t="shared" si="3"/>
        <v>7067000</v>
      </c>
      <c r="O11" s="4">
        <f t="shared" si="4"/>
        <v>1611000</v>
      </c>
      <c r="P11" s="3">
        <f t="shared" si="5"/>
        <v>17237000</v>
      </c>
      <c r="Q11" s="3">
        <f t="shared" si="6"/>
        <v>1402000</v>
      </c>
      <c r="R11" s="4">
        <f t="shared" si="7"/>
        <v>27317000</v>
      </c>
      <c r="S11">
        <v>2007</v>
      </c>
      <c r="T11">
        <f t="shared" si="8"/>
        <v>0</v>
      </c>
      <c r="U11">
        <v>2007</v>
      </c>
      <c r="V11">
        <f t="shared" si="0"/>
        <v>0.25870337152688799</v>
      </c>
      <c r="W11">
        <v>2007</v>
      </c>
      <c r="X11">
        <f t="shared" si="1"/>
        <v>5.8974265109638685E-2</v>
      </c>
      <c r="Y11">
        <v>2007</v>
      </c>
      <c r="Z11">
        <f t="shared" si="2"/>
        <v>0.63099901160449534</v>
      </c>
      <c r="AA11">
        <v>2007</v>
      </c>
      <c r="AB11">
        <f t="shared" si="9"/>
        <v>5.1323351758977925E-2</v>
      </c>
    </row>
    <row r="12" spans="2:29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4333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24">
        <v>2008</v>
      </c>
      <c r="M12" s="4">
        <v>0</v>
      </c>
      <c r="N12" s="3">
        <f t="shared" si="3"/>
        <v>6552000</v>
      </c>
      <c r="O12" s="4">
        <f t="shared" si="4"/>
        <v>1382000</v>
      </c>
      <c r="P12" s="3">
        <f t="shared" si="5"/>
        <v>18921000</v>
      </c>
      <c r="Q12" s="3">
        <f t="shared" si="6"/>
        <v>1395000</v>
      </c>
      <c r="R12" s="4">
        <f t="shared" si="7"/>
        <v>28250000</v>
      </c>
      <c r="S12">
        <v>2008</v>
      </c>
      <c r="T12">
        <f t="shared" si="8"/>
        <v>0</v>
      </c>
      <c r="U12">
        <v>2008</v>
      </c>
      <c r="V12">
        <f t="shared" si="0"/>
        <v>0.23192920353982302</v>
      </c>
      <c r="W12">
        <v>2008</v>
      </c>
      <c r="X12">
        <f t="shared" si="1"/>
        <v>4.8920353982300886E-2</v>
      </c>
      <c r="Y12">
        <v>2008</v>
      </c>
      <c r="Z12">
        <f t="shared" si="2"/>
        <v>0.66976991150442478</v>
      </c>
      <c r="AA12">
        <v>2008</v>
      </c>
      <c r="AB12">
        <f t="shared" si="9"/>
        <v>4.9380530973451325E-2</v>
      </c>
    </row>
    <row r="13" spans="2:29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4642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24">
        <v>2009</v>
      </c>
      <c r="M13" s="4">
        <v>0</v>
      </c>
      <c r="N13" s="3">
        <f t="shared" si="3"/>
        <v>5985000</v>
      </c>
      <c r="O13" s="4">
        <f t="shared" si="4"/>
        <v>1759000</v>
      </c>
      <c r="P13" s="3">
        <f t="shared" si="5"/>
        <v>20426000</v>
      </c>
      <c r="Q13" s="3">
        <f t="shared" si="6"/>
        <v>1388000</v>
      </c>
      <c r="R13" s="4">
        <f t="shared" si="7"/>
        <v>29558000</v>
      </c>
      <c r="S13">
        <v>2009</v>
      </c>
      <c r="T13">
        <f t="shared" si="8"/>
        <v>0</v>
      </c>
      <c r="U13">
        <v>2009</v>
      </c>
      <c r="V13">
        <f t="shared" si="0"/>
        <v>0.20248325326476757</v>
      </c>
      <c r="W13">
        <v>2009</v>
      </c>
      <c r="X13">
        <f t="shared" si="1"/>
        <v>5.9510115704716149E-2</v>
      </c>
      <c r="Y13">
        <v>2009</v>
      </c>
      <c r="Z13">
        <f t="shared" si="2"/>
        <v>0.69104810880303136</v>
      </c>
      <c r="AA13">
        <v>2009</v>
      </c>
      <c r="AB13">
        <f t="shared" si="9"/>
        <v>4.6958522227484943E-2</v>
      </c>
    </row>
    <row r="14" spans="2:29" x14ac:dyDescent="0.25">
      <c r="B14" s="3">
        <v>2010</v>
      </c>
      <c r="C14" s="4">
        <v>1381</v>
      </c>
      <c r="D14" s="3">
        <v>963</v>
      </c>
      <c r="E14" s="3">
        <v>797</v>
      </c>
      <c r="F14" s="4">
        <v>4039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24">
        <v>2010</v>
      </c>
      <c r="M14" s="4">
        <v>0</v>
      </c>
      <c r="N14" s="3">
        <f t="shared" si="3"/>
        <v>4841000</v>
      </c>
      <c r="O14" s="4">
        <f t="shared" si="4"/>
        <v>1989000</v>
      </c>
      <c r="P14" s="3">
        <f t="shared" si="5"/>
        <v>22726000</v>
      </c>
      <c r="Q14" s="3">
        <f t="shared" si="6"/>
        <v>1381000</v>
      </c>
      <c r="R14" s="4">
        <f t="shared" si="7"/>
        <v>30937000</v>
      </c>
      <c r="S14">
        <v>2010</v>
      </c>
      <c r="T14">
        <f t="shared" si="8"/>
        <v>0</v>
      </c>
      <c r="U14">
        <v>2010</v>
      </c>
      <c r="V14">
        <f t="shared" si="0"/>
        <v>0.15647929663509713</v>
      </c>
      <c r="W14">
        <v>2010</v>
      </c>
      <c r="X14">
        <f t="shared" si="1"/>
        <v>6.4291948152697412E-2</v>
      </c>
      <c r="Y14">
        <v>2010</v>
      </c>
      <c r="Z14">
        <f t="shared" si="2"/>
        <v>0.73458964993373632</v>
      </c>
      <c r="AA14">
        <v>2010</v>
      </c>
      <c r="AB14">
        <f t="shared" si="9"/>
        <v>4.4639105278469149E-2</v>
      </c>
    </row>
    <row r="15" spans="2:29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5311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24">
        <v>2011</v>
      </c>
      <c r="M15" s="4">
        <v>0</v>
      </c>
      <c r="N15" s="3">
        <f t="shared" si="3"/>
        <v>5871000</v>
      </c>
      <c r="O15" s="4">
        <f t="shared" si="4"/>
        <v>2402000</v>
      </c>
      <c r="P15" s="3">
        <f t="shared" si="5"/>
        <v>23390000</v>
      </c>
      <c r="Q15" s="3">
        <f t="shared" si="6"/>
        <v>1374000</v>
      </c>
      <c r="R15" s="4">
        <f t="shared" si="7"/>
        <v>33037000</v>
      </c>
      <c r="S15">
        <v>2011</v>
      </c>
      <c r="T15">
        <f t="shared" si="8"/>
        <v>0</v>
      </c>
      <c r="U15">
        <v>2011</v>
      </c>
      <c r="V15">
        <f t="shared" si="0"/>
        <v>0.17770984048188396</v>
      </c>
      <c r="W15">
        <v>2011</v>
      </c>
      <c r="X15">
        <f t="shared" si="1"/>
        <v>7.2706359536277507E-2</v>
      </c>
      <c r="Y15">
        <v>2011</v>
      </c>
      <c r="Z15">
        <f t="shared" si="2"/>
        <v>0.70799406725792291</v>
      </c>
      <c r="AA15">
        <v>2011</v>
      </c>
      <c r="AB15">
        <f t="shared" si="9"/>
        <v>4.1589732723915612E-2</v>
      </c>
    </row>
    <row r="16" spans="2:29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7130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24">
        <v>2012</v>
      </c>
      <c r="M16" s="4">
        <v>0</v>
      </c>
      <c r="N16" s="3">
        <f t="shared" si="3"/>
        <v>7520000</v>
      </c>
      <c r="O16" s="4">
        <f t="shared" si="4"/>
        <v>2764000</v>
      </c>
      <c r="P16" s="3">
        <f t="shared" si="5"/>
        <v>25485000</v>
      </c>
      <c r="Q16" s="3">
        <f t="shared" si="6"/>
        <v>1367000</v>
      </c>
      <c r="R16" s="4">
        <f t="shared" si="7"/>
        <v>37136000</v>
      </c>
      <c r="S16">
        <v>2012</v>
      </c>
      <c r="T16">
        <f t="shared" si="8"/>
        <v>0</v>
      </c>
      <c r="U16">
        <v>2012</v>
      </c>
      <c r="V16">
        <f t="shared" si="0"/>
        <v>0.20249892287806981</v>
      </c>
      <c r="W16">
        <v>2012</v>
      </c>
      <c r="X16">
        <f t="shared" si="1"/>
        <v>7.4429125376992672E-2</v>
      </c>
      <c r="Y16">
        <v>2012</v>
      </c>
      <c r="Z16">
        <f t="shared" si="2"/>
        <v>0.68626130978026711</v>
      </c>
      <c r="AA16">
        <v>2012</v>
      </c>
      <c r="AB16">
        <f t="shared" si="9"/>
        <v>3.6810641964670397E-2</v>
      </c>
    </row>
    <row r="17" spans="2:2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6742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24">
        <v>2013</v>
      </c>
      <c r="M17" s="4">
        <v>0</v>
      </c>
      <c r="N17" s="3">
        <f t="shared" si="3"/>
        <v>7097000</v>
      </c>
      <c r="O17" s="4">
        <f t="shared" si="4"/>
        <v>2691000</v>
      </c>
      <c r="P17" s="3">
        <f t="shared" si="5"/>
        <v>28088000</v>
      </c>
      <c r="Q17" s="3">
        <f t="shared" si="6"/>
        <v>1360000</v>
      </c>
      <c r="R17" s="4">
        <f t="shared" si="7"/>
        <v>39236000</v>
      </c>
      <c r="S17">
        <v>2013</v>
      </c>
      <c r="T17">
        <f t="shared" si="8"/>
        <v>0</v>
      </c>
      <c r="U17">
        <v>2013</v>
      </c>
      <c r="V17">
        <f t="shared" si="0"/>
        <v>0.18087980426139261</v>
      </c>
      <c r="W17">
        <v>2013</v>
      </c>
      <c r="X17">
        <f t="shared" si="1"/>
        <v>6.8584972983994297E-2</v>
      </c>
      <c r="Y17">
        <v>2013</v>
      </c>
      <c r="Z17">
        <f t="shared" si="2"/>
        <v>0.71587317769395453</v>
      </c>
      <c r="AA17">
        <v>2013</v>
      </c>
      <c r="AB17">
        <f t="shared" si="9"/>
        <v>3.4662045060658578E-2</v>
      </c>
    </row>
    <row r="18" spans="2:2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6095</v>
      </c>
      <c r="G18" s="3">
        <v>2</v>
      </c>
      <c r="H18" s="4">
        <v>6369</v>
      </c>
      <c r="I18" s="4">
        <v>1379</v>
      </c>
      <c r="J18" s="4">
        <v>29701</v>
      </c>
      <c r="K18" s="4">
        <v>38113</v>
      </c>
      <c r="L18" s="24">
        <v>2014</v>
      </c>
      <c r="M18" s="4">
        <v>0</v>
      </c>
      <c r="N18" s="3">
        <f t="shared" si="3"/>
        <v>6369000</v>
      </c>
      <c r="O18" s="4">
        <f t="shared" si="4"/>
        <v>2826000</v>
      </c>
      <c r="P18" s="3">
        <f t="shared" si="5"/>
        <v>29701000</v>
      </c>
      <c r="Q18" s="3">
        <f t="shared" si="6"/>
        <v>1353000</v>
      </c>
      <c r="R18" s="4">
        <f t="shared" si="7"/>
        <v>40249000</v>
      </c>
      <c r="S18">
        <v>2014</v>
      </c>
      <c r="T18">
        <f t="shared" si="8"/>
        <v>0</v>
      </c>
      <c r="U18">
        <v>2014</v>
      </c>
      <c r="V18">
        <f t="shared" si="0"/>
        <v>0.15823995627220552</v>
      </c>
      <c r="W18">
        <v>2014</v>
      </c>
      <c r="X18">
        <f t="shared" si="1"/>
        <v>7.021292454470919E-2</v>
      </c>
      <c r="Y18">
        <v>2014</v>
      </c>
      <c r="Z18">
        <f t="shared" si="2"/>
        <v>0.73793137717707269</v>
      </c>
      <c r="AA18">
        <v>2014</v>
      </c>
      <c r="AB18">
        <f t="shared" si="9"/>
        <v>3.3615742006012569E-2</v>
      </c>
    </row>
    <row r="19" spans="2:28" x14ac:dyDescent="0.25">
      <c r="B19" s="3">
        <v>2015</v>
      </c>
      <c r="C19" s="4">
        <v>1346</v>
      </c>
      <c r="D19" s="4">
        <v>1435</v>
      </c>
      <c r="E19" s="3">
        <v>216</v>
      </c>
      <c r="F19" s="4">
        <v>7428</v>
      </c>
      <c r="G19" s="3">
        <v>2</v>
      </c>
      <c r="H19" s="4">
        <v>7645</v>
      </c>
      <c r="I19" s="4">
        <v>1444</v>
      </c>
      <c r="J19" s="4">
        <v>30576</v>
      </c>
      <c r="K19" s="4">
        <v>42446</v>
      </c>
      <c r="L19" s="24">
        <v>2015</v>
      </c>
      <c r="M19" s="4">
        <v>0</v>
      </c>
      <c r="N19" s="3">
        <f t="shared" si="3"/>
        <v>7646000</v>
      </c>
      <c r="O19" s="4">
        <f t="shared" si="4"/>
        <v>2879000</v>
      </c>
      <c r="P19" s="3">
        <f t="shared" si="5"/>
        <v>30576000</v>
      </c>
      <c r="Q19" s="3">
        <f t="shared" si="6"/>
        <v>1346000</v>
      </c>
      <c r="R19" s="4">
        <f t="shared" si="7"/>
        <v>42447000</v>
      </c>
    </row>
    <row r="20" spans="2:28" x14ac:dyDescent="0.25">
      <c r="B20" s="3">
        <v>2016</v>
      </c>
      <c r="C20" s="4">
        <v>1340</v>
      </c>
      <c r="D20" s="4">
        <v>1272</v>
      </c>
      <c r="E20" s="3">
        <v>165</v>
      </c>
      <c r="F20" s="4">
        <v>4067</v>
      </c>
      <c r="G20" s="3">
        <v>1</v>
      </c>
      <c r="H20" s="4">
        <v>4234</v>
      </c>
      <c r="I20" s="4">
        <v>1504</v>
      </c>
      <c r="J20" s="4">
        <v>33103</v>
      </c>
      <c r="K20" s="4">
        <v>41452</v>
      </c>
      <c r="L20" s="24">
        <v>2016</v>
      </c>
      <c r="M20" s="4">
        <v>0</v>
      </c>
      <c r="N20" s="3">
        <f t="shared" si="3"/>
        <v>4233000</v>
      </c>
      <c r="O20" s="4">
        <f t="shared" si="4"/>
        <v>2776000</v>
      </c>
      <c r="P20" s="3">
        <f t="shared" si="5"/>
        <v>33103000</v>
      </c>
      <c r="Q20" s="3">
        <f t="shared" si="6"/>
        <v>1340000</v>
      </c>
      <c r="R20" s="4">
        <f t="shared" si="7"/>
        <v>41452000</v>
      </c>
    </row>
  </sheetData>
  <mergeCells count="7">
    <mergeCell ref="R2:R3"/>
    <mergeCell ref="C2:K2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A14" zoomScale="79" workbookViewId="0">
      <selection activeCell="AJ22" sqref="AJ22:AK39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74" t="s">
        <v>40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3:19" x14ac:dyDescent="0.25">
      <c r="C3" s="74" t="s">
        <v>0</v>
      </c>
      <c r="D3" s="74" t="s">
        <v>4</v>
      </c>
      <c r="E3" s="74" t="s">
        <v>5</v>
      </c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 t="s">
        <v>12</v>
      </c>
    </row>
    <row r="4" spans="3:19" x14ac:dyDescent="0.25">
      <c r="C4" s="74"/>
      <c r="D4" s="74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74"/>
    </row>
    <row r="5" spans="3:19" x14ac:dyDescent="0.25">
      <c r="C5" s="74"/>
      <c r="D5" s="2" t="s">
        <v>14</v>
      </c>
      <c r="E5" s="74" t="s">
        <v>15</v>
      </c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8" ht="15" customHeight="1" x14ac:dyDescent="0.25">
      <c r="C18" s="73" t="s">
        <v>41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V18" s="81" t="s">
        <v>2</v>
      </c>
      <c r="W18" s="81" t="s">
        <v>92</v>
      </c>
      <c r="X18" s="81" t="s">
        <v>93</v>
      </c>
      <c r="Y18" s="81" t="s">
        <v>12</v>
      </c>
      <c r="Z18" s="81" t="s">
        <v>94</v>
      </c>
      <c r="AA18" s="74" t="s">
        <v>20</v>
      </c>
      <c r="AC18" s="20" t="s">
        <v>2</v>
      </c>
      <c r="AE18" s="20" t="s">
        <v>92</v>
      </c>
      <c r="AG18" s="20" t="s">
        <v>93</v>
      </c>
      <c r="AI18" s="20" t="s">
        <v>12</v>
      </c>
      <c r="AK18" s="20" t="s">
        <v>94</v>
      </c>
      <c r="AL18" s="2" t="s">
        <v>20</v>
      </c>
    </row>
    <row r="19" spans="3:38" x14ac:dyDescent="0.25">
      <c r="C19" s="74" t="s">
        <v>0</v>
      </c>
      <c r="D19" s="74" t="s">
        <v>4</v>
      </c>
      <c r="E19" s="74" t="s">
        <v>5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 t="s">
        <v>12</v>
      </c>
      <c r="T19" s="74" t="s">
        <v>20</v>
      </c>
      <c r="V19" s="81"/>
      <c r="W19" s="81"/>
      <c r="X19" s="81"/>
      <c r="Y19" s="81"/>
      <c r="Z19" s="81"/>
      <c r="AA19" s="74"/>
      <c r="AC19" s="20"/>
      <c r="AE19" s="20"/>
      <c r="AG19" s="20"/>
      <c r="AI19" s="20"/>
      <c r="AK19" s="20"/>
      <c r="AL19" s="2"/>
    </row>
    <row r="20" spans="3:38" x14ac:dyDescent="0.25">
      <c r="C20" s="74"/>
      <c r="D20" s="74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74"/>
      <c r="T20" s="74"/>
      <c r="V20" s="74" t="s">
        <v>95</v>
      </c>
      <c r="W20" s="74"/>
      <c r="X20" s="74"/>
      <c r="Y20" s="74"/>
      <c r="Z20" s="74"/>
      <c r="AA20" s="74"/>
      <c r="AC20" s="2" t="s">
        <v>101</v>
      </c>
      <c r="AE20" s="2"/>
      <c r="AG20" s="2"/>
      <c r="AI20" s="2"/>
      <c r="AK20" s="2"/>
      <c r="AL20" s="2"/>
    </row>
    <row r="21" spans="3:38" x14ac:dyDescent="0.25">
      <c r="C21" s="17">
        <v>2000</v>
      </c>
      <c r="D21" s="17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18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B21">
        <v>2000</v>
      </c>
      <c r="AC21">
        <f>V21/$AA21</f>
        <v>0</v>
      </c>
      <c r="AD21">
        <v>2000</v>
      </c>
      <c r="AE21">
        <f t="shared" ref="AE21:AE39" si="0">W21/$AA21</f>
        <v>0.99855581661026449</v>
      </c>
      <c r="AF21">
        <v>2000</v>
      </c>
      <c r="AG21">
        <f t="shared" ref="AG21:AG39" si="1">X21/$AA21</f>
        <v>1.2501886060397043E-3</v>
      </c>
      <c r="AH21">
        <v>2000</v>
      </c>
      <c r="AI21">
        <f t="shared" ref="AI21:AI39" si="2">Y21/$AA21</f>
        <v>1.9399478369581618E-4</v>
      </c>
      <c r="AJ21">
        <v>2000</v>
      </c>
      <c r="AK21">
        <f>Z21/$AA21</f>
        <v>0</v>
      </c>
      <c r="AL21">
        <f>AA21/$AA21</f>
        <v>1</v>
      </c>
    </row>
    <row r="22" spans="3:38" x14ac:dyDescent="0.25">
      <c r="C22" s="3">
        <v>2001</v>
      </c>
      <c r="D22" s="17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18">
        <v>0</v>
      </c>
      <c r="W22" s="3">
        <f t="shared" ref="W22:W39" si="3">R22*1000</f>
        <v>148091000</v>
      </c>
      <c r="X22" s="3">
        <f t="shared" ref="X22:X39" si="4">D22*1000</f>
        <v>139000</v>
      </c>
      <c r="Y22" s="3">
        <f t="shared" ref="Y22:Y39" si="5">S22*1000</f>
        <v>30000</v>
      </c>
      <c r="Z22" s="3">
        <f t="shared" ref="Z22:Z39" si="6">Q22*1000</f>
        <v>0</v>
      </c>
      <c r="AA22" s="4">
        <f t="shared" ref="AA22:AA39" si="7">SUM(V22:Z22)</f>
        <v>148260000</v>
      </c>
      <c r="AB22">
        <v>2001</v>
      </c>
      <c r="AC22">
        <f t="shared" ref="AC22:AC39" si="8">V22/$AA22</f>
        <v>0</v>
      </c>
      <c r="AD22">
        <v>2001</v>
      </c>
      <c r="AE22">
        <f t="shared" si="0"/>
        <v>0.99886011061648461</v>
      </c>
      <c r="AF22">
        <v>2001</v>
      </c>
      <c r="AG22">
        <f t="shared" si="1"/>
        <v>9.375421556724673E-4</v>
      </c>
      <c r="AH22">
        <v>2001</v>
      </c>
      <c r="AI22">
        <f t="shared" si="2"/>
        <v>2.0234722784297855E-4</v>
      </c>
      <c r="AJ22">
        <v>2001</v>
      </c>
      <c r="AK22">
        <f t="shared" ref="AK22:AK39" si="9">Z22/$AA22</f>
        <v>0</v>
      </c>
    </row>
    <row r="23" spans="3:38" x14ac:dyDescent="0.25">
      <c r="C23" s="3">
        <v>2002</v>
      </c>
      <c r="D23" s="17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18">
        <v>0</v>
      </c>
      <c r="W23" s="3">
        <f t="shared" si="3"/>
        <v>151349000</v>
      </c>
      <c r="X23" s="3">
        <f t="shared" si="4"/>
        <v>118000</v>
      </c>
      <c r="Y23" s="3">
        <f t="shared" si="5"/>
        <v>33000</v>
      </c>
      <c r="Z23" s="3">
        <f t="shared" si="6"/>
        <v>0</v>
      </c>
      <c r="AA23" s="4">
        <f t="shared" si="7"/>
        <v>151500000</v>
      </c>
      <c r="AB23">
        <v>2002</v>
      </c>
      <c r="AC23">
        <f t="shared" si="8"/>
        <v>0</v>
      </c>
      <c r="AD23">
        <v>2002</v>
      </c>
      <c r="AE23">
        <f t="shared" si="0"/>
        <v>0.99900330033003304</v>
      </c>
      <c r="AF23">
        <v>2002</v>
      </c>
      <c r="AG23">
        <f t="shared" si="1"/>
        <v>7.7887788778877888E-4</v>
      </c>
      <c r="AH23">
        <v>2002</v>
      </c>
      <c r="AI23">
        <f t="shared" si="2"/>
        <v>2.1782178217821783E-4</v>
      </c>
      <c r="AJ23">
        <v>2002</v>
      </c>
      <c r="AK23">
        <f t="shared" si="9"/>
        <v>0</v>
      </c>
    </row>
    <row r="24" spans="3:38" x14ac:dyDescent="0.25">
      <c r="C24" s="3">
        <v>2003</v>
      </c>
      <c r="D24" s="17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18">
        <v>0</v>
      </c>
      <c r="W24" s="3">
        <f t="shared" si="3"/>
        <v>156093000</v>
      </c>
      <c r="X24" s="3">
        <f t="shared" si="4"/>
        <v>108000</v>
      </c>
      <c r="Y24" s="3">
        <f t="shared" si="5"/>
        <v>33000</v>
      </c>
      <c r="Z24" s="3">
        <f t="shared" si="6"/>
        <v>0</v>
      </c>
      <c r="AA24" s="4">
        <f t="shared" si="7"/>
        <v>156234000</v>
      </c>
      <c r="AB24">
        <v>2003</v>
      </c>
      <c r="AC24">
        <f t="shared" si="8"/>
        <v>0</v>
      </c>
      <c r="AD24">
        <v>2003</v>
      </c>
      <c r="AE24">
        <f t="shared" si="0"/>
        <v>0.99909750758477667</v>
      </c>
      <c r="AF24">
        <v>2003</v>
      </c>
      <c r="AG24">
        <f t="shared" si="1"/>
        <v>6.9127078612849955E-4</v>
      </c>
      <c r="AH24">
        <v>2003</v>
      </c>
      <c r="AI24">
        <f t="shared" si="2"/>
        <v>2.112216290948193E-4</v>
      </c>
      <c r="AJ24">
        <v>2003</v>
      </c>
      <c r="AK24">
        <f t="shared" si="9"/>
        <v>0</v>
      </c>
    </row>
    <row r="25" spans="3:38" x14ac:dyDescent="0.25">
      <c r="C25" s="3">
        <v>2004</v>
      </c>
      <c r="D25" s="17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18">
        <v>0</v>
      </c>
      <c r="W25" s="3">
        <f t="shared" si="3"/>
        <v>178256000</v>
      </c>
      <c r="X25" s="3">
        <f t="shared" si="4"/>
        <v>85000</v>
      </c>
      <c r="Y25" s="3">
        <f t="shared" si="5"/>
        <v>34000</v>
      </c>
      <c r="Z25" s="3">
        <f t="shared" si="6"/>
        <v>0</v>
      </c>
      <c r="AA25" s="4">
        <f t="shared" si="7"/>
        <v>178375000</v>
      </c>
      <c r="AB25">
        <v>2004</v>
      </c>
      <c r="AC25">
        <f t="shared" si="8"/>
        <v>0</v>
      </c>
      <c r="AD25">
        <v>2004</v>
      </c>
      <c r="AE25">
        <f t="shared" si="0"/>
        <v>0.99933286615276806</v>
      </c>
      <c r="AF25">
        <v>2004</v>
      </c>
      <c r="AG25">
        <f t="shared" si="1"/>
        <v>4.7652417659425369E-4</v>
      </c>
      <c r="AH25">
        <v>2004</v>
      </c>
      <c r="AI25">
        <f t="shared" si="2"/>
        <v>1.9060967063770146E-4</v>
      </c>
      <c r="AJ25">
        <v>2004</v>
      </c>
      <c r="AK25">
        <f t="shared" si="9"/>
        <v>0</v>
      </c>
    </row>
    <row r="26" spans="3:38" x14ac:dyDescent="0.25">
      <c r="C26" s="3">
        <v>2005</v>
      </c>
      <c r="D26" s="17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18">
        <v>0</v>
      </c>
      <c r="W26" s="3">
        <f t="shared" si="3"/>
        <v>178376000</v>
      </c>
      <c r="X26" s="3">
        <f t="shared" si="4"/>
        <v>43000</v>
      </c>
      <c r="Y26" s="3">
        <f t="shared" si="5"/>
        <v>34000</v>
      </c>
      <c r="Z26" s="3">
        <f t="shared" si="6"/>
        <v>0</v>
      </c>
      <c r="AA26" s="4">
        <f t="shared" si="7"/>
        <v>178453000</v>
      </c>
      <c r="AB26">
        <v>2005</v>
      </c>
      <c r="AC26">
        <f t="shared" si="8"/>
        <v>0</v>
      </c>
      <c r="AD26">
        <v>2005</v>
      </c>
      <c r="AE26">
        <f t="shared" si="0"/>
        <v>0.99956851383837764</v>
      </c>
      <c r="AF26">
        <v>2005</v>
      </c>
      <c r="AG26">
        <f t="shared" si="1"/>
        <v>2.4095980454237251E-4</v>
      </c>
      <c r="AH26">
        <v>2005</v>
      </c>
      <c r="AI26">
        <f t="shared" si="2"/>
        <v>1.9052635708001546E-4</v>
      </c>
      <c r="AJ26">
        <v>2005</v>
      </c>
      <c r="AK26">
        <f t="shared" si="9"/>
        <v>0</v>
      </c>
    </row>
    <row r="27" spans="3:38" x14ac:dyDescent="0.25">
      <c r="C27" s="3">
        <v>2006</v>
      </c>
      <c r="D27" s="17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18">
        <v>0</v>
      </c>
      <c r="W27" s="3">
        <f t="shared" si="3"/>
        <v>168636000</v>
      </c>
      <c r="X27" s="3">
        <f t="shared" si="4"/>
        <v>42000</v>
      </c>
      <c r="Y27" s="3">
        <f t="shared" si="5"/>
        <v>41000</v>
      </c>
      <c r="Z27" s="3">
        <f t="shared" si="6"/>
        <v>1418000</v>
      </c>
      <c r="AA27" s="4">
        <f t="shared" si="7"/>
        <v>170137000</v>
      </c>
      <c r="AB27">
        <v>2006</v>
      </c>
      <c r="AC27">
        <f t="shared" si="8"/>
        <v>0</v>
      </c>
      <c r="AD27">
        <v>2006</v>
      </c>
      <c r="AE27">
        <f t="shared" si="0"/>
        <v>0.99117769797281019</v>
      </c>
      <c r="AF27">
        <v>2006</v>
      </c>
      <c r="AG27">
        <f t="shared" si="1"/>
        <v>2.4685988350564548E-4</v>
      </c>
      <c r="AH27">
        <v>2006</v>
      </c>
      <c r="AI27">
        <f t="shared" si="2"/>
        <v>2.4098226723170152E-4</v>
      </c>
      <c r="AJ27">
        <v>2006</v>
      </c>
      <c r="AK27">
        <f t="shared" si="9"/>
        <v>8.3344598764525067E-3</v>
      </c>
    </row>
    <row r="28" spans="3:38" x14ac:dyDescent="0.25">
      <c r="C28" s="3">
        <v>2007</v>
      </c>
      <c r="D28" s="17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18">
        <v>0</v>
      </c>
      <c r="W28" s="3">
        <f t="shared" si="3"/>
        <v>172975000</v>
      </c>
      <c r="X28" s="3">
        <f t="shared" si="4"/>
        <v>49000</v>
      </c>
      <c r="Y28" s="3">
        <f t="shared" si="5"/>
        <v>52000</v>
      </c>
      <c r="Z28" s="3">
        <f t="shared" si="6"/>
        <v>6076000</v>
      </c>
      <c r="AA28" s="4">
        <f t="shared" si="7"/>
        <v>179152000</v>
      </c>
      <c r="AB28">
        <v>2007</v>
      </c>
      <c r="AC28">
        <f t="shared" si="8"/>
        <v>0</v>
      </c>
      <c r="AD28">
        <v>2007</v>
      </c>
      <c r="AE28">
        <f t="shared" si="0"/>
        <v>0.96552089845494327</v>
      </c>
      <c r="AF28">
        <v>2007</v>
      </c>
      <c r="AG28">
        <f t="shared" si="1"/>
        <v>2.7351076181119944E-4</v>
      </c>
      <c r="AH28">
        <v>2007</v>
      </c>
      <c r="AI28">
        <f t="shared" si="2"/>
        <v>2.9025631865678306E-4</v>
      </c>
      <c r="AJ28">
        <v>2007</v>
      </c>
      <c r="AK28">
        <f t="shared" si="9"/>
        <v>3.3915334464588727E-2</v>
      </c>
    </row>
    <row r="29" spans="3:38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18">
        <v>0</v>
      </c>
      <c r="W29" s="3">
        <f t="shared" si="3"/>
        <v>185495000</v>
      </c>
      <c r="X29" s="3">
        <f t="shared" si="4"/>
        <v>124000</v>
      </c>
      <c r="Y29" s="3">
        <f t="shared" si="5"/>
        <v>50000</v>
      </c>
      <c r="Z29" s="3">
        <f t="shared" si="6"/>
        <v>6041000</v>
      </c>
      <c r="AA29" s="4">
        <f t="shared" si="7"/>
        <v>191710000</v>
      </c>
      <c r="AB29">
        <v>2008</v>
      </c>
      <c r="AC29">
        <f t="shared" si="8"/>
        <v>0</v>
      </c>
      <c r="AD29">
        <v>2008</v>
      </c>
      <c r="AE29">
        <f t="shared" si="0"/>
        <v>0.9675812425016953</v>
      </c>
      <c r="AF29">
        <v>2008</v>
      </c>
      <c r="AG29">
        <f t="shared" si="1"/>
        <v>6.4681028637003808E-4</v>
      </c>
      <c r="AH29">
        <v>2008</v>
      </c>
      <c r="AI29">
        <f t="shared" si="2"/>
        <v>2.6081059934275727E-4</v>
      </c>
      <c r="AJ29">
        <v>2008</v>
      </c>
      <c r="AK29">
        <f t="shared" si="9"/>
        <v>3.1511136612591938E-2</v>
      </c>
    </row>
    <row r="30" spans="3:38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18">
        <v>0</v>
      </c>
      <c r="W30" s="3">
        <f t="shared" si="3"/>
        <v>209709000</v>
      </c>
      <c r="X30" s="3">
        <f t="shared" si="4"/>
        <v>191000</v>
      </c>
      <c r="Y30" s="3">
        <f t="shared" si="5"/>
        <v>68000</v>
      </c>
      <c r="Z30" s="3">
        <f t="shared" si="6"/>
        <v>14959000</v>
      </c>
      <c r="AA30" s="4">
        <f t="shared" si="7"/>
        <v>224927000</v>
      </c>
      <c r="AB30">
        <v>2009</v>
      </c>
      <c r="AC30">
        <f t="shared" si="8"/>
        <v>0</v>
      </c>
      <c r="AD30">
        <v>2009</v>
      </c>
      <c r="AE30">
        <f t="shared" si="0"/>
        <v>0.93234249334228436</v>
      </c>
      <c r="AF30">
        <v>2009</v>
      </c>
      <c r="AG30">
        <f t="shared" si="1"/>
        <v>8.4916439555944817E-4</v>
      </c>
      <c r="AH30">
        <v>2009</v>
      </c>
      <c r="AI30">
        <f t="shared" si="2"/>
        <v>3.0232030836671456E-4</v>
      </c>
      <c r="AJ30">
        <v>2009</v>
      </c>
      <c r="AK30">
        <f t="shared" si="9"/>
        <v>6.6506021953789449E-2</v>
      </c>
    </row>
    <row r="31" spans="3:38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18">
        <v>0</v>
      </c>
      <c r="W31" s="3">
        <f t="shared" si="3"/>
        <v>230096000</v>
      </c>
      <c r="X31" s="3">
        <f t="shared" si="4"/>
        <v>195000</v>
      </c>
      <c r="Y31" s="3">
        <f t="shared" si="5"/>
        <v>54000</v>
      </c>
      <c r="Z31" s="3">
        <f t="shared" si="6"/>
        <v>27939000</v>
      </c>
      <c r="AA31" s="4">
        <f t="shared" si="7"/>
        <v>258284000</v>
      </c>
      <c r="AB31">
        <v>2010</v>
      </c>
      <c r="AC31">
        <f t="shared" si="8"/>
        <v>0</v>
      </c>
      <c r="AD31">
        <v>2010</v>
      </c>
      <c r="AE31">
        <f t="shared" si="0"/>
        <v>0.89086431989592851</v>
      </c>
      <c r="AF31">
        <v>2010</v>
      </c>
      <c r="AG31">
        <f t="shared" si="1"/>
        <v>7.5498288705456008E-4</v>
      </c>
      <c r="AH31">
        <v>2010</v>
      </c>
      <c r="AI31">
        <f t="shared" si="2"/>
        <v>2.0907218410741663E-4</v>
      </c>
      <c r="AJ31">
        <v>2010</v>
      </c>
      <c r="AK31">
        <f t="shared" si="9"/>
        <v>0.10817162503290952</v>
      </c>
    </row>
    <row r="32" spans="3:38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18">
        <v>0</v>
      </c>
      <c r="W32" s="3">
        <f t="shared" si="3"/>
        <v>277278000</v>
      </c>
      <c r="X32" s="3">
        <f t="shared" si="4"/>
        <v>181000</v>
      </c>
      <c r="Y32" s="3">
        <f t="shared" si="5"/>
        <v>54000</v>
      </c>
      <c r="Z32" s="3">
        <f t="shared" si="6"/>
        <v>45804000</v>
      </c>
      <c r="AA32" s="4">
        <f t="shared" si="7"/>
        <v>323317000</v>
      </c>
      <c r="AB32">
        <v>2011</v>
      </c>
      <c r="AC32">
        <f t="shared" si="8"/>
        <v>0</v>
      </c>
      <c r="AD32">
        <v>2011</v>
      </c>
      <c r="AE32">
        <f t="shared" si="0"/>
        <v>0.85760414701361198</v>
      </c>
      <c r="AF32">
        <v>2011</v>
      </c>
      <c r="AG32">
        <f t="shared" si="1"/>
        <v>5.5982209410578476E-4</v>
      </c>
      <c r="AH32">
        <v>2011</v>
      </c>
      <c r="AI32">
        <f t="shared" si="2"/>
        <v>1.6701874630780319E-4</v>
      </c>
      <c r="AJ32">
        <v>2011</v>
      </c>
      <c r="AK32">
        <f t="shared" si="9"/>
        <v>0.14166901214597438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18">
        <v>0</v>
      </c>
      <c r="W33" s="3">
        <f t="shared" si="3"/>
        <v>329300000</v>
      </c>
      <c r="X33" s="3">
        <f t="shared" si="4"/>
        <v>154000</v>
      </c>
      <c r="Y33" s="3">
        <f t="shared" si="5"/>
        <v>66000</v>
      </c>
      <c r="Z33" s="3">
        <f t="shared" si="6"/>
        <v>59227000</v>
      </c>
      <c r="AA33" s="4">
        <f t="shared" si="7"/>
        <v>388747000</v>
      </c>
      <c r="AB33">
        <v>2012</v>
      </c>
      <c r="AC33">
        <f t="shared" si="8"/>
        <v>0</v>
      </c>
      <c r="AD33">
        <v>2012</v>
      </c>
      <c r="AE33">
        <f t="shared" si="0"/>
        <v>0.84708049193948765</v>
      </c>
      <c r="AF33">
        <v>2012</v>
      </c>
      <c r="AG33">
        <f t="shared" si="1"/>
        <v>3.9614453616362312E-4</v>
      </c>
      <c r="AH33">
        <v>2012</v>
      </c>
      <c r="AI33">
        <f t="shared" si="2"/>
        <v>1.6977622978440991E-4</v>
      </c>
      <c r="AJ33">
        <v>2012</v>
      </c>
      <c r="AK33">
        <f t="shared" si="9"/>
        <v>0.15235358729456433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18">
        <v>0</v>
      </c>
      <c r="W34" s="3">
        <f t="shared" si="3"/>
        <v>341146000</v>
      </c>
      <c r="X34" s="3">
        <f t="shared" si="4"/>
        <v>185000</v>
      </c>
      <c r="Y34" s="3">
        <f t="shared" si="5"/>
        <v>79000</v>
      </c>
      <c r="Z34" s="3">
        <f t="shared" si="6"/>
        <v>67025000</v>
      </c>
      <c r="AA34" s="4">
        <f t="shared" si="7"/>
        <v>408435000</v>
      </c>
      <c r="AB34">
        <v>2013</v>
      </c>
      <c r="AC34">
        <f t="shared" si="8"/>
        <v>0</v>
      </c>
      <c r="AD34">
        <v>2013</v>
      </c>
      <c r="AE34">
        <f t="shared" si="0"/>
        <v>0.83525163122651092</v>
      </c>
      <c r="AF34">
        <v>2013</v>
      </c>
      <c r="AG34">
        <f t="shared" si="1"/>
        <v>4.5294844956969896E-4</v>
      </c>
      <c r="AH34">
        <v>2013</v>
      </c>
      <c r="AI34">
        <f t="shared" si="2"/>
        <v>1.9342122981624984E-4</v>
      </c>
      <c r="AJ34">
        <v>2013</v>
      </c>
      <c r="AK34">
        <f t="shared" si="9"/>
        <v>0.16410199909410311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18">
        <v>0</v>
      </c>
      <c r="W35" s="3">
        <f t="shared" si="3"/>
        <v>342480000</v>
      </c>
      <c r="X35" s="3">
        <f t="shared" si="4"/>
        <v>207000</v>
      </c>
      <c r="Y35" s="3">
        <f t="shared" si="5"/>
        <v>95000</v>
      </c>
      <c r="Z35" s="3">
        <f t="shared" si="6"/>
        <v>72868000</v>
      </c>
      <c r="AA35" s="4">
        <f t="shared" si="7"/>
        <v>415650000</v>
      </c>
      <c r="AB35">
        <v>2014</v>
      </c>
      <c r="AC35">
        <f t="shared" si="8"/>
        <v>0</v>
      </c>
      <c r="AD35">
        <v>2014</v>
      </c>
      <c r="AE35">
        <f t="shared" si="0"/>
        <v>0.82396246842295195</v>
      </c>
      <c r="AF35">
        <v>2014</v>
      </c>
      <c r="AG35">
        <f t="shared" si="1"/>
        <v>4.9801515698303864E-4</v>
      </c>
      <c r="AH35">
        <v>2014</v>
      </c>
      <c r="AI35">
        <f t="shared" si="2"/>
        <v>2.2855768074100805E-4</v>
      </c>
      <c r="AJ35">
        <v>2014</v>
      </c>
      <c r="AK35">
        <f t="shared" si="9"/>
        <v>0.17531095873932395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18">
        <v>0</v>
      </c>
      <c r="W36" s="3">
        <f t="shared" si="3"/>
        <v>308921000</v>
      </c>
      <c r="X36" s="3">
        <f t="shared" si="4"/>
        <v>246000</v>
      </c>
      <c r="Y36" s="3">
        <f t="shared" si="5"/>
        <v>126000</v>
      </c>
      <c r="Z36" s="3">
        <f t="shared" si="6"/>
        <v>19737000</v>
      </c>
      <c r="AA36" s="4">
        <f t="shared" si="7"/>
        <v>329030000</v>
      </c>
      <c r="AB36">
        <v>2015</v>
      </c>
      <c r="AC36">
        <f t="shared" si="8"/>
        <v>0</v>
      </c>
      <c r="AD36">
        <v>2015</v>
      </c>
      <c r="AE36">
        <f t="shared" si="0"/>
        <v>0.93888399234112396</v>
      </c>
      <c r="AF36">
        <v>2015</v>
      </c>
      <c r="AG36">
        <f t="shared" si="1"/>
        <v>7.4765218976992982E-4</v>
      </c>
      <c r="AH36">
        <v>2015</v>
      </c>
      <c r="AI36">
        <f t="shared" si="2"/>
        <v>3.8294380451630553E-4</v>
      </c>
      <c r="AJ36">
        <v>2015</v>
      </c>
      <c r="AK36">
        <f t="shared" si="9"/>
        <v>5.9985411664589858E-2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18">
        <v>0</v>
      </c>
      <c r="W37" s="3">
        <f t="shared" si="3"/>
        <v>339185000</v>
      </c>
      <c r="X37" s="3">
        <f t="shared" si="4"/>
        <v>205000</v>
      </c>
      <c r="Y37" s="3">
        <f t="shared" si="5"/>
        <v>137000</v>
      </c>
      <c r="Z37" s="3">
        <f t="shared" si="6"/>
        <v>75343000</v>
      </c>
      <c r="AA37" s="4">
        <f t="shared" si="7"/>
        <v>414870000</v>
      </c>
      <c r="AB37">
        <v>2016</v>
      </c>
      <c r="AC37">
        <f t="shared" si="8"/>
        <v>0</v>
      </c>
      <c r="AD37">
        <v>2016</v>
      </c>
      <c r="AE37">
        <f t="shared" si="0"/>
        <v>0.81756935907633721</v>
      </c>
      <c r="AF37">
        <v>2016</v>
      </c>
      <c r="AG37">
        <f t="shared" si="1"/>
        <v>4.9413069154192882E-4</v>
      </c>
      <c r="AH37">
        <v>2016</v>
      </c>
      <c r="AI37">
        <f t="shared" si="2"/>
        <v>3.3022392556704508E-4</v>
      </c>
      <c r="AJ37">
        <v>2016</v>
      </c>
      <c r="AK37">
        <f t="shared" si="9"/>
        <v>0.18160628630655387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18">
        <v>0</v>
      </c>
      <c r="W38" s="3">
        <f t="shared" si="3"/>
        <v>361459000</v>
      </c>
      <c r="X38" s="3">
        <f t="shared" si="4"/>
        <v>92000</v>
      </c>
      <c r="Y38" s="3">
        <f t="shared" si="5"/>
        <v>144000</v>
      </c>
      <c r="Z38" s="3">
        <f t="shared" si="6"/>
        <v>79427000</v>
      </c>
      <c r="AA38" s="4">
        <f t="shared" si="7"/>
        <v>441122000</v>
      </c>
      <c r="AB38">
        <v>2017</v>
      </c>
      <c r="AC38">
        <f t="shared" si="8"/>
        <v>0</v>
      </c>
      <c r="AD38">
        <v>2017</v>
      </c>
      <c r="AE38">
        <f t="shared" si="0"/>
        <v>0.81940823627023818</v>
      </c>
      <c r="AF38">
        <v>2017</v>
      </c>
      <c r="AG38">
        <f t="shared" si="1"/>
        <v>2.0855908342816727E-4</v>
      </c>
      <c r="AH38">
        <v>2017</v>
      </c>
      <c r="AI38">
        <f t="shared" si="2"/>
        <v>3.2644030449626181E-4</v>
      </c>
      <c r="AJ38">
        <v>2017</v>
      </c>
      <c r="AK38">
        <f t="shared" si="9"/>
        <v>0.1800567643418374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18">
        <v>0</v>
      </c>
      <c r="W39" s="3">
        <f t="shared" si="3"/>
        <v>390996000</v>
      </c>
      <c r="X39" s="3">
        <f t="shared" si="4"/>
        <v>234000</v>
      </c>
      <c r="Y39" s="3">
        <f t="shared" si="5"/>
        <v>168000</v>
      </c>
      <c r="Z39" s="3">
        <f t="shared" si="6"/>
        <v>113829000</v>
      </c>
      <c r="AA39" s="4">
        <f t="shared" si="7"/>
        <v>505227000</v>
      </c>
      <c r="AB39">
        <v>2018</v>
      </c>
      <c r="AC39">
        <f t="shared" si="8"/>
        <v>0</v>
      </c>
      <c r="AD39">
        <v>2018</v>
      </c>
      <c r="AE39">
        <f t="shared" si="0"/>
        <v>0.77390163233556397</v>
      </c>
      <c r="AF39">
        <v>2018</v>
      </c>
      <c r="AG39">
        <f t="shared" si="1"/>
        <v>4.63158144754734E-4</v>
      </c>
      <c r="AH39">
        <v>2018</v>
      </c>
      <c r="AI39">
        <f t="shared" si="2"/>
        <v>3.32523796234168E-4</v>
      </c>
      <c r="AJ39">
        <v>2018</v>
      </c>
      <c r="AK39">
        <f t="shared" si="9"/>
        <v>0.22530268572344708</v>
      </c>
    </row>
    <row r="41" spans="3:42" x14ac:dyDescent="0.25">
      <c r="C41" s="73" t="s">
        <v>42</v>
      </c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74" t="s">
        <v>0</v>
      </c>
      <c r="D42" s="74" t="s">
        <v>4</v>
      </c>
      <c r="E42" s="74" t="s">
        <v>5</v>
      </c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 t="s">
        <v>12</v>
      </c>
      <c r="T42" s="74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74"/>
      <c r="D43" s="74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74"/>
      <c r="T43" s="74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25">
    <mergeCell ref="C2:S2"/>
    <mergeCell ref="C18:T18"/>
    <mergeCell ref="S3:S4"/>
    <mergeCell ref="C3:C5"/>
    <mergeCell ref="D3:D4"/>
    <mergeCell ref="E3:R3"/>
    <mergeCell ref="E5:R5"/>
    <mergeCell ref="D19:D20"/>
    <mergeCell ref="E19:R19"/>
    <mergeCell ref="S19:S20"/>
    <mergeCell ref="T19:T20"/>
    <mergeCell ref="C19:C20"/>
    <mergeCell ref="C41:T41"/>
    <mergeCell ref="C42:C43"/>
    <mergeCell ref="D42:D43"/>
    <mergeCell ref="E42:R42"/>
    <mergeCell ref="S42:S43"/>
    <mergeCell ref="T42:T43"/>
    <mergeCell ref="AA18:AA19"/>
    <mergeCell ref="V20:AA20"/>
    <mergeCell ref="V18:V19"/>
    <mergeCell ref="W18:W19"/>
    <mergeCell ref="X18:X19"/>
    <mergeCell ref="Y18:Y19"/>
    <mergeCell ref="Z18:Z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20"/>
  <sheetViews>
    <sheetView workbookViewId="0">
      <selection activeCell="K20" sqref="K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81" t="s">
        <v>2</v>
      </c>
      <c r="K1" s="81" t="s">
        <v>92</v>
      </c>
      <c r="L1" s="81" t="s">
        <v>93</v>
      </c>
      <c r="M1" s="81" t="s">
        <v>12</v>
      </c>
      <c r="N1" s="81" t="s">
        <v>94</v>
      </c>
      <c r="O1" s="74" t="s">
        <v>20</v>
      </c>
      <c r="Q1" s="81" t="s">
        <v>2</v>
      </c>
      <c r="R1" s="81" t="s">
        <v>92</v>
      </c>
      <c r="S1" s="81" t="s">
        <v>93</v>
      </c>
      <c r="T1" s="81" t="s">
        <v>12</v>
      </c>
      <c r="U1" s="81" t="s">
        <v>94</v>
      </c>
      <c r="V1" s="74" t="s">
        <v>20</v>
      </c>
    </row>
    <row r="2" spans="2:22" x14ac:dyDescent="0.25">
      <c r="B2" s="79" t="s">
        <v>19</v>
      </c>
      <c r="C2" s="79"/>
      <c r="D2" s="79"/>
      <c r="E2" s="79"/>
      <c r="F2" s="79"/>
      <c r="G2" s="79"/>
      <c r="H2" s="79"/>
      <c r="J2" s="81"/>
      <c r="K2" s="81"/>
      <c r="L2" s="81"/>
      <c r="M2" s="81"/>
      <c r="N2" s="81"/>
      <c r="O2" s="74"/>
      <c r="Q2" s="81"/>
      <c r="R2" s="81"/>
      <c r="S2" s="81"/>
      <c r="T2" s="81"/>
      <c r="U2" s="81"/>
      <c r="V2" s="74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74" t="s">
        <v>95</v>
      </c>
      <c r="K3" s="74"/>
      <c r="L3" s="74"/>
      <c r="M3" s="74"/>
      <c r="N3" s="74"/>
      <c r="O3" s="74"/>
      <c r="Q3" s="74" t="s">
        <v>101</v>
      </c>
      <c r="R3" s="74"/>
      <c r="S3" s="74"/>
      <c r="T3" s="74"/>
      <c r="U3" s="74"/>
      <c r="V3" s="74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18">
        <v>0</v>
      </c>
      <c r="K4" s="3">
        <f>H4*1000</f>
        <v>29214000</v>
      </c>
      <c r="L4" s="18">
        <v>0</v>
      </c>
      <c r="M4" s="3">
        <v>0</v>
      </c>
      <c r="N4" s="18">
        <v>0</v>
      </c>
      <c r="O4" s="4">
        <f>SUM(J4:N4)</f>
        <v>29214000</v>
      </c>
      <c r="Q4">
        <f>J4/$O4</f>
        <v>0</v>
      </c>
      <c r="R4" s="21">
        <f t="shared" ref="R4:V18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18">
        <v>0</v>
      </c>
      <c r="K5" s="3">
        <f t="shared" ref="K5:K20" si="1">H5*1000</f>
        <v>30586000</v>
      </c>
      <c r="L5" s="18">
        <v>0</v>
      </c>
      <c r="M5" s="3">
        <v>0</v>
      </c>
      <c r="N5" s="18">
        <v>0</v>
      </c>
      <c r="O5" s="4">
        <f t="shared" ref="O5:O20" si="2">SUM(J5:N5)</f>
        <v>30586000</v>
      </c>
      <c r="Q5">
        <f t="shared" ref="Q5:Q18" si="3">J5/$O5</f>
        <v>0</v>
      </c>
      <c r="R5" s="21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18">
        <v>0</v>
      </c>
      <c r="K6" s="3">
        <f t="shared" si="1"/>
        <v>29999000</v>
      </c>
      <c r="L6" s="18">
        <v>0</v>
      </c>
      <c r="M6" s="3">
        <v>0</v>
      </c>
      <c r="N6" s="18">
        <v>0</v>
      </c>
      <c r="O6" s="4">
        <f t="shared" si="2"/>
        <v>29999000</v>
      </c>
      <c r="Q6">
        <f t="shared" si="3"/>
        <v>0</v>
      </c>
      <c r="R6" s="21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18">
        <v>0</v>
      </c>
      <c r="K7" s="3">
        <f t="shared" si="1"/>
        <v>28445000</v>
      </c>
      <c r="L7" s="18">
        <v>0</v>
      </c>
      <c r="M7" s="3">
        <v>0</v>
      </c>
      <c r="N7" s="18">
        <v>0</v>
      </c>
      <c r="O7" s="4">
        <f t="shared" si="2"/>
        <v>28445000</v>
      </c>
      <c r="Q7">
        <f t="shared" si="3"/>
        <v>0</v>
      </c>
      <c r="R7" s="21">
        <f t="shared" si="0"/>
        <v>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18">
        <v>0</v>
      </c>
      <c r="K8" s="3">
        <f t="shared" si="1"/>
        <v>31690000</v>
      </c>
      <c r="L8" s="18">
        <v>0</v>
      </c>
      <c r="M8" s="3">
        <v>0</v>
      </c>
      <c r="N8" s="18">
        <v>0</v>
      </c>
      <c r="O8" s="4">
        <f t="shared" si="2"/>
        <v>31690000</v>
      </c>
      <c r="Q8">
        <f t="shared" si="3"/>
        <v>0</v>
      </c>
      <c r="R8" s="21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18">
        <v>0</v>
      </c>
      <c r="K9" s="3">
        <f t="shared" si="1"/>
        <v>29102000</v>
      </c>
      <c r="L9" s="18">
        <v>0</v>
      </c>
      <c r="M9" s="3">
        <v>0</v>
      </c>
      <c r="N9" s="18">
        <v>0</v>
      </c>
      <c r="O9" s="4">
        <f t="shared" si="2"/>
        <v>29102000</v>
      </c>
      <c r="Q9">
        <f t="shared" si="3"/>
        <v>0</v>
      </c>
      <c r="R9" s="21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18">
        <v>0</v>
      </c>
      <c r="K10" s="3">
        <f t="shared" si="1"/>
        <v>25937000</v>
      </c>
      <c r="L10" s="18">
        <v>0</v>
      </c>
      <c r="M10" s="3">
        <v>0</v>
      </c>
      <c r="N10" s="18">
        <v>0</v>
      </c>
      <c r="O10" s="4">
        <f t="shared" si="2"/>
        <v>25937000</v>
      </c>
      <c r="Q10">
        <f t="shared" si="3"/>
        <v>0</v>
      </c>
      <c r="R10" s="21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18">
        <v>0</v>
      </c>
      <c r="K11" s="3">
        <f t="shared" si="1"/>
        <v>24912000</v>
      </c>
      <c r="L11" s="18">
        <v>0</v>
      </c>
      <c r="M11" s="3">
        <v>0</v>
      </c>
      <c r="N11" s="18">
        <v>0</v>
      </c>
      <c r="O11" s="4">
        <f t="shared" si="2"/>
        <v>24912000</v>
      </c>
      <c r="Q11">
        <f t="shared" si="3"/>
        <v>0</v>
      </c>
      <c r="R11" s="21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18">
        <v>0</v>
      </c>
      <c r="K12" s="3">
        <f t="shared" si="1"/>
        <v>25856000</v>
      </c>
      <c r="L12" s="18">
        <v>0</v>
      </c>
      <c r="M12" s="3">
        <v>0</v>
      </c>
      <c r="N12" s="18">
        <v>0</v>
      </c>
      <c r="O12" s="4">
        <f t="shared" si="2"/>
        <v>25856000</v>
      </c>
      <c r="Q12">
        <f t="shared" si="3"/>
        <v>0</v>
      </c>
      <c r="R12" s="21">
        <f t="shared" si="0"/>
        <v>1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18">
        <v>0</v>
      </c>
      <c r="K13" s="3">
        <f t="shared" si="1"/>
        <v>27187000</v>
      </c>
      <c r="L13" s="18">
        <v>0</v>
      </c>
      <c r="M13" s="3">
        <v>0</v>
      </c>
      <c r="N13" s="18">
        <v>0</v>
      </c>
      <c r="O13" s="4">
        <f t="shared" si="2"/>
        <v>27187000</v>
      </c>
      <c r="Q13">
        <f t="shared" si="3"/>
        <v>0</v>
      </c>
      <c r="R13" s="21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18">
        <v>0</v>
      </c>
      <c r="K14" s="3">
        <f t="shared" si="1"/>
        <v>28743000</v>
      </c>
      <c r="L14" s="18">
        <v>0</v>
      </c>
      <c r="M14" s="3">
        <v>0</v>
      </c>
      <c r="N14" s="18">
        <v>0</v>
      </c>
      <c r="O14" s="4">
        <f t="shared" si="2"/>
        <v>28743000</v>
      </c>
      <c r="Q14">
        <f t="shared" si="3"/>
        <v>0</v>
      </c>
      <c r="R14" s="21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18">
        <v>0</v>
      </c>
      <c r="K15" s="3">
        <f t="shared" si="1"/>
        <v>24816000</v>
      </c>
      <c r="L15" s="18">
        <v>0</v>
      </c>
      <c r="M15" s="3">
        <v>0</v>
      </c>
      <c r="N15" s="18">
        <v>0</v>
      </c>
      <c r="O15" s="4">
        <f t="shared" si="2"/>
        <v>24816000</v>
      </c>
      <c r="Q15">
        <f t="shared" si="3"/>
        <v>0</v>
      </c>
      <c r="R15" s="21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1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18">
        <v>0</v>
      </c>
      <c r="K16" s="3">
        <f t="shared" si="1"/>
        <v>25056000</v>
      </c>
      <c r="L16" s="18">
        <v>0</v>
      </c>
      <c r="M16" s="3">
        <v>0</v>
      </c>
      <c r="N16" s="18">
        <v>0</v>
      </c>
      <c r="O16" s="4">
        <f t="shared" si="2"/>
        <v>25056000</v>
      </c>
      <c r="Q16">
        <f t="shared" si="3"/>
        <v>0</v>
      </c>
      <c r="R16" s="21">
        <f t="shared" si="0"/>
        <v>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1</v>
      </c>
    </row>
    <row r="17" spans="2:22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18">
        <v>0</v>
      </c>
      <c r="K17" s="3">
        <f t="shared" si="1"/>
        <v>23255000</v>
      </c>
      <c r="L17" s="18">
        <v>0</v>
      </c>
      <c r="M17" s="3">
        <v>0</v>
      </c>
      <c r="N17" s="18">
        <v>0</v>
      </c>
      <c r="O17" s="4">
        <f t="shared" si="2"/>
        <v>23255000</v>
      </c>
      <c r="Q17">
        <f t="shared" si="3"/>
        <v>0</v>
      </c>
      <c r="R17" s="21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</row>
    <row r="18" spans="2:22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18">
        <v>0</v>
      </c>
      <c r="K18" s="3">
        <f t="shared" si="1"/>
        <v>20157000</v>
      </c>
      <c r="L18" s="18">
        <v>0</v>
      </c>
      <c r="M18" s="3">
        <v>0</v>
      </c>
      <c r="N18" s="18">
        <v>0</v>
      </c>
      <c r="O18" s="4">
        <f t="shared" si="2"/>
        <v>20157000</v>
      </c>
      <c r="Q18">
        <f t="shared" si="3"/>
        <v>0</v>
      </c>
      <c r="R18" s="21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</row>
    <row r="19" spans="2:22" x14ac:dyDescent="0.25">
      <c r="B19" s="3">
        <v>2015</v>
      </c>
      <c r="C19" s="4">
        <v>4879</v>
      </c>
      <c r="D19" s="3">
        <v>178</v>
      </c>
      <c r="E19" s="4">
        <v>26172</v>
      </c>
      <c r="F19" s="3">
        <v>44</v>
      </c>
      <c r="G19" s="4">
        <v>1563</v>
      </c>
      <c r="H19" s="4">
        <v>32836</v>
      </c>
      <c r="J19" s="18">
        <v>0</v>
      </c>
      <c r="K19" s="3">
        <f t="shared" si="1"/>
        <v>32836000</v>
      </c>
      <c r="L19" s="18">
        <v>0</v>
      </c>
      <c r="M19" s="3">
        <v>0</v>
      </c>
      <c r="N19" s="18">
        <v>0</v>
      </c>
      <c r="O19" s="4">
        <f t="shared" si="2"/>
        <v>32836000</v>
      </c>
    </row>
    <row r="20" spans="2:22" x14ac:dyDescent="0.25">
      <c r="B20" s="3">
        <v>2016</v>
      </c>
      <c r="C20" s="4">
        <v>3776</v>
      </c>
      <c r="D20" s="3">
        <v>137</v>
      </c>
      <c r="E20" s="4">
        <v>14330</v>
      </c>
      <c r="F20" s="3">
        <v>31</v>
      </c>
      <c r="G20" s="4">
        <v>1166</v>
      </c>
      <c r="H20" s="4">
        <v>19440</v>
      </c>
      <c r="J20" s="18">
        <v>0</v>
      </c>
      <c r="K20" s="3">
        <f t="shared" si="1"/>
        <v>19440000</v>
      </c>
      <c r="L20" s="18">
        <v>0</v>
      </c>
      <c r="M20" s="3">
        <v>0</v>
      </c>
      <c r="N20" s="18">
        <v>0</v>
      </c>
      <c r="O20" s="4">
        <f t="shared" si="2"/>
        <v>19440000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K21" sqref="K21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73" t="s">
        <v>45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3:23" x14ac:dyDescent="0.25">
      <c r="C3" s="74" t="s">
        <v>0</v>
      </c>
      <c r="D3" s="74" t="s">
        <v>32</v>
      </c>
      <c r="E3" s="74" t="s">
        <v>43</v>
      </c>
      <c r="F3" s="74" t="s">
        <v>30</v>
      </c>
      <c r="G3" s="74" t="s">
        <v>6</v>
      </c>
      <c r="H3" s="74" t="s">
        <v>7</v>
      </c>
      <c r="I3" s="74" t="s">
        <v>8</v>
      </c>
      <c r="J3" s="74" t="s">
        <v>9</v>
      </c>
      <c r="K3" s="74" t="s">
        <v>34</v>
      </c>
      <c r="L3" s="74" t="s">
        <v>33</v>
      </c>
      <c r="M3" s="74" t="s">
        <v>44</v>
      </c>
      <c r="N3" s="74" t="s">
        <v>29</v>
      </c>
      <c r="O3" s="74" t="s">
        <v>46</v>
      </c>
      <c r="P3" s="74"/>
      <c r="Q3" s="74"/>
      <c r="R3" s="74"/>
      <c r="S3" s="74" t="s">
        <v>50</v>
      </c>
      <c r="T3" s="74" t="s">
        <v>51</v>
      </c>
      <c r="U3" s="74" t="s">
        <v>11</v>
      </c>
      <c r="V3" s="74" t="s">
        <v>52</v>
      </c>
      <c r="W3" s="81" t="s">
        <v>53</v>
      </c>
    </row>
    <row r="4" spans="3:23" x14ac:dyDescent="0.25"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2" t="s">
        <v>47</v>
      </c>
      <c r="P4" s="2" t="s">
        <v>48</v>
      </c>
      <c r="Q4" s="2" t="s">
        <v>49</v>
      </c>
      <c r="R4" s="2" t="s">
        <v>20</v>
      </c>
      <c r="S4" s="74"/>
      <c r="T4" s="74"/>
      <c r="U4" s="74"/>
      <c r="V4" s="74"/>
      <c r="W4" s="81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U3:U4"/>
    <mergeCell ref="V3:V4"/>
    <mergeCell ref="W3:W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I18" sqref="I18:I28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73" t="s">
        <v>56</v>
      </c>
      <c r="D2" s="73"/>
      <c r="E2" s="73"/>
      <c r="F2" s="75"/>
      <c r="G2" s="73" t="s">
        <v>60</v>
      </c>
      <c r="H2" s="73"/>
      <c r="I2" s="73"/>
      <c r="J2" s="8"/>
    </row>
    <row r="3" spans="3:10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75" t="s">
        <v>59</v>
      </c>
      <c r="D16" s="76"/>
      <c r="E16" s="76"/>
      <c r="F16" s="77"/>
    </row>
    <row r="17" spans="3:9" x14ac:dyDescent="0.25">
      <c r="C17" s="3" t="s">
        <v>0</v>
      </c>
      <c r="D17" s="3" t="s">
        <v>57</v>
      </c>
      <c r="E17" s="3" t="s">
        <v>58</v>
      </c>
      <c r="F17" s="3" t="s">
        <v>20</v>
      </c>
    </row>
    <row r="18" spans="3:9" x14ac:dyDescent="0.25">
      <c r="C18" s="3">
        <v>2008</v>
      </c>
      <c r="D18" s="4">
        <v>472897</v>
      </c>
      <c r="E18" s="4">
        <v>2412431</v>
      </c>
      <c r="F18" s="4">
        <v>2885328</v>
      </c>
      <c r="H18" s="3">
        <v>2008</v>
      </c>
      <c r="I18" s="4">
        <v>2885328</v>
      </c>
    </row>
    <row r="19" spans="3:9" x14ac:dyDescent="0.25">
      <c r="C19" s="3">
        <v>2009</v>
      </c>
      <c r="D19" s="4">
        <v>467570</v>
      </c>
      <c r="E19" s="4">
        <v>2593326</v>
      </c>
      <c r="F19" s="4">
        <v>3060897</v>
      </c>
      <c r="H19" s="3">
        <v>2009</v>
      </c>
      <c r="I19" s="4">
        <v>3060897</v>
      </c>
    </row>
    <row r="20" spans="3:9" x14ac:dyDescent="0.25">
      <c r="C20" s="3">
        <v>2010</v>
      </c>
      <c r="D20" s="4">
        <v>471507</v>
      </c>
      <c r="E20" s="4">
        <v>2936086</v>
      </c>
      <c r="F20" s="4">
        <v>3407592</v>
      </c>
      <c r="H20" s="3">
        <v>2010</v>
      </c>
      <c r="I20" s="4">
        <v>3407592</v>
      </c>
    </row>
    <row r="21" spans="3:9" x14ac:dyDescent="0.25">
      <c r="C21" s="3">
        <v>2011</v>
      </c>
      <c r="D21" s="4">
        <v>472552</v>
      </c>
      <c r="E21" s="4">
        <v>2783827</v>
      </c>
      <c r="F21" s="4">
        <v>3256379</v>
      </c>
      <c r="H21" s="3">
        <v>2011</v>
      </c>
      <c r="I21" s="4">
        <v>3256379</v>
      </c>
    </row>
    <row r="22" spans="3:9" x14ac:dyDescent="0.25">
      <c r="C22" s="3">
        <v>2012</v>
      </c>
      <c r="D22" s="4">
        <v>405465</v>
      </c>
      <c r="E22" s="4">
        <v>2769175</v>
      </c>
      <c r="F22" s="4">
        <v>3174639</v>
      </c>
      <c r="H22" s="3">
        <v>2012</v>
      </c>
      <c r="I22" s="4">
        <v>3174639</v>
      </c>
    </row>
    <row r="23" spans="3:9" x14ac:dyDescent="0.25">
      <c r="C23" s="3">
        <v>2013</v>
      </c>
      <c r="D23" s="4">
        <v>352561</v>
      </c>
      <c r="E23" s="4">
        <v>2768277</v>
      </c>
      <c r="F23" s="4">
        <v>3120838</v>
      </c>
      <c r="H23" s="3">
        <v>2013</v>
      </c>
      <c r="I23" s="4">
        <v>3120838</v>
      </c>
    </row>
    <row r="24" spans="3:9" x14ac:dyDescent="0.25">
      <c r="C24" s="3">
        <v>2014</v>
      </c>
      <c r="D24" s="4">
        <v>304693</v>
      </c>
      <c r="E24" s="4">
        <v>2871098</v>
      </c>
      <c r="F24" s="4">
        <v>3175791</v>
      </c>
      <c r="H24" s="3">
        <v>2014</v>
      </c>
      <c r="I24" s="4">
        <v>3175791</v>
      </c>
    </row>
    <row r="25" spans="3:9" x14ac:dyDescent="0.25">
      <c r="C25" s="3">
        <v>2015</v>
      </c>
      <c r="D25" s="4">
        <v>376669</v>
      </c>
      <c r="E25" s="4">
        <v>2739473</v>
      </c>
      <c r="F25" s="4">
        <v>3116142</v>
      </c>
      <c r="H25" s="3">
        <v>2015</v>
      </c>
      <c r="I25" s="4">
        <v>3116142</v>
      </c>
    </row>
    <row r="26" spans="3:9" x14ac:dyDescent="0.25">
      <c r="C26" s="3">
        <v>2016</v>
      </c>
      <c r="D26" s="4">
        <v>467813</v>
      </c>
      <c r="E26" s="4">
        <v>2602426</v>
      </c>
      <c r="F26" s="4">
        <v>3070239</v>
      </c>
      <c r="H26" s="3">
        <v>2016</v>
      </c>
      <c r="I26" s="4">
        <v>3070239</v>
      </c>
    </row>
    <row r="27" spans="3:9" x14ac:dyDescent="0.25">
      <c r="C27" s="3">
        <v>2017</v>
      </c>
      <c r="D27" s="4">
        <v>497079</v>
      </c>
      <c r="E27" s="4">
        <v>2466105</v>
      </c>
      <c r="F27" s="4">
        <v>2963184</v>
      </c>
      <c r="H27" s="3">
        <v>2017</v>
      </c>
      <c r="I27" s="4">
        <v>2963184</v>
      </c>
    </row>
    <row r="28" spans="3:9" x14ac:dyDescent="0.25">
      <c r="C28" s="3">
        <v>2018</v>
      </c>
      <c r="D28" s="4">
        <v>577270</v>
      </c>
      <c r="E28" s="4">
        <v>2419532</v>
      </c>
      <c r="F28" s="4">
        <v>2996802</v>
      </c>
      <c r="H28" s="3">
        <v>2018</v>
      </c>
      <c r="I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109"/>
  <sheetViews>
    <sheetView topLeftCell="A82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74" t="s">
        <v>0</v>
      </c>
      <c r="B2" s="74" t="s">
        <v>69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S2" s="89" t="s">
        <v>69</v>
      </c>
      <c r="T2" s="90"/>
      <c r="U2" s="90"/>
      <c r="V2" s="91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74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19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74"/>
      <c r="B4" s="74" t="s">
        <v>75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S4" s="74" t="s">
        <v>75</v>
      </c>
      <c r="T4" s="74"/>
      <c r="U4" s="74"/>
      <c r="V4" s="74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74" t="s">
        <v>0</v>
      </c>
      <c r="B25" s="74" t="s">
        <v>81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22" x14ac:dyDescent="0.25">
      <c r="A26" s="74"/>
      <c r="B26" s="74" t="s">
        <v>64</v>
      </c>
      <c r="C26" s="74" t="s">
        <v>63</v>
      </c>
      <c r="D26" s="74" t="s">
        <v>66</v>
      </c>
      <c r="E26" s="74" t="s">
        <v>78</v>
      </c>
      <c r="F26" s="74" t="s">
        <v>61</v>
      </c>
      <c r="G26" s="74"/>
      <c r="H26" s="74"/>
      <c r="I26" s="74"/>
      <c r="J26" s="74" t="s">
        <v>79</v>
      </c>
      <c r="K26" s="74" t="s">
        <v>62</v>
      </c>
      <c r="L26" s="74" t="s">
        <v>80</v>
      </c>
      <c r="M26" s="74" t="s">
        <v>77</v>
      </c>
      <c r="N26" s="74" t="s">
        <v>68</v>
      </c>
      <c r="P26" s="74" t="s">
        <v>82</v>
      </c>
      <c r="Q26" s="74" t="s">
        <v>4</v>
      </c>
      <c r="R26" s="74" t="s">
        <v>21</v>
      </c>
      <c r="S26" s="74" t="s">
        <v>83</v>
      </c>
      <c r="T26" s="81" t="s">
        <v>84</v>
      </c>
    </row>
    <row r="27" spans="1:22" x14ac:dyDescent="0.25">
      <c r="A27" s="74"/>
      <c r="B27" s="74"/>
      <c r="C27" s="74"/>
      <c r="D27" s="74"/>
      <c r="E27" s="74"/>
      <c r="F27" s="2" t="s">
        <v>2</v>
      </c>
      <c r="G27" s="2" t="s">
        <v>21</v>
      </c>
      <c r="H27" s="2" t="s">
        <v>4</v>
      </c>
      <c r="I27" s="2" t="s">
        <v>20</v>
      </c>
      <c r="J27" s="74"/>
      <c r="K27" s="74"/>
      <c r="L27" s="74"/>
      <c r="M27" s="74"/>
      <c r="N27" s="74"/>
      <c r="P27" s="74"/>
      <c r="Q27" s="74"/>
      <c r="R27" s="74"/>
      <c r="S27" s="74"/>
      <c r="T27" s="81"/>
    </row>
    <row r="28" spans="1:22" x14ac:dyDescent="0.25">
      <c r="A28" s="74"/>
      <c r="B28" s="74" t="s">
        <v>26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10"/>
      <c r="P28" s="74" t="s">
        <v>26</v>
      </c>
      <c r="Q28" s="74"/>
      <c r="R28" s="74"/>
      <c r="S28" s="74"/>
      <c r="T28" s="74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92" t="s">
        <v>0</v>
      </c>
      <c r="B50" s="74" t="s">
        <v>85</v>
      </c>
      <c r="C50" s="74"/>
      <c r="D50" s="74" t="s">
        <v>87</v>
      </c>
      <c r="E50" s="74"/>
      <c r="F50" s="74"/>
      <c r="G50" s="74"/>
      <c r="H50" s="74"/>
      <c r="I50" s="74"/>
    </row>
    <row r="51" spans="1:9" x14ac:dyDescent="0.25">
      <c r="A51" s="92"/>
      <c r="B51" s="74" t="s">
        <v>26</v>
      </c>
      <c r="C51" s="74" t="s">
        <v>86</v>
      </c>
      <c r="D51" s="2" t="s">
        <v>88</v>
      </c>
      <c r="E51" s="2"/>
      <c r="F51" s="74" t="s">
        <v>89</v>
      </c>
      <c r="G51" s="74"/>
      <c r="H51" s="74" t="s">
        <v>20</v>
      </c>
      <c r="I51" s="74"/>
    </row>
    <row r="52" spans="1:9" x14ac:dyDescent="0.25">
      <c r="A52" s="93"/>
      <c r="B52" s="74"/>
      <c r="C52" s="74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12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12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12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12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12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12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12" x14ac:dyDescent="0.25">
      <c r="A71" s="2">
        <v>2018</v>
      </c>
    </row>
    <row r="74" spans="1:12" x14ac:dyDescent="0.25">
      <c r="A74" s="73" t="s">
        <v>0</v>
      </c>
      <c r="B74" s="3" t="s">
        <v>2</v>
      </c>
      <c r="C74" s="3" t="s">
        <v>113</v>
      </c>
      <c r="D74" s="3" t="s">
        <v>8</v>
      </c>
      <c r="E74" s="3" t="s">
        <v>114</v>
      </c>
      <c r="F74" s="3" t="s">
        <v>93</v>
      </c>
      <c r="H74" s="3" t="s">
        <v>2</v>
      </c>
      <c r="I74" s="3" t="s">
        <v>113</v>
      </c>
      <c r="J74" s="3" t="s">
        <v>8</v>
      </c>
      <c r="K74" s="3" t="s">
        <v>114</v>
      </c>
      <c r="L74" s="3" t="s">
        <v>93</v>
      </c>
    </row>
    <row r="75" spans="1:12" x14ac:dyDescent="0.25">
      <c r="A75" s="73"/>
      <c r="B75" s="3" t="s">
        <v>115</v>
      </c>
      <c r="C75" s="3" t="s">
        <v>116</v>
      </c>
      <c r="D75" s="3" t="s">
        <v>116</v>
      </c>
      <c r="E75" s="3" t="s">
        <v>116</v>
      </c>
      <c r="F75" s="3" t="s">
        <v>14</v>
      </c>
      <c r="H75" s="75" t="s">
        <v>95</v>
      </c>
      <c r="I75" s="76"/>
      <c r="J75" s="76"/>
      <c r="K75" s="76"/>
      <c r="L75" s="77"/>
    </row>
    <row r="76" spans="1:12" x14ac:dyDescent="0.25">
      <c r="A76" s="3">
        <v>2000</v>
      </c>
      <c r="B76" s="4">
        <v>13135584</v>
      </c>
      <c r="C76" s="4">
        <v>3141917</v>
      </c>
      <c r="D76" s="4">
        <v>23146</v>
      </c>
      <c r="E76" s="4">
        <v>1858568</v>
      </c>
      <c r="F76" s="4">
        <v>228838</v>
      </c>
    </row>
    <row r="77" spans="1:12" x14ac:dyDescent="0.25">
      <c r="A77" s="3">
        <v>2001</v>
      </c>
      <c r="B77" s="4">
        <v>14027713</v>
      </c>
      <c r="C77" s="4">
        <v>3575348</v>
      </c>
      <c r="D77" s="4">
        <v>30457</v>
      </c>
      <c r="E77" s="4">
        <v>1793283</v>
      </c>
      <c r="F77" s="4">
        <v>222421</v>
      </c>
    </row>
    <row r="78" spans="1:12" x14ac:dyDescent="0.25">
      <c r="A78" s="3">
        <v>2002</v>
      </c>
      <c r="B78" s="4">
        <v>14054377</v>
      </c>
      <c r="C78" s="4">
        <v>4625521</v>
      </c>
      <c r="D78" s="4">
        <v>40682</v>
      </c>
      <c r="E78" s="4">
        <v>2300603</v>
      </c>
      <c r="F78" s="4">
        <v>192927</v>
      </c>
    </row>
    <row r="79" spans="1:12" x14ac:dyDescent="0.25">
      <c r="A79" s="3">
        <v>2003</v>
      </c>
      <c r="B79" s="4">
        <v>15260305</v>
      </c>
      <c r="C79" s="4">
        <v>5024362</v>
      </c>
      <c r="D79" s="4">
        <v>31573</v>
      </c>
      <c r="E79" s="4">
        <v>2557546</v>
      </c>
      <c r="F79" s="4">
        <v>184304</v>
      </c>
    </row>
    <row r="80" spans="1:12" x14ac:dyDescent="0.25">
      <c r="A80" s="3">
        <v>2004</v>
      </c>
      <c r="B80" s="4">
        <v>15412738</v>
      </c>
      <c r="C80" s="4">
        <v>6299706</v>
      </c>
      <c r="D80" s="4">
        <v>36935</v>
      </c>
      <c r="E80" s="4">
        <v>2502598</v>
      </c>
      <c r="F80" s="4">
        <v>176436</v>
      </c>
    </row>
    <row r="81" spans="1:15" x14ac:dyDescent="0.25">
      <c r="A81" s="3">
        <v>2005</v>
      </c>
      <c r="B81" s="4">
        <v>16900972</v>
      </c>
      <c r="C81" s="4">
        <v>7626201</v>
      </c>
      <c r="D81" s="4">
        <v>27581</v>
      </c>
      <c r="E81" s="4">
        <v>2258776</v>
      </c>
      <c r="F81" s="4">
        <v>143050</v>
      </c>
    </row>
    <row r="82" spans="1:15" x14ac:dyDescent="0.25">
      <c r="A82" s="3">
        <v>2006</v>
      </c>
      <c r="B82" s="4">
        <v>19084438</v>
      </c>
      <c r="C82" s="4">
        <v>7586916</v>
      </c>
      <c r="D82" s="4">
        <v>23977</v>
      </c>
      <c r="E82" s="4">
        <v>2387622</v>
      </c>
      <c r="F82" s="4">
        <v>157894</v>
      </c>
    </row>
    <row r="83" spans="1:15" x14ac:dyDescent="0.25">
      <c r="A83" s="3">
        <v>2007</v>
      </c>
      <c r="B83" s="4">
        <v>21466348</v>
      </c>
      <c r="C83" s="4">
        <v>7874290</v>
      </c>
      <c r="D83" s="4">
        <v>13558</v>
      </c>
      <c r="E83" s="4">
        <v>2801128</v>
      </c>
      <c r="F83" s="4">
        <v>171209</v>
      </c>
    </row>
    <row r="84" spans="1:15" x14ac:dyDescent="0.25">
      <c r="A84" s="3">
        <v>2008</v>
      </c>
      <c r="B84" s="4">
        <v>20999521</v>
      </c>
      <c r="C84" s="4">
        <v>8127546</v>
      </c>
      <c r="D84" s="4">
        <v>28989</v>
      </c>
      <c r="E84" s="4">
        <v>3163954</v>
      </c>
      <c r="F84" s="4">
        <v>181661</v>
      </c>
    </row>
    <row r="85" spans="1:15" x14ac:dyDescent="0.25">
      <c r="A85" s="3">
        <v>2009</v>
      </c>
      <c r="B85" s="4">
        <v>21604464</v>
      </c>
      <c r="C85" s="4">
        <v>6365116</v>
      </c>
      <c r="D85" s="4">
        <v>11132</v>
      </c>
      <c r="E85" s="4">
        <v>3032657</v>
      </c>
      <c r="F85" s="4">
        <v>266539</v>
      </c>
    </row>
    <row r="86" spans="1:15" x14ac:dyDescent="0.25">
      <c r="A86" s="3">
        <v>2010</v>
      </c>
      <c r="B86" s="4">
        <v>23958699</v>
      </c>
      <c r="C86" s="4">
        <v>6887455</v>
      </c>
      <c r="D86" s="4">
        <v>6895</v>
      </c>
      <c r="E86" s="4">
        <v>2430584</v>
      </c>
      <c r="F86" s="4">
        <v>283274</v>
      </c>
    </row>
    <row r="87" spans="1:15" x14ac:dyDescent="0.25">
      <c r="A87" s="3">
        <v>2011</v>
      </c>
      <c r="B87" s="4">
        <v>27434163</v>
      </c>
      <c r="C87" s="4">
        <v>8943880</v>
      </c>
      <c r="D87" s="4">
        <v>13923</v>
      </c>
      <c r="E87" s="4">
        <v>2509047</v>
      </c>
      <c r="F87" s="4">
        <v>285722</v>
      </c>
    </row>
    <row r="88" spans="1:15" x14ac:dyDescent="0.25">
      <c r="A88" s="3">
        <v>2012</v>
      </c>
      <c r="B88" s="4">
        <v>35514791</v>
      </c>
      <c r="C88" s="4">
        <v>6625335</v>
      </c>
      <c r="D88" s="4">
        <v>4065</v>
      </c>
      <c r="E88" s="4">
        <v>1585395</v>
      </c>
      <c r="F88" s="4">
        <v>365927</v>
      </c>
    </row>
    <row r="89" spans="1:15" x14ac:dyDescent="0.25">
      <c r="A89" s="3">
        <v>2013</v>
      </c>
      <c r="B89" s="4">
        <v>39601034</v>
      </c>
      <c r="C89" s="4">
        <v>6291667</v>
      </c>
      <c r="D89" s="4">
        <v>3221</v>
      </c>
      <c r="E89" s="4">
        <v>1179604</v>
      </c>
      <c r="F89" s="4">
        <v>409890</v>
      </c>
    </row>
    <row r="93" spans="1:15" x14ac:dyDescent="0.25">
      <c r="B93" t="s">
        <v>117</v>
      </c>
    </row>
    <row r="94" spans="1:15" x14ac:dyDescent="0.25">
      <c r="B94" t="s">
        <v>65</v>
      </c>
      <c r="C94" t="s">
        <v>61</v>
      </c>
      <c r="D94" t="s">
        <v>62</v>
      </c>
      <c r="E94" t="s">
        <v>70</v>
      </c>
      <c r="F94" t="s">
        <v>63</v>
      </c>
      <c r="G94" t="s">
        <v>76</v>
      </c>
      <c r="H94" t="s">
        <v>71</v>
      </c>
      <c r="I94" t="s">
        <v>77</v>
      </c>
      <c r="J94" t="s">
        <v>72</v>
      </c>
      <c r="K94" t="s">
        <v>73</v>
      </c>
      <c r="L94" t="s">
        <v>66</v>
      </c>
      <c r="M94" t="s">
        <v>74</v>
      </c>
      <c r="N94" t="s">
        <v>67</v>
      </c>
      <c r="O94" t="s">
        <v>20</v>
      </c>
    </row>
    <row r="95" spans="1:15" x14ac:dyDescent="0.25">
      <c r="A95">
        <v>2000</v>
      </c>
      <c r="B95" s="10">
        <v>4199.28</v>
      </c>
      <c r="C95" s="10">
        <v>10671.56</v>
      </c>
      <c r="D95" s="10">
        <v>3804.8</v>
      </c>
      <c r="E95" s="10">
        <v>6863.22</v>
      </c>
      <c r="F95">
        <v>525</v>
      </c>
      <c r="G95" s="10">
        <v>11223.33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37287</v>
      </c>
    </row>
    <row r="96" spans="1:15" x14ac:dyDescent="0.25">
      <c r="A96">
        <v>2001</v>
      </c>
      <c r="B96" s="10">
        <v>3112.61</v>
      </c>
      <c r="C96" s="10">
        <v>7798.73</v>
      </c>
      <c r="D96" s="10">
        <v>1966.77</v>
      </c>
      <c r="E96" s="10">
        <v>6998.22</v>
      </c>
      <c r="F96">
        <v>785</v>
      </c>
      <c r="G96" s="10">
        <v>3016.05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23677</v>
      </c>
    </row>
    <row r="97" spans="1:15" x14ac:dyDescent="0.25">
      <c r="A97">
        <v>2002</v>
      </c>
      <c r="B97" s="10">
        <v>3155.17</v>
      </c>
      <c r="C97" s="10">
        <v>6900</v>
      </c>
      <c r="D97" s="10">
        <v>1224.72</v>
      </c>
      <c r="E97" s="10">
        <v>6863.22</v>
      </c>
      <c r="F97">
        <v>785</v>
      </c>
      <c r="G97" s="10">
        <v>2589.12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21517</v>
      </c>
    </row>
    <row r="98" spans="1:15" x14ac:dyDescent="0.25">
      <c r="A98">
        <v>2003</v>
      </c>
      <c r="B98" s="10">
        <v>3167.92</v>
      </c>
      <c r="C98" s="10">
        <v>9750</v>
      </c>
      <c r="D98" s="10">
        <v>1687.72</v>
      </c>
      <c r="E98" s="10">
        <v>6998.22</v>
      </c>
      <c r="F98">
        <v>805</v>
      </c>
      <c r="G98" s="10">
        <v>2730.6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25139</v>
      </c>
    </row>
    <row r="99" spans="1:15" x14ac:dyDescent="0.25">
      <c r="A99">
        <v>2004</v>
      </c>
      <c r="B99" s="10">
        <v>3199.71</v>
      </c>
      <c r="C99" s="10">
        <v>9750</v>
      </c>
      <c r="D99" s="10">
        <v>2802.57</v>
      </c>
      <c r="E99" s="10">
        <v>6846.27</v>
      </c>
      <c r="F99">
        <v>820</v>
      </c>
      <c r="G99" s="10">
        <v>2993.6</v>
      </c>
      <c r="H99">
        <v>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26424</v>
      </c>
    </row>
    <row r="100" spans="1:15" x14ac:dyDescent="0.25">
      <c r="A100">
        <v>2005</v>
      </c>
      <c r="B100" s="10">
        <v>3407.46</v>
      </c>
      <c r="C100" s="10">
        <v>9750</v>
      </c>
      <c r="D100" s="10">
        <v>3099.35</v>
      </c>
      <c r="E100" s="10">
        <v>6919.97</v>
      </c>
      <c r="F100">
        <v>850</v>
      </c>
      <c r="G100" s="10">
        <v>3208.08</v>
      </c>
      <c r="H100">
        <v>3</v>
      </c>
      <c r="I100">
        <v>0</v>
      </c>
      <c r="J100">
        <v>0.45</v>
      </c>
      <c r="K100">
        <v>3.03</v>
      </c>
      <c r="L100">
        <v>0</v>
      </c>
      <c r="M100">
        <v>0</v>
      </c>
      <c r="N100">
        <v>0</v>
      </c>
      <c r="O100" s="1">
        <v>27241</v>
      </c>
    </row>
    <row r="101" spans="1:15" x14ac:dyDescent="0.25">
      <c r="A101">
        <v>2006</v>
      </c>
      <c r="B101" s="10">
        <v>3715.61</v>
      </c>
      <c r="C101" s="10">
        <v>11170</v>
      </c>
      <c r="D101" s="10">
        <v>3102.95</v>
      </c>
      <c r="E101" s="10">
        <v>7659.97</v>
      </c>
      <c r="F101">
        <v>850</v>
      </c>
      <c r="G101" s="10">
        <v>3165.05</v>
      </c>
      <c r="H101">
        <v>21</v>
      </c>
      <c r="I101">
        <v>0</v>
      </c>
      <c r="J101">
        <v>0.55000000000000004</v>
      </c>
      <c r="K101">
        <v>3.03</v>
      </c>
      <c r="L101">
        <v>0</v>
      </c>
      <c r="M101">
        <v>0</v>
      </c>
      <c r="N101">
        <v>0</v>
      </c>
      <c r="O101" s="1">
        <v>29688</v>
      </c>
    </row>
    <row r="102" spans="1:15" x14ac:dyDescent="0.25">
      <c r="A102">
        <v>2007</v>
      </c>
      <c r="B102" s="10">
        <v>3688.04</v>
      </c>
      <c r="C102" s="10">
        <v>12014</v>
      </c>
      <c r="D102" s="10">
        <v>3220.18</v>
      </c>
      <c r="E102" s="10">
        <v>7699.97</v>
      </c>
      <c r="F102">
        <v>980</v>
      </c>
      <c r="G102" s="10">
        <v>3211.91</v>
      </c>
      <c r="H102">
        <v>33</v>
      </c>
      <c r="I102">
        <v>0.1</v>
      </c>
      <c r="J102">
        <v>0.55000000000000004</v>
      </c>
      <c r="K102">
        <v>6.03</v>
      </c>
      <c r="L102">
        <v>0</v>
      </c>
      <c r="M102">
        <v>0</v>
      </c>
      <c r="N102">
        <v>0</v>
      </c>
      <c r="O102" s="1">
        <v>30854</v>
      </c>
    </row>
    <row r="103" spans="1:15" x14ac:dyDescent="0.25">
      <c r="A103">
        <v>2008</v>
      </c>
      <c r="B103" s="10">
        <v>3690.8</v>
      </c>
      <c r="C103" s="10">
        <v>12294</v>
      </c>
      <c r="D103" s="10">
        <v>3068.97</v>
      </c>
      <c r="E103" s="10">
        <v>8009.97</v>
      </c>
      <c r="F103" s="10">
        <v>1052</v>
      </c>
      <c r="G103" s="10">
        <v>3272.98</v>
      </c>
      <c r="H103">
        <v>66.84</v>
      </c>
      <c r="I103">
        <v>0.26</v>
      </c>
      <c r="J103">
        <v>0.69</v>
      </c>
      <c r="K103">
        <v>6.03</v>
      </c>
      <c r="L103">
        <v>0</v>
      </c>
      <c r="M103">
        <v>0</v>
      </c>
      <c r="N103">
        <v>0</v>
      </c>
      <c r="O103" s="1">
        <v>31463</v>
      </c>
    </row>
    <row r="104" spans="1:15" x14ac:dyDescent="0.25">
      <c r="A104">
        <v>2009</v>
      </c>
      <c r="B104" s="10">
        <v>3694.95</v>
      </c>
      <c r="C104" s="10">
        <v>12594</v>
      </c>
      <c r="D104" s="10">
        <v>3135.88</v>
      </c>
      <c r="E104" s="10">
        <v>8009.97</v>
      </c>
      <c r="F104" s="10">
        <v>1189</v>
      </c>
      <c r="G104" s="10">
        <v>3256.36</v>
      </c>
      <c r="H104">
        <v>71</v>
      </c>
      <c r="I104">
        <v>1.06</v>
      </c>
      <c r="J104">
        <v>0.69</v>
      </c>
      <c r="K104">
        <v>6.03</v>
      </c>
      <c r="L104">
        <v>0</v>
      </c>
      <c r="M104">
        <v>0</v>
      </c>
      <c r="N104">
        <v>0</v>
      </c>
      <c r="O104" s="1">
        <v>31959</v>
      </c>
    </row>
    <row r="105" spans="1:15" x14ac:dyDescent="0.25">
      <c r="A105">
        <v>2010</v>
      </c>
      <c r="B105" s="10">
        <v>3719.69</v>
      </c>
      <c r="C105" s="10">
        <v>12981.5</v>
      </c>
      <c r="D105" s="10">
        <v>3821.57</v>
      </c>
      <c r="E105" s="10">
        <v>7590.32</v>
      </c>
      <c r="F105" s="10">
        <v>1192.75</v>
      </c>
      <c r="G105" s="10">
        <v>4569.8900000000003</v>
      </c>
      <c r="H105">
        <v>92.84</v>
      </c>
      <c r="I105">
        <v>0.34</v>
      </c>
      <c r="J105">
        <v>0.69</v>
      </c>
      <c r="K105">
        <v>13.53</v>
      </c>
      <c r="L105">
        <v>0.19</v>
      </c>
      <c r="M105">
        <v>0</v>
      </c>
      <c r="N105">
        <v>0</v>
      </c>
      <c r="O105" s="1">
        <v>33983</v>
      </c>
    </row>
    <row r="106" spans="1:15" x14ac:dyDescent="0.25">
      <c r="A106">
        <v>2011</v>
      </c>
      <c r="B106" s="10">
        <v>3880.83</v>
      </c>
      <c r="C106" s="10">
        <v>16318</v>
      </c>
      <c r="D106" s="10">
        <v>4236.0200000000004</v>
      </c>
      <c r="E106" s="10">
        <v>8480.9699999999993</v>
      </c>
      <c r="F106" s="10">
        <v>1209</v>
      </c>
      <c r="G106" s="10">
        <v>5471.93</v>
      </c>
      <c r="H106">
        <v>169.54</v>
      </c>
      <c r="I106">
        <v>0.93</v>
      </c>
      <c r="J106">
        <v>5.93</v>
      </c>
      <c r="K106">
        <v>57.66</v>
      </c>
      <c r="L106">
        <v>1.1599999999999999</v>
      </c>
      <c r="M106">
        <v>41</v>
      </c>
      <c r="N106">
        <v>26</v>
      </c>
      <c r="O106" s="1">
        <v>39899</v>
      </c>
    </row>
    <row r="107" spans="1:15" x14ac:dyDescent="0.25">
      <c r="A107">
        <v>2012</v>
      </c>
      <c r="B107" s="10">
        <v>4078.24</v>
      </c>
      <c r="C107" s="10">
        <v>19714</v>
      </c>
      <c r="D107" s="10">
        <v>4343.82</v>
      </c>
      <c r="E107" s="10">
        <v>9461.11</v>
      </c>
      <c r="F107" s="10">
        <v>1343.8</v>
      </c>
      <c r="G107" s="10">
        <v>5973.58</v>
      </c>
      <c r="H107">
        <v>198.74</v>
      </c>
      <c r="I107">
        <v>0.93</v>
      </c>
      <c r="J107">
        <v>6.71</v>
      </c>
      <c r="K107">
        <v>61.46</v>
      </c>
      <c r="L107">
        <v>4.09</v>
      </c>
      <c r="M107">
        <v>41</v>
      </c>
      <c r="N107">
        <v>26</v>
      </c>
      <c r="O107" s="1">
        <v>45253</v>
      </c>
    </row>
    <row r="108" spans="1:15" x14ac:dyDescent="0.25">
      <c r="A108">
        <v>2013</v>
      </c>
      <c r="B108" s="10">
        <v>5058.87</v>
      </c>
      <c r="C108" s="10">
        <v>23812.53</v>
      </c>
      <c r="D108" s="10">
        <v>4389.08</v>
      </c>
      <c r="E108" s="10">
        <v>9852.2099999999991</v>
      </c>
      <c r="F108" s="10">
        <v>1345.4</v>
      </c>
      <c r="G108" s="10">
        <v>5935</v>
      </c>
      <c r="H108">
        <v>448.12</v>
      </c>
      <c r="I108">
        <v>0.63</v>
      </c>
      <c r="J108">
        <v>29.69</v>
      </c>
      <c r="K108">
        <v>77.05</v>
      </c>
      <c r="L108">
        <v>9.02</v>
      </c>
      <c r="M108">
        <v>6</v>
      </c>
      <c r="N108">
        <v>26</v>
      </c>
      <c r="O108" s="1">
        <v>50990</v>
      </c>
    </row>
    <row r="109" spans="1:15" x14ac:dyDescent="0.25">
      <c r="A109">
        <v>2014</v>
      </c>
      <c r="B109" s="10">
        <v>5059.0600000000004</v>
      </c>
      <c r="C109" s="10">
        <v>25104.23</v>
      </c>
      <c r="D109" s="10">
        <v>4310.5</v>
      </c>
      <c r="E109" s="10">
        <v>10146.11</v>
      </c>
      <c r="F109" s="10">
        <v>1405.4</v>
      </c>
      <c r="G109" s="10">
        <v>6206.99</v>
      </c>
      <c r="H109">
        <v>610.74</v>
      </c>
      <c r="I109">
        <v>1.1200000000000001</v>
      </c>
      <c r="J109">
        <v>30.46</v>
      </c>
      <c r="K109">
        <v>139.87</v>
      </c>
      <c r="L109">
        <v>9.02</v>
      </c>
      <c r="M109">
        <v>6</v>
      </c>
      <c r="N109">
        <v>36</v>
      </c>
      <c r="O109" s="1">
        <v>53065</v>
      </c>
    </row>
  </sheetData>
  <mergeCells count="33">
    <mergeCell ref="A74:A75"/>
    <mergeCell ref="H75:L75"/>
    <mergeCell ref="F51:G51"/>
    <mergeCell ref="H51:I51"/>
    <mergeCell ref="D50:I50"/>
    <mergeCell ref="B50:C50"/>
    <mergeCell ref="B51:B52"/>
    <mergeCell ref="C51:C52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N26:N27"/>
    <mergeCell ref="S4:V4"/>
    <mergeCell ref="S2:V2"/>
    <mergeCell ref="P26:P27"/>
    <mergeCell ref="Q26:Q27"/>
    <mergeCell ref="R26:R27"/>
    <mergeCell ref="S26:S27"/>
    <mergeCell ref="T26:T2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965-0F3A-4DC7-A394-C2E2F61F3267}">
  <dimension ref="B1:R19"/>
  <sheetViews>
    <sheetView workbookViewId="0">
      <selection activeCell="L39" sqref="L39"/>
    </sheetView>
  </sheetViews>
  <sheetFormatPr defaultRowHeight="15" x14ac:dyDescent="0.25"/>
  <cols>
    <col min="14" max="14" width="10" bestFit="1" customWidth="1"/>
    <col min="16" max="16" width="10" bestFit="1" customWidth="1"/>
    <col min="17" max="17" width="11" bestFit="1" customWidth="1"/>
    <col min="18" max="18" width="10" bestFit="1" customWidth="1"/>
  </cols>
  <sheetData>
    <row r="1" spans="2:18" x14ac:dyDescent="0.25">
      <c r="B1" s="74" t="s">
        <v>0</v>
      </c>
      <c r="C1" s="2" t="s">
        <v>1</v>
      </c>
      <c r="D1" s="2" t="s">
        <v>2</v>
      </c>
      <c r="E1" s="2" t="s">
        <v>93</v>
      </c>
      <c r="F1" s="2" t="s">
        <v>5</v>
      </c>
      <c r="G1" s="2" t="s">
        <v>90</v>
      </c>
      <c r="H1" s="2" t="s">
        <v>3</v>
      </c>
      <c r="I1" s="2" t="s">
        <v>11</v>
      </c>
      <c r="J1" s="2" t="s">
        <v>12</v>
      </c>
      <c r="K1" s="2" t="s">
        <v>20</v>
      </c>
      <c r="M1" s="23" t="s">
        <v>2</v>
      </c>
      <c r="N1" s="23" t="s">
        <v>111</v>
      </c>
      <c r="O1" s="23" t="s">
        <v>112</v>
      </c>
      <c r="P1" s="23" t="s">
        <v>12</v>
      </c>
      <c r="Q1" s="23" t="s">
        <v>83</v>
      </c>
      <c r="R1" s="23" t="s">
        <v>20</v>
      </c>
    </row>
    <row r="2" spans="2:18" x14ac:dyDescent="0.25">
      <c r="B2" s="74"/>
      <c r="C2" s="74" t="s">
        <v>19</v>
      </c>
      <c r="D2" s="74"/>
      <c r="E2" s="74"/>
      <c r="F2" s="74"/>
      <c r="G2" s="74"/>
      <c r="H2" s="74"/>
      <c r="I2" s="74"/>
      <c r="J2" s="74"/>
      <c r="K2" s="74"/>
      <c r="M2" s="73" t="s">
        <v>95</v>
      </c>
      <c r="N2" s="73"/>
      <c r="O2" s="73"/>
      <c r="P2" s="73"/>
      <c r="Q2" s="73"/>
      <c r="R2" s="73"/>
    </row>
    <row r="3" spans="2:18" x14ac:dyDescent="0.25">
      <c r="B3" s="17">
        <v>2000</v>
      </c>
      <c r="C3" s="22">
        <v>269042</v>
      </c>
      <c r="D3" s="22">
        <v>36060</v>
      </c>
      <c r="E3" s="22">
        <v>87214</v>
      </c>
      <c r="F3" s="22">
        <v>315272</v>
      </c>
      <c r="G3" s="22">
        <v>13435</v>
      </c>
      <c r="H3" s="17">
        <v>85</v>
      </c>
      <c r="I3" s="22">
        <v>8261</v>
      </c>
      <c r="J3" s="22">
        <v>48555</v>
      </c>
      <c r="K3" s="22">
        <v>777925</v>
      </c>
      <c r="M3" s="3">
        <f>(D3+H3)*1000</f>
        <v>36145000</v>
      </c>
      <c r="N3" s="3">
        <f>(F3+G3)*1000</f>
        <v>328707000</v>
      </c>
      <c r="O3" s="3">
        <f>(E3+I3)*1000</f>
        <v>95475000</v>
      </c>
      <c r="P3" s="3">
        <f>J3*1000</f>
        <v>48555000</v>
      </c>
      <c r="Q3" s="3">
        <f>C3*1000</f>
        <v>269042000</v>
      </c>
      <c r="R3" s="3">
        <f>SUM(M3:Q3)</f>
        <v>777924000</v>
      </c>
    </row>
    <row r="4" spans="2:18" x14ac:dyDescent="0.25">
      <c r="B4" s="17">
        <v>2001</v>
      </c>
      <c r="C4" s="22">
        <v>268953</v>
      </c>
      <c r="D4" s="22">
        <v>37021</v>
      </c>
      <c r="E4" s="22">
        <v>82235</v>
      </c>
      <c r="F4" s="22">
        <v>328203</v>
      </c>
      <c r="G4" s="22">
        <v>25712</v>
      </c>
      <c r="H4" s="17">
        <v>78</v>
      </c>
      <c r="I4" s="22">
        <v>8280</v>
      </c>
      <c r="J4" s="22">
        <v>51841</v>
      </c>
      <c r="K4" s="22">
        <v>802325</v>
      </c>
      <c r="M4" s="3">
        <f t="shared" ref="M4:M19" si="0">(D4+H4)*1000</f>
        <v>37099000</v>
      </c>
      <c r="N4" s="3">
        <f t="shared" ref="N4:N19" si="1">(F4+G4)*1000</f>
        <v>353915000</v>
      </c>
      <c r="O4" s="3">
        <f t="shared" ref="O4:O19" si="2">(E4+I4)*1000</f>
        <v>90515000</v>
      </c>
      <c r="P4" s="3">
        <f t="shared" ref="P4:P19" si="3">J4*1000</f>
        <v>51841000</v>
      </c>
      <c r="Q4" s="3">
        <f t="shared" ref="Q4:Q19" si="4">C4*1000</f>
        <v>268953000</v>
      </c>
      <c r="R4" s="3">
        <f t="shared" ref="R4:R19" si="5">SUM(M4:Q4)</f>
        <v>802323000</v>
      </c>
    </row>
    <row r="5" spans="2:18" x14ac:dyDescent="0.25">
      <c r="B5" s="17">
        <v>2002</v>
      </c>
      <c r="C5" s="22">
        <v>270207</v>
      </c>
      <c r="D5" s="22">
        <v>38698</v>
      </c>
      <c r="E5" s="22">
        <v>80885</v>
      </c>
      <c r="F5" s="22">
        <v>325202</v>
      </c>
      <c r="G5" s="22">
        <v>22688</v>
      </c>
      <c r="H5" s="17">
        <v>83</v>
      </c>
      <c r="I5" s="22">
        <v>8744</v>
      </c>
      <c r="J5" s="22">
        <v>53418</v>
      </c>
      <c r="K5" s="22">
        <v>799926</v>
      </c>
      <c r="M5" s="3">
        <f t="shared" si="0"/>
        <v>38781000</v>
      </c>
      <c r="N5" s="3">
        <f t="shared" si="1"/>
        <v>347890000</v>
      </c>
      <c r="O5" s="3">
        <f t="shared" si="2"/>
        <v>89629000</v>
      </c>
      <c r="P5" s="3">
        <f t="shared" si="3"/>
        <v>53418000</v>
      </c>
      <c r="Q5" s="3">
        <f t="shared" si="4"/>
        <v>270207000</v>
      </c>
      <c r="R5" s="3">
        <f t="shared" si="5"/>
        <v>799925000</v>
      </c>
    </row>
    <row r="6" spans="2:18" x14ac:dyDescent="0.25">
      <c r="B6" s="17">
        <v>2003</v>
      </c>
      <c r="C6" s="22">
        <v>271974</v>
      </c>
      <c r="D6" s="22">
        <v>68264</v>
      </c>
      <c r="E6" s="22">
        <v>90277</v>
      </c>
      <c r="F6" s="22">
        <v>321384</v>
      </c>
      <c r="G6" s="22">
        <v>23533</v>
      </c>
      <c r="H6" s="17">
        <v>77</v>
      </c>
      <c r="I6" s="22">
        <v>8766</v>
      </c>
      <c r="J6" s="22">
        <v>55473</v>
      </c>
      <c r="K6" s="22">
        <v>839748</v>
      </c>
      <c r="M6" s="3">
        <f t="shared" si="0"/>
        <v>68341000</v>
      </c>
      <c r="N6" s="3">
        <f t="shared" si="1"/>
        <v>344917000</v>
      </c>
      <c r="O6" s="3">
        <f t="shared" si="2"/>
        <v>99043000</v>
      </c>
      <c r="P6" s="3">
        <f t="shared" si="3"/>
        <v>55473000</v>
      </c>
      <c r="Q6" s="3">
        <f t="shared" si="4"/>
        <v>271974000</v>
      </c>
      <c r="R6" s="3">
        <f t="shared" si="5"/>
        <v>839748000</v>
      </c>
    </row>
    <row r="7" spans="2:18" x14ac:dyDescent="0.25">
      <c r="B7" s="17">
        <v>2004</v>
      </c>
      <c r="C7" s="22">
        <v>271765</v>
      </c>
      <c r="D7" s="22">
        <v>55344</v>
      </c>
      <c r="E7" s="22">
        <v>85459</v>
      </c>
      <c r="F7" s="22">
        <v>354317</v>
      </c>
      <c r="G7" s="22">
        <v>37716</v>
      </c>
      <c r="H7" s="17">
        <v>80</v>
      </c>
      <c r="I7" s="22">
        <v>9187</v>
      </c>
      <c r="J7" s="22">
        <v>61393</v>
      </c>
      <c r="K7" s="22">
        <v>875261</v>
      </c>
      <c r="M7" s="3">
        <f t="shared" si="0"/>
        <v>55424000</v>
      </c>
      <c r="N7" s="3">
        <f t="shared" si="1"/>
        <v>392033000</v>
      </c>
      <c r="O7" s="3">
        <f t="shared" si="2"/>
        <v>94646000</v>
      </c>
      <c r="P7" s="3">
        <f t="shared" si="3"/>
        <v>61393000</v>
      </c>
      <c r="Q7" s="3">
        <f t="shared" si="4"/>
        <v>271765000</v>
      </c>
      <c r="R7" s="3">
        <f t="shared" si="5"/>
        <v>875261000</v>
      </c>
    </row>
    <row r="8" spans="2:18" x14ac:dyDescent="0.25">
      <c r="B8" s="17">
        <v>2005</v>
      </c>
      <c r="C8" s="22">
        <v>270043</v>
      </c>
      <c r="D8" s="22">
        <v>65744</v>
      </c>
      <c r="E8" s="22">
        <v>86634</v>
      </c>
      <c r="F8" s="22">
        <v>338375</v>
      </c>
      <c r="G8" s="22">
        <v>29614</v>
      </c>
      <c r="H8" s="17">
        <v>94</v>
      </c>
      <c r="I8" s="22">
        <v>8453</v>
      </c>
      <c r="J8" s="22">
        <v>65644</v>
      </c>
      <c r="K8" s="22">
        <v>864601</v>
      </c>
      <c r="M8" s="3">
        <f t="shared" si="0"/>
        <v>65838000</v>
      </c>
      <c r="N8" s="3">
        <f t="shared" si="1"/>
        <v>367989000</v>
      </c>
      <c r="O8" s="3">
        <f t="shared" si="2"/>
        <v>95087000</v>
      </c>
      <c r="P8" s="3">
        <f t="shared" si="3"/>
        <v>65644000</v>
      </c>
      <c r="Q8" s="3">
        <f t="shared" si="4"/>
        <v>270043000</v>
      </c>
      <c r="R8" s="3">
        <f t="shared" si="5"/>
        <v>864601000</v>
      </c>
    </row>
    <row r="9" spans="2:18" x14ac:dyDescent="0.25">
      <c r="B9" s="17">
        <v>2006</v>
      </c>
      <c r="C9" s="22">
        <v>276271</v>
      </c>
      <c r="D9" s="22">
        <v>89043</v>
      </c>
      <c r="E9" s="22">
        <v>83221</v>
      </c>
      <c r="F9" s="22">
        <v>311913</v>
      </c>
      <c r="G9" s="22">
        <v>41126</v>
      </c>
      <c r="H9" s="17">
        <v>94</v>
      </c>
      <c r="I9" s="22">
        <v>9414</v>
      </c>
      <c r="J9" s="22">
        <v>69071</v>
      </c>
      <c r="K9" s="22">
        <v>880153</v>
      </c>
      <c r="M9" s="3">
        <f t="shared" si="0"/>
        <v>89137000</v>
      </c>
      <c r="N9" s="3">
        <f t="shared" si="1"/>
        <v>353039000</v>
      </c>
      <c r="O9" s="3">
        <f t="shared" si="2"/>
        <v>92635000</v>
      </c>
      <c r="P9" s="3">
        <f t="shared" si="3"/>
        <v>69071000</v>
      </c>
      <c r="Q9" s="3">
        <f t="shared" si="4"/>
        <v>276271000</v>
      </c>
      <c r="R9" s="3">
        <f t="shared" si="5"/>
        <v>880153000</v>
      </c>
    </row>
    <row r="10" spans="2:18" x14ac:dyDescent="0.25">
      <c r="B10" s="17">
        <v>2007</v>
      </c>
      <c r="C10" s="22">
        <v>280006</v>
      </c>
      <c r="D10" s="22">
        <v>121904</v>
      </c>
      <c r="E10" s="22">
        <v>105774</v>
      </c>
      <c r="F10" s="22">
        <v>315840</v>
      </c>
      <c r="G10" s="22">
        <v>40589</v>
      </c>
      <c r="H10" s="17">
        <v>105</v>
      </c>
      <c r="I10" s="22">
        <v>10803</v>
      </c>
      <c r="J10" s="22">
        <v>74324</v>
      </c>
      <c r="K10" s="22">
        <v>953335</v>
      </c>
      <c r="M10" s="3">
        <f t="shared" si="0"/>
        <v>122009000</v>
      </c>
      <c r="N10" s="3">
        <f t="shared" si="1"/>
        <v>356429000</v>
      </c>
      <c r="O10" s="3">
        <f t="shared" si="2"/>
        <v>116577000</v>
      </c>
      <c r="P10" s="3">
        <f t="shared" si="3"/>
        <v>74324000</v>
      </c>
      <c r="Q10" s="3">
        <f t="shared" si="4"/>
        <v>280006000</v>
      </c>
      <c r="R10" s="3">
        <f t="shared" si="5"/>
        <v>949345000</v>
      </c>
    </row>
    <row r="11" spans="2:18" x14ac:dyDescent="0.25">
      <c r="B11" s="17">
        <v>2008</v>
      </c>
      <c r="C11" s="22">
        <v>283089</v>
      </c>
      <c r="D11" s="22">
        <v>94035</v>
      </c>
      <c r="E11" s="22">
        <v>112614</v>
      </c>
      <c r="F11" s="22">
        <v>311938</v>
      </c>
      <c r="G11" s="22">
        <v>52073</v>
      </c>
      <c r="H11" s="17">
        <v>155</v>
      </c>
      <c r="I11" s="22">
        <v>15658</v>
      </c>
      <c r="J11" s="22">
        <v>79089</v>
      </c>
      <c r="K11" s="22">
        <v>955042</v>
      </c>
      <c r="M11" s="3">
        <f t="shared" si="0"/>
        <v>94190000</v>
      </c>
      <c r="N11" s="3">
        <f t="shared" si="1"/>
        <v>364011000</v>
      </c>
      <c r="O11" s="3">
        <f t="shared" si="2"/>
        <v>128272000</v>
      </c>
      <c r="P11" s="3">
        <f t="shared" si="3"/>
        <v>79089000</v>
      </c>
      <c r="Q11" s="3">
        <f t="shared" si="4"/>
        <v>283089000</v>
      </c>
      <c r="R11" s="3">
        <f t="shared" si="5"/>
        <v>948651000</v>
      </c>
    </row>
    <row r="12" spans="2:18" x14ac:dyDescent="0.25">
      <c r="B12" s="17">
        <v>2009</v>
      </c>
      <c r="C12" s="22">
        <v>286645</v>
      </c>
      <c r="D12" s="22">
        <v>82587</v>
      </c>
      <c r="E12" s="22">
        <v>118587</v>
      </c>
      <c r="F12" s="22">
        <v>309000</v>
      </c>
      <c r="G12" s="22">
        <v>55663</v>
      </c>
      <c r="H12" s="17">
        <v>220</v>
      </c>
      <c r="I12" s="22">
        <v>24384</v>
      </c>
      <c r="J12" s="22">
        <v>82499</v>
      </c>
      <c r="K12" s="22">
        <v>975278</v>
      </c>
      <c r="M12" s="3">
        <f t="shared" si="0"/>
        <v>82807000</v>
      </c>
      <c r="N12" s="3">
        <f t="shared" si="1"/>
        <v>364663000</v>
      </c>
      <c r="O12" s="3">
        <f t="shared" si="2"/>
        <v>142971000</v>
      </c>
      <c r="P12" s="3">
        <f t="shared" si="3"/>
        <v>82499000</v>
      </c>
      <c r="Q12" s="3">
        <f t="shared" si="4"/>
        <v>286645000</v>
      </c>
      <c r="R12" s="3">
        <f t="shared" si="5"/>
        <v>959585000</v>
      </c>
    </row>
    <row r="13" spans="2:18" x14ac:dyDescent="0.25">
      <c r="B13" s="17">
        <v>2010</v>
      </c>
      <c r="C13" s="22">
        <v>295269</v>
      </c>
      <c r="D13" s="22">
        <v>137489</v>
      </c>
      <c r="E13" s="22">
        <v>115404</v>
      </c>
      <c r="F13" s="22">
        <v>294249</v>
      </c>
      <c r="G13" s="22">
        <v>55765</v>
      </c>
      <c r="H13" s="17">
        <v>123</v>
      </c>
      <c r="I13" s="22">
        <v>32067</v>
      </c>
      <c r="J13" s="22">
        <v>90707</v>
      </c>
      <c r="K13" s="22">
        <v>1049013</v>
      </c>
      <c r="M13" s="3">
        <f t="shared" si="0"/>
        <v>137612000</v>
      </c>
      <c r="N13" s="3">
        <f t="shared" si="1"/>
        <v>350014000</v>
      </c>
      <c r="O13" s="3">
        <f t="shared" si="2"/>
        <v>147471000</v>
      </c>
      <c r="P13" s="3">
        <f t="shared" si="3"/>
        <v>90707000</v>
      </c>
      <c r="Q13" s="3">
        <f t="shared" si="4"/>
        <v>295269000</v>
      </c>
      <c r="R13" s="3">
        <f t="shared" si="5"/>
        <v>1021073000</v>
      </c>
    </row>
    <row r="14" spans="2:18" x14ac:dyDescent="0.25">
      <c r="B14" s="17">
        <v>2011</v>
      </c>
      <c r="C14" s="22">
        <v>298825</v>
      </c>
      <c r="D14" s="22">
        <v>144502</v>
      </c>
      <c r="E14" s="22">
        <v>121234</v>
      </c>
      <c r="F14" s="22">
        <v>334727</v>
      </c>
      <c r="G14" s="22">
        <v>69978</v>
      </c>
      <c r="H14" s="17">
        <v>121</v>
      </c>
      <c r="I14" s="22">
        <v>37060</v>
      </c>
      <c r="J14" s="22">
        <v>99147</v>
      </c>
      <c r="K14" s="22">
        <v>1151400</v>
      </c>
      <c r="M14" s="3">
        <f t="shared" si="0"/>
        <v>144623000</v>
      </c>
      <c r="N14" s="3">
        <f t="shared" si="1"/>
        <v>404705000</v>
      </c>
      <c r="O14" s="3">
        <f t="shared" si="2"/>
        <v>158294000</v>
      </c>
      <c r="P14" s="3">
        <f t="shared" si="3"/>
        <v>99147000</v>
      </c>
      <c r="Q14" s="3">
        <f t="shared" si="4"/>
        <v>298825000</v>
      </c>
      <c r="R14" s="3">
        <f t="shared" si="5"/>
        <v>1105594000</v>
      </c>
    </row>
    <row r="15" spans="2:18" x14ac:dyDescent="0.25">
      <c r="B15" s="17">
        <v>2012</v>
      </c>
      <c r="C15" s="22">
        <v>300693</v>
      </c>
      <c r="D15" s="22">
        <v>123022</v>
      </c>
      <c r="E15" s="22">
        <v>125074</v>
      </c>
      <c r="F15" s="22">
        <v>389030</v>
      </c>
      <c r="G15" s="22">
        <v>83418</v>
      </c>
      <c r="H15" s="17">
        <v>130</v>
      </c>
      <c r="I15" s="22">
        <v>42883</v>
      </c>
      <c r="J15" s="22">
        <v>106656</v>
      </c>
      <c r="K15" s="22">
        <v>1230134</v>
      </c>
      <c r="M15" s="3">
        <f t="shared" si="0"/>
        <v>123152000</v>
      </c>
      <c r="N15" s="3">
        <f t="shared" si="1"/>
        <v>472448000</v>
      </c>
      <c r="O15" s="3">
        <f t="shared" si="2"/>
        <v>167957000</v>
      </c>
      <c r="P15" s="3">
        <f t="shared" si="3"/>
        <v>106656000</v>
      </c>
      <c r="Q15" s="3">
        <f t="shared" si="4"/>
        <v>300693000</v>
      </c>
      <c r="R15" s="3">
        <f t="shared" si="5"/>
        <v>1170906000</v>
      </c>
    </row>
    <row r="16" spans="2:18" x14ac:dyDescent="0.25">
      <c r="B16" s="17">
        <v>2013</v>
      </c>
      <c r="C16" s="22">
        <v>306087</v>
      </c>
      <c r="D16" s="22">
        <v>42729</v>
      </c>
      <c r="E16" s="22">
        <v>125529</v>
      </c>
      <c r="F16" s="22">
        <v>378049</v>
      </c>
      <c r="G16" s="22">
        <v>66161</v>
      </c>
      <c r="H16" s="17">
        <v>130</v>
      </c>
      <c r="I16" s="22">
        <v>47801</v>
      </c>
      <c r="J16" s="22">
        <v>114962</v>
      </c>
      <c r="K16" s="22">
        <v>1148474</v>
      </c>
      <c r="M16" s="3">
        <f t="shared" si="0"/>
        <v>42859000</v>
      </c>
      <c r="N16" s="3">
        <f t="shared" si="1"/>
        <v>444210000</v>
      </c>
      <c r="O16" s="3">
        <f t="shared" si="2"/>
        <v>173330000</v>
      </c>
      <c r="P16" s="3">
        <f t="shared" si="3"/>
        <v>114962000</v>
      </c>
      <c r="Q16" s="3">
        <f t="shared" si="4"/>
        <v>306087000</v>
      </c>
      <c r="R16" s="3">
        <f t="shared" si="5"/>
        <v>1081448000</v>
      </c>
    </row>
    <row r="17" spans="2:18" x14ac:dyDescent="0.25">
      <c r="B17" s="17">
        <v>2014</v>
      </c>
      <c r="C17" s="22">
        <v>310036</v>
      </c>
      <c r="D17" s="22">
        <v>55064</v>
      </c>
      <c r="E17" s="22">
        <v>124467</v>
      </c>
      <c r="F17" s="22">
        <v>363713</v>
      </c>
      <c r="G17" s="22">
        <v>70277</v>
      </c>
      <c r="H17" s="17">
        <v>58</v>
      </c>
      <c r="I17" s="22">
        <v>51942</v>
      </c>
      <c r="J17" s="22">
        <v>121743</v>
      </c>
      <c r="K17" s="22">
        <v>1170167</v>
      </c>
      <c r="M17" s="3">
        <f t="shared" si="0"/>
        <v>55122000</v>
      </c>
      <c r="N17" s="3">
        <f t="shared" si="1"/>
        <v>433990000</v>
      </c>
      <c r="O17" s="3">
        <f t="shared" si="2"/>
        <v>176409000</v>
      </c>
      <c r="P17" s="3">
        <f t="shared" si="3"/>
        <v>121743000</v>
      </c>
      <c r="Q17" s="3">
        <f t="shared" si="4"/>
        <v>310036000</v>
      </c>
      <c r="R17" s="3">
        <f t="shared" si="5"/>
        <v>1097300000</v>
      </c>
    </row>
    <row r="18" spans="2:18" x14ac:dyDescent="0.25">
      <c r="B18" s="17">
        <v>2015</v>
      </c>
      <c r="C18" s="22">
        <v>309450</v>
      </c>
      <c r="D18" s="22">
        <v>70228</v>
      </c>
      <c r="E18" s="22">
        <v>123876</v>
      </c>
      <c r="F18" s="22">
        <v>393214</v>
      </c>
      <c r="G18" s="22">
        <v>47514</v>
      </c>
      <c r="H18" s="17">
        <v>50</v>
      </c>
      <c r="I18" s="22">
        <v>54361</v>
      </c>
      <c r="J18" s="22">
        <v>124344</v>
      </c>
      <c r="K18" s="22">
        <v>1142775</v>
      </c>
      <c r="M18" s="3">
        <f t="shared" si="0"/>
        <v>70278000</v>
      </c>
      <c r="N18" s="3">
        <f t="shared" si="1"/>
        <v>440728000</v>
      </c>
      <c r="O18" s="3">
        <f t="shared" si="2"/>
        <v>178237000</v>
      </c>
      <c r="P18" s="3">
        <f t="shared" si="3"/>
        <v>124344000</v>
      </c>
      <c r="Q18" s="3">
        <f t="shared" si="4"/>
        <v>309450000</v>
      </c>
      <c r="R18" s="3">
        <f t="shared" si="5"/>
        <v>1123037000</v>
      </c>
    </row>
    <row r="19" spans="2:18" x14ac:dyDescent="0.25">
      <c r="B19" s="17">
        <v>2016</v>
      </c>
      <c r="C19" s="22">
        <v>306989</v>
      </c>
      <c r="D19" s="22">
        <v>63504</v>
      </c>
      <c r="E19" s="22">
        <v>101393</v>
      </c>
      <c r="F19" s="22">
        <v>290155</v>
      </c>
      <c r="G19" s="22">
        <v>31775</v>
      </c>
      <c r="H19" s="17">
        <v>107</v>
      </c>
      <c r="I19" s="22">
        <v>56626</v>
      </c>
      <c r="J19" s="22">
        <v>132411</v>
      </c>
      <c r="K19" s="22">
        <v>1002697</v>
      </c>
      <c r="M19" s="3">
        <f t="shared" si="0"/>
        <v>63611000</v>
      </c>
      <c r="N19" s="3">
        <f t="shared" si="1"/>
        <v>321930000</v>
      </c>
      <c r="O19" s="3">
        <f t="shared" si="2"/>
        <v>158019000</v>
      </c>
      <c r="P19" s="3">
        <f t="shared" si="3"/>
        <v>132411000</v>
      </c>
      <c r="Q19" s="3">
        <f t="shared" si="4"/>
        <v>306989000</v>
      </c>
      <c r="R19" s="3">
        <f t="shared" si="5"/>
        <v>982960000</v>
      </c>
    </row>
  </sheetData>
  <mergeCells count="3">
    <mergeCell ref="C2:K2"/>
    <mergeCell ref="B1:B2"/>
    <mergeCell ref="M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827E-23D5-461D-8660-754CDFC924EF}">
  <dimension ref="A1:X28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V2" sqref="V2:V20"/>
    </sheetView>
  </sheetViews>
  <sheetFormatPr defaultRowHeight="15" x14ac:dyDescent="0.25"/>
  <cols>
    <col min="2" max="2" width="20" bestFit="1" customWidth="1"/>
    <col min="3" max="3" width="12" bestFit="1" customWidth="1"/>
    <col min="4" max="4" width="10.140625" bestFit="1" customWidth="1"/>
    <col min="5" max="5" width="12.42578125" bestFit="1" customWidth="1"/>
    <col min="7" max="8" width="11.7109375" bestFit="1" customWidth="1"/>
    <col min="9" max="9" width="16.85546875" bestFit="1" customWidth="1"/>
    <col min="10" max="10" width="12.42578125" bestFit="1" customWidth="1"/>
    <col min="12" max="12" width="12" bestFit="1" customWidth="1"/>
    <col min="15" max="15" width="29.7109375" bestFit="1" customWidth="1"/>
    <col min="16" max="16" width="16.85546875" bestFit="1" customWidth="1"/>
    <col min="17" max="17" width="31.5703125" bestFit="1" customWidth="1"/>
    <col min="18" max="18" width="25.7109375" bestFit="1" customWidth="1"/>
    <col min="19" max="19" width="25.7109375" customWidth="1"/>
    <col min="20" max="20" width="28.140625" bestFit="1" customWidth="1"/>
    <col min="21" max="21" width="18.5703125" bestFit="1" customWidth="1"/>
    <col min="22" max="22" width="18.5703125" customWidth="1"/>
    <col min="23" max="23" width="37" bestFit="1" customWidth="1"/>
  </cols>
  <sheetData>
    <row r="1" spans="1:23" x14ac:dyDescent="0.25">
      <c r="B1" t="s">
        <v>142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L1" t="s">
        <v>128</v>
      </c>
      <c r="N1" s="3"/>
      <c r="O1" s="3" t="s">
        <v>142</v>
      </c>
      <c r="P1" s="3" t="s">
        <v>124</v>
      </c>
      <c r="Q1" s="3" t="s">
        <v>144</v>
      </c>
      <c r="R1" s="3" t="s">
        <v>145</v>
      </c>
      <c r="S1" s="43" t="s">
        <v>168</v>
      </c>
      <c r="T1" s="42" t="s">
        <v>165</v>
      </c>
      <c r="U1" s="42" t="s">
        <v>166</v>
      </c>
      <c r="V1" s="42"/>
      <c r="W1" s="42" t="s">
        <v>170</v>
      </c>
    </row>
    <row r="2" spans="1:23" x14ac:dyDescent="0.25">
      <c r="A2">
        <v>2000</v>
      </c>
      <c r="B2" s="10">
        <v>1389770.3</v>
      </c>
      <c r="C2" s="10">
        <v>856798.3</v>
      </c>
      <c r="D2" s="10">
        <v>90779.7</v>
      </c>
      <c r="E2" s="10">
        <v>275881.2</v>
      </c>
      <c r="F2" s="10">
        <v>33282.800000000003</v>
      </c>
      <c r="G2" s="10">
        <v>569490.30000000005</v>
      </c>
      <c r="H2" s="10">
        <v>423317.9</v>
      </c>
      <c r="I2" s="10">
        <v>1389769.9</v>
      </c>
      <c r="J2">
        <v>100</v>
      </c>
      <c r="K2">
        <v>2000</v>
      </c>
      <c r="L2">
        <f t="shared" ref="L2:L16" si="0">B2*1000000000</f>
        <v>1389770300000000</v>
      </c>
      <c r="N2" s="3">
        <v>2000</v>
      </c>
      <c r="O2" s="11">
        <f t="shared" ref="O2:O11" si="1">B2</f>
        <v>1389770.3</v>
      </c>
      <c r="P2" s="9">
        <f t="shared" ref="P2:P11" si="2">I2</f>
        <v>1389769.9</v>
      </c>
      <c r="Q2" s="40">
        <f t="shared" ref="Q2:Q11" si="3">J2</f>
        <v>100</v>
      </c>
      <c r="R2" s="41">
        <f>P2*1000000000</f>
        <v>1389769900000000</v>
      </c>
      <c r="S2" s="44">
        <f>R2/1000000000</f>
        <v>1389769.9</v>
      </c>
      <c r="T2" s="1">
        <v>6752</v>
      </c>
      <c r="U2">
        <f>T2*1000</f>
        <v>6752000</v>
      </c>
      <c r="V2">
        <v>2000</v>
      </c>
      <c r="W2">
        <v>3.53</v>
      </c>
    </row>
    <row r="3" spans="1:23" x14ac:dyDescent="0.25">
      <c r="A3">
        <v>2001</v>
      </c>
      <c r="B3" s="10">
        <v>1442984.6</v>
      </c>
      <c r="C3" s="10">
        <v>886736</v>
      </c>
      <c r="D3" s="10">
        <v>97646</v>
      </c>
      <c r="E3" s="10">
        <v>293792.7</v>
      </c>
      <c r="F3" s="10">
        <v>41846.800000000003</v>
      </c>
      <c r="G3" s="10">
        <v>573163.4</v>
      </c>
      <c r="H3" s="10">
        <v>441012</v>
      </c>
      <c r="I3" s="10">
        <v>1684280.5</v>
      </c>
      <c r="J3">
        <v>116.72</v>
      </c>
      <c r="K3">
        <v>2001</v>
      </c>
      <c r="L3">
        <f t="shared" si="0"/>
        <v>1442984600000000</v>
      </c>
      <c r="N3" s="3">
        <v>2001</v>
      </c>
      <c r="O3" s="11">
        <f t="shared" si="1"/>
        <v>1442984.6</v>
      </c>
      <c r="P3" s="9">
        <f t="shared" si="2"/>
        <v>1684280.5</v>
      </c>
      <c r="Q3" s="40">
        <f t="shared" si="3"/>
        <v>116.72</v>
      </c>
      <c r="R3" s="41">
        <f t="shared" ref="R3:R20" si="4">P3*1000000000</f>
        <v>1684280500000000</v>
      </c>
      <c r="S3" s="44">
        <f t="shared" ref="S3:S20" si="5">R3/1000000000</f>
        <v>1684280.5</v>
      </c>
      <c r="T3" s="1">
        <v>8072</v>
      </c>
      <c r="U3">
        <f t="shared" ref="U3:U20" si="6">T3*1000</f>
        <v>8072000</v>
      </c>
      <c r="V3">
        <v>2001</v>
      </c>
      <c r="W3">
        <v>3.7</v>
      </c>
    </row>
    <row r="4" spans="1:23" x14ac:dyDescent="0.25">
      <c r="A4">
        <v>2002</v>
      </c>
      <c r="B4" s="10">
        <v>1506124.4</v>
      </c>
      <c r="C4" s="10">
        <v>920749.6</v>
      </c>
      <c r="D4" s="10">
        <v>110333.6</v>
      </c>
      <c r="E4" s="10">
        <v>307584.59999999998</v>
      </c>
      <c r="F4" s="10">
        <v>13085</v>
      </c>
      <c r="G4" s="10">
        <v>566188.4</v>
      </c>
      <c r="H4" s="10">
        <v>422271.4</v>
      </c>
      <c r="I4" s="10">
        <v>1863274.7</v>
      </c>
      <c r="J4">
        <v>123.71</v>
      </c>
      <c r="K4">
        <v>2002</v>
      </c>
      <c r="L4">
        <f t="shared" si="0"/>
        <v>1506124400000000</v>
      </c>
      <c r="N4" s="3">
        <v>2002</v>
      </c>
      <c r="O4" s="11">
        <f t="shared" si="1"/>
        <v>1506124.4</v>
      </c>
      <c r="P4" s="9">
        <f t="shared" si="2"/>
        <v>1863274.7</v>
      </c>
      <c r="Q4" s="40">
        <f t="shared" si="3"/>
        <v>123.71</v>
      </c>
      <c r="R4" s="41">
        <f t="shared" si="4"/>
        <v>1863274700000000</v>
      </c>
      <c r="S4" s="44">
        <f t="shared" si="5"/>
        <v>1863274.7</v>
      </c>
      <c r="T4" s="1">
        <v>8789</v>
      </c>
      <c r="U4">
        <f t="shared" si="6"/>
        <v>8789000</v>
      </c>
      <c r="V4">
        <v>2002</v>
      </c>
      <c r="W4">
        <v>3.77</v>
      </c>
    </row>
    <row r="5" spans="1:23" x14ac:dyDescent="0.25">
      <c r="A5">
        <v>2003</v>
      </c>
      <c r="B5" s="10">
        <v>1577171.3</v>
      </c>
      <c r="C5" s="10">
        <v>956593.4</v>
      </c>
      <c r="D5" s="10">
        <v>121404.1</v>
      </c>
      <c r="E5" s="10">
        <v>309431.09999999998</v>
      </c>
      <c r="F5" s="10">
        <v>45996.7</v>
      </c>
      <c r="G5" s="10">
        <v>599516.4</v>
      </c>
      <c r="H5" s="10">
        <v>428874.6</v>
      </c>
      <c r="I5" s="10">
        <v>2013674.6</v>
      </c>
      <c r="J5">
        <v>127.68</v>
      </c>
      <c r="K5">
        <v>2003</v>
      </c>
      <c r="L5">
        <f t="shared" si="0"/>
        <v>1577171300000000</v>
      </c>
      <c r="N5" s="3">
        <v>2003</v>
      </c>
      <c r="O5" s="11">
        <f t="shared" si="1"/>
        <v>1577171.3</v>
      </c>
      <c r="P5" s="9">
        <f t="shared" si="2"/>
        <v>2013674.6</v>
      </c>
      <c r="Q5" s="40">
        <f t="shared" si="3"/>
        <v>127.68</v>
      </c>
      <c r="R5" s="41">
        <f t="shared" si="4"/>
        <v>2013674600000000</v>
      </c>
      <c r="S5" s="44">
        <f t="shared" si="5"/>
        <v>2013674.6</v>
      </c>
      <c r="T5" s="1">
        <v>9354</v>
      </c>
      <c r="U5">
        <f t="shared" si="6"/>
        <v>9354000</v>
      </c>
      <c r="V5">
        <v>2003</v>
      </c>
      <c r="W5">
        <v>3.99</v>
      </c>
    </row>
    <row r="6" spans="1:23" x14ac:dyDescent="0.25">
      <c r="A6">
        <v>2004</v>
      </c>
      <c r="B6" s="10">
        <v>1656516.8</v>
      </c>
      <c r="C6" s="10">
        <v>1004109</v>
      </c>
      <c r="D6" s="10">
        <v>126248.6</v>
      </c>
      <c r="E6" s="10">
        <v>354865.8</v>
      </c>
      <c r="F6" s="10">
        <v>25099</v>
      </c>
      <c r="G6" s="10">
        <v>680620.9</v>
      </c>
      <c r="H6" s="10">
        <v>543183.80000000005</v>
      </c>
      <c r="I6" s="10">
        <v>2295826.2000000002</v>
      </c>
      <c r="J6">
        <v>138.59</v>
      </c>
      <c r="K6">
        <v>2004</v>
      </c>
      <c r="L6">
        <f t="shared" si="0"/>
        <v>1656516800000000</v>
      </c>
      <c r="N6" s="3">
        <v>2004</v>
      </c>
      <c r="O6" s="11">
        <f t="shared" si="1"/>
        <v>1656516.8</v>
      </c>
      <c r="P6" s="9">
        <f t="shared" si="2"/>
        <v>2295826.2000000002</v>
      </c>
      <c r="Q6" s="40">
        <f t="shared" si="3"/>
        <v>138.59</v>
      </c>
      <c r="R6" s="41">
        <f t="shared" si="4"/>
        <v>2295826200000000</v>
      </c>
      <c r="S6" s="44">
        <f t="shared" si="5"/>
        <v>2295826.2000000002</v>
      </c>
      <c r="T6" s="1">
        <v>10538</v>
      </c>
      <c r="U6">
        <f t="shared" si="6"/>
        <v>10538000</v>
      </c>
      <c r="V6">
        <v>2004</v>
      </c>
      <c r="W6">
        <v>4.01</v>
      </c>
    </row>
    <row r="7" spans="1:23" x14ac:dyDescent="0.25">
      <c r="A7">
        <v>2005</v>
      </c>
      <c r="B7" s="10">
        <v>1750815.2</v>
      </c>
      <c r="C7" s="10">
        <v>1043805.1</v>
      </c>
      <c r="D7" s="10">
        <v>134625.60000000001</v>
      </c>
      <c r="E7" s="10">
        <v>393500.5</v>
      </c>
      <c r="F7" s="10">
        <v>33508.300000000003</v>
      </c>
      <c r="G7" s="10">
        <v>793612.9</v>
      </c>
      <c r="H7" s="10">
        <v>639701.9</v>
      </c>
      <c r="I7" s="10">
        <v>2774281.1</v>
      </c>
      <c r="J7">
        <v>158.46</v>
      </c>
      <c r="K7">
        <v>2005</v>
      </c>
      <c r="L7">
        <f t="shared" si="0"/>
        <v>1750815200000000</v>
      </c>
      <c r="N7" s="3">
        <v>2005</v>
      </c>
      <c r="O7" s="11">
        <f t="shared" si="1"/>
        <v>1750815.2</v>
      </c>
      <c r="P7" s="9">
        <f t="shared" si="2"/>
        <v>2774281.1</v>
      </c>
      <c r="Q7" s="40">
        <f t="shared" si="3"/>
        <v>158.46</v>
      </c>
      <c r="R7" s="41">
        <f t="shared" si="4"/>
        <v>2774281100000000</v>
      </c>
      <c r="S7" s="44">
        <f t="shared" si="5"/>
        <v>2774281.1</v>
      </c>
      <c r="T7" s="1">
        <v>12676</v>
      </c>
      <c r="U7">
        <f t="shared" si="6"/>
        <v>12676000</v>
      </c>
      <c r="V7">
        <v>2005</v>
      </c>
      <c r="W7">
        <v>4.0999999999999996</v>
      </c>
    </row>
    <row r="8" spans="1:23" x14ac:dyDescent="0.25">
      <c r="A8">
        <v>2006</v>
      </c>
      <c r="B8" s="10">
        <v>1847126.7</v>
      </c>
      <c r="C8" s="10">
        <v>1076928.1000000001</v>
      </c>
      <c r="D8" s="10">
        <v>147563.70000000001</v>
      </c>
      <c r="E8" s="10">
        <v>403161.9</v>
      </c>
      <c r="F8" s="10">
        <v>29026.7</v>
      </c>
      <c r="G8" s="10">
        <v>868256.4</v>
      </c>
      <c r="H8" s="10">
        <v>694605.4</v>
      </c>
      <c r="I8" s="10">
        <v>3339479.6</v>
      </c>
      <c r="J8">
        <v>180.79</v>
      </c>
      <c r="K8">
        <v>2006</v>
      </c>
      <c r="L8">
        <f t="shared" si="0"/>
        <v>1847126700000000</v>
      </c>
      <c r="N8" s="3">
        <v>2006</v>
      </c>
      <c r="O8" s="11">
        <f t="shared" si="1"/>
        <v>1847126.7</v>
      </c>
      <c r="P8" s="9">
        <f t="shared" si="2"/>
        <v>3339479.6</v>
      </c>
      <c r="Q8" s="40">
        <f t="shared" si="3"/>
        <v>180.79</v>
      </c>
      <c r="R8" s="41">
        <f t="shared" si="4"/>
        <v>3339479600000000</v>
      </c>
      <c r="S8" s="44">
        <f t="shared" si="5"/>
        <v>3339479.6</v>
      </c>
      <c r="T8" s="1">
        <v>15030</v>
      </c>
      <c r="U8">
        <f t="shared" si="6"/>
        <v>15030000</v>
      </c>
      <c r="V8">
        <v>2006</v>
      </c>
      <c r="W8">
        <v>4.05</v>
      </c>
    </row>
    <row r="9" spans="1:23" x14ac:dyDescent="0.25">
      <c r="A9">
        <v>2007</v>
      </c>
      <c r="B9" s="10">
        <v>1964327.3</v>
      </c>
      <c r="C9" s="10">
        <v>1130847.1000000001</v>
      </c>
      <c r="D9" s="10">
        <v>153309.6</v>
      </c>
      <c r="E9" s="10">
        <v>441361.5</v>
      </c>
      <c r="F9">
        <v>-243.1</v>
      </c>
      <c r="G9" s="10">
        <v>942431.4</v>
      </c>
      <c r="H9" s="10">
        <v>757566.2</v>
      </c>
      <c r="I9" s="10">
        <v>3950893.2</v>
      </c>
      <c r="J9">
        <v>201.13</v>
      </c>
      <c r="K9">
        <v>2007</v>
      </c>
      <c r="L9">
        <f t="shared" si="0"/>
        <v>1964327300000000</v>
      </c>
      <c r="N9" s="3">
        <v>2007</v>
      </c>
      <c r="O9" s="11">
        <f t="shared" si="1"/>
        <v>1964327.3</v>
      </c>
      <c r="P9" s="9">
        <f t="shared" si="2"/>
        <v>3950893.2</v>
      </c>
      <c r="Q9" s="40">
        <f t="shared" si="3"/>
        <v>201.13</v>
      </c>
      <c r="R9" s="41">
        <f t="shared" si="4"/>
        <v>3950893200000000</v>
      </c>
      <c r="S9" s="44">
        <f t="shared" si="5"/>
        <v>3950893.2</v>
      </c>
      <c r="T9" s="1">
        <v>17510</v>
      </c>
      <c r="U9">
        <f t="shared" si="6"/>
        <v>17510000</v>
      </c>
      <c r="V9">
        <v>2007</v>
      </c>
      <c r="W9">
        <v>4.24</v>
      </c>
    </row>
    <row r="10" spans="1:23" x14ac:dyDescent="0.25">
      <c r="A10">
        <v>2008</v>
      </c>
      <c r="B10" s="10">
        <v>2082315.9</v>
      </c>
      <c r="C10" s="10">
        <v>1191190.8</v>
      </c>
      <c r="D10" s="10">
        <v>169297.2</v>
      </c>
      <c r="E10" s="10">
        <v>493716.5</v>
      </c>
      <c r="F10" s="10">
        <v>2170.4</v>
      </c>
      <c r="G10" s="10">
        <v>1032277.8</v>
      </c>
      <c r="H10" s="10">
        <v>833342.2</v>
      </c>
      <c r="I10" s="10">
        <v>4951356.7</v>
      </c>
      <c r="J10">
        <v>237.78</v>
      </c>
      <c r="K10">
        <v>2008</v>
      </c>
      <c r="L10">
        <f t="shared" si="0"/>
        <v>2082315900000000</v>
      </c>
      <c r="N10" s="3">
        <v>2008</v>
      </c>
      <c r="O10" s="11">
        <f t="shared" si="1"/>
        <v>2082315.9</v>
      </c>
      <c r="P10" s="9">
        <f t="shared" si="2"/>
        <v>4951356.7</v>
      </c>
      <c r="Q10" s="40">
        <f t="shared" si="3"/>
        <v>237.78</v>
      </c>
      <c r="R10" s="41">
        <f t="shared" si="4"/>
        <v>4951356700000000</v>
      </c>
      <c r="S10" s="44">
        <f t="shared" si="5"/>
        <v>4951356.7</v>
      </c>
      <c r="T10" s="1">
        <v>21365</v>
      </c>
      <c r="U10">
        <f t="shared" si="6"/>
        <v>21365000</v>
      </c>
      <c r="V10">
        <v>2008</v>
      </c>
      <c r="W10">
        <v>4.2300000000000004</v>
      </c>
    </row>
    <row r="11" spans="1:23" x14ac:dyDescent="0.25">
      <c r="A11">
        <v>2009</v>
      </c>
      <c r="B11" s="10">
        <v>2178850.2999999998</v>
      </c>
      <c r="C11" s="10">
        <v>1249070.1000000001</v>
      </c>
      <c r="D11" s="10">
        <v>195834.4</v>
      </c>
      <c r="E11" s="10">
        <v>510085.9</v>
      </c>
      <c r="F11" s="10">
        <v>-2065.1999999999998</v>
      </c>
      <c r="G11" s="10">
        <v>932248.6</v>
      </c>
      <c r="H11" s="10">
        <v>708528.8</v>
      </c>
      <c r="I11" s="10">
        <v>5606203.4000000004</v>
      </c>
      <c r="J11">
        <v>257.3</v>
      </c>
      <c r="K11">
        <v>2009</v>
      </c>
      <c r="L11">
        <f t="shared" si="0"/>
        <v>2178850299999999.8</v>
      </c>
      <c r="N11" s="3">
        <v>2009</v>
      </c>
      <c r="O11" s="11">
        <f t="shared" si="1"/>
        <v>2178850.2999999998</v>
      </c>
      <c r="P11" s="9">
        <f t="shared" si="2"/>
        <v>5606203.4000000004</v>
      </c>
      <c r="Q11" s="40">
        <f t="shared" si="3"/>
        <v>257.3</v>
      </c>
      <c r="R11" s="41">
        <f t="shared" si="4"/>
        <v>5606203400000000</v>
      </c>
      <c r="S11" s="44">
        <f t="shared" si="5"/>
        <v>5606203.4000000004</v>
      </c>
      <c r="T11" s="1">
        <v>26485</v>
      </c>
      <c r="U11">
        <f t="shared" si="6"/>
        <v>26485000</v>
      </c>
      <c r="V11">
        <v>2009</v>
      </c>
      <c r="W11">
        <v>4.3</v>
      </c>
    </row>
    <row r="12" spans="1:23" x14ac:dyDescent="0.25">
      <c r="A12">
        <v>2010</v>
      </c>
      <c r="B12" s="10">
        <v>2314458.7999999998</v>
      </c>
      <c r="C12" s="10">
        <v>1308272.8</v>
      </c>
      <c r="D12" s="10">
        <v>196468.8</v>
      </c>
      <c r="E12" s="10">
        <v>553347.69999999995</v>
      </c>
      <c r="F12">
        <v>-604.4</v>
      </c>
      <c r="G12" s="10">
        <v>1074568.7</v>
      </c>
      <c r="H12" s="10">
        <v>831418.3</v>
      </c>
      <c r="I12" s="10">
        <v>6446851.9000000004</v>
      </c>
      <c r="J12">
        <v>278.55</v>
      </c>
      <c r="K12">
        <v>2010</v>
      </c>
      <c r="L12">
        <f t="shared" si="0"/>
        <v>2314458800000000</v>
      </c>
      <c r="N12" s="3">
        <v>2010</v>
      </c>
      <c r="O12" s="11">
        <f>P12/Q12*100</f>
        <v>2464237.3003051514</v>
      </c>
      <c r="P12" s="9">
        <f>I18</f>
        <v>6864133</v>
      </c>
      <c r="Q12" s="40">
        <f>J12</f>
        <v>278.55</v>
      </c>
      <c r="R12" s="41">
        <f t="shared" si="4"/>
        <v>6864133000000000</v>
      </c>
      <c r="S12" s="44">
        <f t="shared" si="5"/>
        <v>6864133</v>
      </c>
      <c r="T12" s="1">
        <v>27029</v>
      </c>
      <c r="U12">
        <f t="shared" si="6"/>
        <v>27029000</v>
      </c>
      <c r="V12">
        <v>2010</v>
      </c>
      <c r="W12">
        <v>4.51</v>
      </c>
    </row>
    <row r="13" spans="1:23" x14ac:dyDescent="0.25">
      <c r="A13">
        <v>2011</v>
      </c>
      <c r="B13" s="10">
        <v>2464676.5</v>
      </c>
      <c r="C13" s="10">
        <v>1369881.1</v>
      </c>
      <c r="D13" s="10">
        <v>202755.8</v>
      </c>
      <c r="E13" s="10">
        <v>601890.6</v>
      </c>
      <c r="F13" s="10">
        <v>9033.5</v>
      </c>
      <c r="G13" s="10">
        <v>1221229</v>
      </c>
      <c r="H13" s="10">
        <v>942297.3</v>
      </c>
      <c r="I13" s="10">
        <v>7422781.2000000002</v>
      </c>
      <c r="J13">
        <v>301.17</v>
      </c>
      <c r="K13">
        <v>2011</v>
      </c>
      <c r="L13">
        <f t="shared" si="0"/>
        <v>2464676500000000</v>
      </c>
      <c r="N13" s="3">
        <v>2011</v>
      </c>
      <c r="O13" s="11">
        <f t="shared" ref="O13:O20" si="7">P13/Q13*100</f>
        <v>2600433.6421290301</v>
      </c>
      <c r="P13" s="9">
        <f t="shared" ref="P13:P20" si="8">I19</f>
        <v>7831726</v>
      </c>
      <c r="Q13" s="40">
        <f>J13</f>
        <v>301.17</v>
      </c>
      <c r="R13" s="41">
        <f t="shared" si="4"/>
        <v>7831726000000000</v>
      </c>
      <c r="S13" s="44">
        <f t="shared" si="5"/>
        <v>7831726</v>
      </c>
      <c r="T13" s="1">
        <v>33461</v>
      </c>
      <c r="U13">
        <f t="shared" si="6"/>
        <v>33461000</v>
      </c>
      <c r="V13">
        <v>2011</v>
      </c>
      <c r="W13">
        <v>4.9800000000000004</v>
      </c>
    </row>
    <row r="14" spans="1:23" x14ac:dyDescent="0.25">
      <c r="A14">
        <v>2012</v>
      </c>
      <c r="B14" s="10">
        <v>2618139.2000000002</v>
      </c>
      <c r="C14" s="10">
        <v>1442193.2</v>
      </c>
      <c r="D14" s="10">
        <v>205289.7</v>
      </c>
      <c r="E14" s="10">
        <v>660942.30000000005</v>
      </c>
      <c r="F14" s="10">
        <v>53228.4</v>
      </c>
      <c r="G14" s="10">
        <v>1245781</v>
      </c>
      <c r="H14" s="10">
        <v>1004957.5</v>
      </c>
      <c r="I14" s="10">
        <v>8241864.2999999998</v>
      </c>
      <c r="J14">
        <v>314.8</v>
      </c>
      <c r="K14">
        <v>2012</v>
      </c>
      <c r="L14">
        <f t="shared" si="0"/>
        <v>2618139200000000</v>
      </c>
      <c r="N14" s="3">
        <v>2012</v>
      </c>
      <c r="O14" s="11">
        <f t="shared" si="7"/>
        <v>2736881.829733164</v>
      </c>
      <c r="P14" s="9">
        <f t="shared" si="8"/>
        <v>8615704</v>
      </c>
      <c r="Q14" s="40">
        <f>J14</f>
        <v>314.8</v>
      </c>
      <c r="R14" s="41">
        <f t="shared" si="4"/>
        <v>8615704000000000</v>
      </c>
      <c r="S14" s="44">
        <f t="shared" si="5"/>
        <v>8615704</v>
      </c>
      <c r="T14" s="1">
        <v>33582</v>
      </c>
      <c r="U14">
        <f t="shared" si="6"/>
        <v>33582000</v>
      </c>
      <c r="V14">
        <v>2012</v>
      </c>
      <c r="W14">
        <v>5.0599999999999996</v>
      </c>
    </row>
    <row r="15" spans="1:23" x14ac:dyDescent="0.25">
      <c r="A15">
        <v>2013</v>
      </c>
      <c r="B15" s="10">
        <v>2770345.1</v>
      </c>
      <c r="C15" s="10">
        <v>1518393.4</v>
      </c>
      <c r="D15" s="10">
        <v>215393.1</v>
      </c>
      <c r="E15" s="10">
        <v>688559.8</v>
      </c>
      <c r="F15" s="10">
        <v>53767.6</v>
      </c>
      <c r="G15" s="10">
        <v>1311759.6000000001</v>
      </c>
      <c r="H15" s="10">
        <v>1017190.8</v>
      </c>
      <c r="I15" s="10">
        <v>8077565.2000000002</v>
      </c>
      <c r="J15">
        <v>291.57</v>
      </c>
      <c r="K15">
        <v>2013</v>
      </c>
      <c r="L15">
        <f t="shared" si="0"/>
        <v>2770345100000000</v>
      </c>
      <c r="N15" s="3">
        <v>2013</v>
      </c>
      <c r="O15" s="11">
        <f t="shared" si="7"/>
        <v>3274045.3407415031</v>
      </c>
      <c r="P15" s="9">
        <f t="shared" si="8"/>
        <v>9546134</v>
      </c>
      <c r="Q15" s="40">
        <f>J15</f>
        <v>291.57</v>
      </c>
      <c r="R15" s="41">
        <f t="shared" si="4"/>
        <v>9546134000000000</v>
      </c>
      <c r="S15" s="44">
        <f t="shared" si="5"/>
        <v>9546134</v>
      </c>
      <c r="T15" s="1">
        <v>32464</v>
      </c>
      <c r="U15">
        <f t="shared" si="6"/>
        <v>32464000</v>
      </c>
      <c r="V15">
        <v>2013</v>
      </c>
      <c r="W15">
        <v>4.91</v>
      </c>
    </row>
    <row r="16" spans="1:23" x14ac:dyDescent="0.25">
      <c r="A16">
        <v>2014</v>
      </c>
      <c r="B16" s="10">
        <v>2909181.5</v>
      </c>
      <c r="C16" s="10">
        <v>1601234.6</v>
      </c>
      <c r="D16" s="10">
        <v>219876.4</v>
      </c>
      <c r="E16" s="10">
        <v>719046.9</v>
      </c>
      <c r="F16" s="10">
        <v>63354.1</v>
      </c>
      <c r="G16" s="10">
        <v>1295554.1000000001</v>
      </c>
      <c r="H16" s="10">
        <v>986938</v>
      </c>
      <c r="I16" s="10">
        <v>8971090.8000000007</v>
      </c>
      <c r="J16">
        <v>308.37</v>
      </c>
      <c r="K16">
        <v>2014</v>
      </c>
      <c r="L16">
        <f t="shared" si="0"/>
        <v>2909181500000000</v>
      </c>
      <c r="N16" s="3">
        <v>2014</v>
      </c>
      <c r="O16" s="11">
        <f t="shared" si="7"/>
        <v>3427604.825372118</v>
      </c>
      <c r="P16" s="9">
        <f t="shared" si="8"/>
        <v>10569705</v>
      </c>
      <c r="Q16" s="40">
        <f>J16</f>
        <v>308.37</v>
      </c>
      <c r="R16" s="41">
        <f t="shared" si="4"/>
        <v>1.0569705E+16</v>
      </c>
      <c r="S16" s="44">
        <f t="shared" si="5"/>
        <v>10569705</v>
      </c>
      <c r="T16" s="1">
        <v>41916</v>
      </c>
      <c r="U16">
        <f t="shared" si="6"/>
        <v>41916000</v>
      </c>
      <c r="V16">
        <v>2014</v>
      </c>
      <c r="W16">
        <v>4.92</v>
      </c>
    </row>
    <row r="17" spans="1:24" x14ac:dyDescent="0.25">
      <c r="B17" t="s">
        <v>143</v>
      </c>
      <c r="I17" t="s">
        <v>124</v>
      </c>
      <c r="J17" t="s">
        <v>125</v>
      </c>
      <c r="N17" s="3">
        <v>2015</v>
      </c>
      <c r="O17" s="11">
        <f t="shared" si="7"/>
        <v>3232793.9889606889</v>
      </c>
      <c r="P17" s="9">
        <f t="shared" si="8"/>
        <v>11526333</v>
      </c>
      <c r="Q17" s="40">
        <f t="shared" ref="Q17:Q18" si="9">J23*$J$12/$J$18</f>
        <v>356.54400000000004</v>
      </c>
      <c r="R17" s="41">
        <f t="shared" si="4"/>
        <v>1.1526333E+16</v>
      </c>
      <c r="S17" s="44">
        <f t="shared" si="5"/>
        <v>11526333</v>
      </c>
      <c r="T17" s="1">
        <v>45120</v>
      </c>
      <c r="U17">
        <f t="shared" si="6"/>
        <v>45120000</v>
      </c>
      <c r="V17">
        <v>2015</v>
      </c>
      <c r="W17">
        <v>5.1100000000000003</v>
      </c>
    </row>
    <row r="18" spans="1:24" x14ac:dyDescent="0.25">
      <c r="A18" s="37">
        <v>2010</v>
      </c>
      <c r="B18" s="34">
        <v>6864133</v>
      </c>
      <c r="C18" s="1">
        <v>3786063</v>
      </c>
      <c r="D18" s="34">
        <v>618178</v>
      </c>
      <c r="E18" s="34">
        <v>2127841</v>
      </c>
      <c r="F18" s="34">
        <v>129095</v>
      </c>
      <c r="G18" s="34">
        <v>1667918</v>
      </c>
      <c r="H18" s="34">
        <v>1537720</v>
      </c>
      <c r="I18" s="38">
        <v>6864133</v>
      </c>
      <c r="J18" s="34">
        <v>100</v>
      </c>
      <c r="K18" s="37">
        <v>2010</v>
      </c>
      <c r="L18">
        <f t="shared" ref="L18:L26" si="10">B18*1000000000</f>
        <v>6864133000000000</v>
      </c>
      <c r="N18" s="3">
        <v>2016</v>
      </c>
      <c r="O18" s="11">
        <f t="shared" si="7"/>
        <v>3400043.0254274788</v>
      </c>
      <c r="P18" s="9">
        <f t="shared" si="8"/>
        <v>12406774</v>
      </c>
      <c r="Q18" s="40">
        <f t="shared" si="9"/>
        <v>364.90050000000002</v>
      </c>
      <c r="R18" s="41">
        <f t="shared" si="4"/>
        <v>1.2406774E+16</v>
      </c>
      <c r="S18" s="44">
        <f t="shared" si="5"/>
        <v>12406774</v>
      </c>
      <c r="T18" s="1">
        <v>47957</v>
      </c>
      <c r="U18">
        <f t="shared" si="6"/>
        <v>47957000</v>
      </c>
      <c r="V18">
        <v>2016</v>
      </c>
      <c r="W18">
        <v>4.93</v>
      </c>
    </row>
    <row r="19" spans="1:24" x14ac:dyDescent="0.25">
      <c r="A19" s="35">
        <v>2011</v>
      </c>
      <c r="B19" s="34">
        <v>7287635</v>
      </c>
      <c r="C19" s="34">
        <v>3977289</v>
      </c>
      <c r="D19" s="34">
        <v>652292</v>
      </c>
      <c r="E19" s="34">
        <v>2316359</v>
      </c>
      <c r="F19" s="34">
        <v>118207</v>
      </c>
      <c r="G19" s="34">
        <v>1914268</v>
      </c>
      <c r="H19" s="34">
        <v>1768822</v>
      </c>
      <c r="I19" s="38">
        <v>7831726</v>
      </c>
      <c r="J19" s="34">
        <v>107</v>
      </c>
      <c r="K19" s="35">
        <v>2011</v>
      </c>
      <c r="L19">
        <f t="shared" si="10"/>
        <v>7287635000000000</v>
      </c>
      <c r="N19" s="3">
        <v>2017</v>
      </c>
      <c r="O19" s="11">
        <f t="shared" si="7"/>
        <v>3560464.4489778271</v>
      </c>
      <c r="P19" s="9">
        <f t="shared" si="8"/>
        <v>13587213</v>
      </c>
      <c r="Q19" s="40">
        <f>J25*$J$12/$J$18</f>
        <v>381.61349999999999</v>
      </c>
      <c r="R19" s="41">
        <f t="shared" si="4"/>
        <v>1.3587213E+16</v>
      </c>
      <c r="S19" s="44">
        <f t="shared" si="5"/>
        <v>13587213</v>
      </c>
      <c r="T19" s="1">
        <v>51887</v>
      </c>
      <c r="U19">
        <f t="shared" si="6"/>
        <v>51887000</v>
      </c>
      <c r="V19">
        <v>2017</v>
      </c>
      <c r="W19">
        <v>5.0999999999999996</v>
      </c>
    </row>
    <row r="20" spans="1:24" x14ac:dyDescent="0.25">
      <c r="A20" s="37">
        <v>2012</v>
      </c>
      <c r="B20" s="34">
        <v>7727083</v>
      </c>
      <c r="C20" s="34">
        <v>4195788</v>
      </c>
      <c r="D20" s="34">
        <v>681819</v>
      </c>
      <c r="E20" s="34">
        <v>2527729</v>
      </c>
      <c r="F20" s="34">
        <v>174183</v>
      </c>
      <c r="G20" s="34">
        <v>1945064</v>
      </c>
      <c r="H20" s="34">
        <v>1910299</v>
      </c>
      <c r="I20" s="38">
        <v>8615704</v>
      </c>
      <c r="J20" s="34">
        <v>111</v>
      </c>
      <c r="K20" s="37">
        <v>2012</v>
      </c>
      <c r="L20">
        <f t="shared" si="10"/>
        <v>7727083000000000</v>
      </c>
      <c r="N20" s="3">
        <v>2018</v>
      </c>
      <c r="O20" s="11">
        <f t="shared" si="7"/>
        <v>3751155.2531848787</v>
      </c>
      <c r="P20" s="9">
        <f t="shared" si="8"/>
        <v>14837357</v>
      </c>
      <c r="Q20" s="40">
        <f>J26*$J$12/J18</f>
        <v>395.541</v>
      </c>
      <c r="R20" s="41">
        <f t="shared" si="4"/>
        <v>1.4837357E+16</v>
      </c>
      <c r="S20" s="44">
        <f t="shared" si="5"/>
        <v>14837357</v>
      </c>
      <c r="T20" s="1">
        <v>55987</v>
      </c>
      <c r="U20">
        <f t="shared" si="6"/>
        <v>55987000</v>
      </c>
      <c r="V20">
        <v>2018</v>
      </c>
      <c r="W20">
        <v>5.53</v>
      </c>
      <c r="X20">
        <f>W20/W2</f>
        <v>1.5665722379603402</v>
      </c>
    </row>
    <row r="21" spans="1:24" x14ac:dyDescent="0.25">
      <c r="A21" s="35">
        <v>2013</v>
      </c>
      <c r="B21" s="34">
        <v>8156498</v>
      </c>
      <c r="C21" s="34">
        <v>4423417</v>
      </c>
      <c r="D21" s="34">
        <v>727812</v>
      </c>
      <c r="E21" s="34">
        <v>2654375</v>
      </c>
      <c r="F21" s="34">
        <v>124454</v>
      </c>
      <c r="G21" s="34">
        <v>2026114</v>
      </c>
      <c r="H21" s="34">
        <v>1945867</v>
      </c>
      <c r="I21" s="38">
        <v>9546134</v>
      </c>
      <c r="J21" s="34">
        <v>117</v>
      </c>
      <c r="K21" s="35">
        <v>2013</v>
      </c>
      <c r="L21">
        <f t="shared" si="10"/>
        <v>8156498000000000</v>
      </c>
      <c r="N21" s="3">
        <v>2019</v>
      </c>
      <c r="O21" s="3"/>
      <c r="P21" s="3"/>
      <c r="Q21" s="3"/>
      <c r="R21" s="3"/>
      <c r="S21" s="13"/>
    </row>
    <row r="22" spans="1:24" x14ac:dyDescent="0.25">
      <c r="A22" s="37">
        <v>2014</v>
      </c>
      <c r="B22" s="34">
        <v>8564867</v>
      </c>
      <c r="C22" s="34">
        <v>4651018</v>
      </c>
      <c r="D22" s="34">
        <v>727812</v>
      </c>
      <c r="E22" s="34">
        <v>2772471</v>
      </c>
      <c r="F22" s="34">
        <v>163583</v>
      </c>
      <c r="G22" s="34">
        <v>2047887</v>
      </c>
      <c r="H22" s="34">
        <v>1987114</v>
      </c>
      <c r="I22" s="38">
        <v>10569705</v>
      </c>
      <c r="J22" s="34">
        <v>123</v>
      </c>
      <c r="K22" s="37">
        <v>2014</v>
      </c>
      <c r="L22">
        <f t="shared" si="10"/>
        <v>8564867000000000</v>
      </c>
      <c r="N22" s="3">
        <v>2020</v>
      </c>
      <c r="O22" s="3"/>
      <c r="P22" s="3"/>
      <c r="Q22" s="3"/>
      <c r="R22" s="3"/>
      <c r="S22" s="13"/>
    </row>
    <row r="23" spans="1:24" x14ac:dyDescent="0.25">
      <c r="A23" s="35">
        <v>2015</v>
      </c>
      <c r="B23" s="34">
        <v>8982517</v>
      </c>
      <c r="C23" s="34">
        <v>4881631</v>
      </c>
      <c r="D23" s="34">
        <v>775427</v>
      </c>
      <c r="E23" s="34">
        <v>2911356</v>
      </c>
      <c r="F23" s="34">
        <v>112848</v>
      </c>
      <c r="G23" s="34">
        <v>2004467</v>
      </c>
      <c r="H23" s="34">
        <v>1862939</v>
      </c>
      <c r="I23" s="38">
        <v>11526333</v>
      </c>
      <c r="J23" s="34">
        <v>128</v>
      </c>
      <c r="K23" s="35">
        <v>2015</v>
      </c>
      <c r="L23">
        <f t="shared" si="10"/>
        <v>8982517000000000</v>
      </c>
    </row>
    <row r="24" spans="1:24" x14ac:dyDescent="0.25">
      <c r="A24" s="37">
        <v>2016</v>
      </c>
      <c r="B24" s="34">
        <v>9434632</v>
      </c>
      <c r="C24" s="34">
        <v>5126028</v>
      </c>
      <c r="D24" s="34">
        <v>775427</v>
      </c>
      <c r="E24" s="34">
        <v>3041587</v>
      </c>
      <c r="F24" s="34">
        <v>133400</v>
      </c>
      <c r="G24" s="34">
        <v>1973040</v>
      </c>
      <c r="H24" s="34">
        <v>1817369</v>
      </c>
      <c r="I24" s="38">
        <v>12406774</v>
      </c>
      <c r="J24" s="34">
        <v>131</v>
      </c>
      <c r="K24" s="37">
        <v>2016</v>
      </c>
      <c r="L24">
        <f t="shared" si="10"/>
        <v>9434632000000000</v>
      </c>
    </row>
    <row r="25" spans="1:24" x14ac:dyDescent="0.25">
      <c r="A25" s="35">
        <v>2017</v>
      </c>
      <c r="B25" s="34">
        <v>9912704</v>
      </c>
      <c r="C25" s="34">
        <v>5379752</v>
      </c>
      <c r="D25" s="34">
        <v>790789</v>
      </c>
      <c r="E25" s="34">
        <v>3228763</v>
      </c>
      <c r="F25" s="34">
        <v>126884</v>
      </c>
      <c r="G25" s="34">
        <v>2146803</v>
      </c>
      <c r="H25" s="34">
        <v>1964602</v>
      </c>
      <c r="I25" s="38">
        <v>13587213</v>
      </c>
      <c r="J25" s="34">
        <v>137</v>
      </c>
      <c r="K25" s="35">
        <v>2017</v>
      </c>
      <c r="L25">
        <f t="shared" si="10"/>
        <v>9912704000000000</v>
      </c>
    </row>
    <row r="26" spans="1:24" x14ac:dyDescent="0.25">
      <c r="A26" s="37">
        <v>2018</v>
      </c>
      <c r="B26" s="34">
        <v>10425316</v>
      </c>
      <c r="C26" s="34">
        <v>5651230</v>
      </c>
      <c r="D26" s="34">
        <v>828714</v>
      </c>
      <c r="E26" s="34">
        <v>3444118</v>
      </c>
      <c r="F26" s="34">
        <v>197370</v>
      </c>
      <c r="G26" s="34">
        <v>2285872</v>
      </c>
      <c r="H26" s="34">
        <v>2201127</v>
      </c>
      <c r="I26" s="38">
        <v>14837357</v>
      </c>
      <c r="J26" s="34">
        <v>142</v>
      </c>
      <c r="K26" s="37">
        <v>2018</v>
      </c>
      <c r="L26">
        <f t="shared" si="10"/>
        <v>1.0425316E+16</v>
      </c>
    </row>
    <row r="27" spans="1:24" x14ac:dyDescent="0.25">
      <c r="A27" s="35">
        <v>2019</v>
      </c>
      <c r="K27" s="35">
        <v>2019</v>
      </c>
    </row>
    <row r="28" spans="1:24" x14ac:dyDescent="0.25">
      <c r="A28" s="37">
        <v>2020</v>
      </c>
      <c r="K28" s="37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92A-7101-4EED-AAE6-4C1B2B7BF9E8}">
  <dimension ref="A1:Q18"/>
  <sheetViews>
    <sheetView workbookViewId="0">
      <selection activeCell="E19" sqref="E19"/>
    </sheetView>
  </sheetViews>
  <sheetFormatPr defaultRowHeight="15" x14ac:dyDescent="0.25"/>
  <cols>
    <col min="2" max="2" width="22.28515625" bestFit="1" customWidth="1"/>
    <col min="3" max="3" width="20.42578125" customWidth="1"/>
    <col min="5" max="7" width="11.140625" bestFit="1" customWidth="1"/>
    <col min="8" max="8" width="12.5703125" customWidth="1"/>
    <col min="9" max="9" width="10.140625" bestFit="1" customWidth="1"/>
    <col min="10" max="10" width="11.140625" bestFit="1" customWidth="1"/>
    <col min="11" max="11" width="10.140625" bestFit="1" customWidth="1"/>
    <col min="12" max="12" width="26.7109375" bestFit="1" customWidth="1"/>
    <col min="13" max="13" width="37.5703125" bestFit="1" customWidth="1"/>
    <col min="16" max="16" width="12" bestFit="1" customWidth="1"/>
  </cols>
  <sheetData>
    <row r="1" spans="1:17" x14ac:dyDescent="0.25">
      <c r="B1" t="s">
        <v>126</v>
      </c>
    </row>
    <row r="2" spans="1:17" x14ac:dyDescent="0.25">
      <c r="A2" s="32">
        <v>2000</v>
      </c>
      <c r="B2" s="1">
        <v>777925086</v>
      </c>
      <c r="C2" s="1"/>
      <c r="N2" s="1"/>
      <c r="O2" s="32"/>
      <c r="Q2" s="32"/>
    </row>
    <row r="3" spans="1:17" x14ac:dyDescent="0.25">
      <c r="A3" s="32">
        <v>2001</v>
      </c>
      <c r="B3" s="1">
        <v>802325064</v>
      </c>
    </row>
    <row r="4" spans="1:17" x14ac:dyDescent="0.25">
      <c r="A4" s="32">
        <v>2002</v>
      </c>
      <c r="B4" s="1">
        <v>799925653</v>
      </c>
    </row>
    <row r="5" spans="1:17" x14ac:dyDescent="0.25">
      <c r="A5" s="32">
        <v>2003</v>
      </c>
      <c r="B5" s="1">
        <v>839747924</v>
      </c>
    </row>
    <row r="6" spans="1:17" x14ac:dyDescent="0.25">
      <c r="A6" s="32">
        <v>2004</v>
      </c>
      <c r="B6" s="1">
        <v>875261394</v>
      </c>
    </row>
    <row r="7" spans="1:17" x14ac:dyDescent="0.25">
      <c r="A7" s="32">
        <v>2005</v>
      </c>
      <c r="B7" s="1">
        <v>864600867</v>
      </c>
    </row>
    <row r="8" spans="1:17" x14ac:dyDescent="0.25">
      <c r="A8" s="32">
        <v>2006</v>
      </c>
      <c r="B8" s="1">
        <v>880152782</v>
      </c>
    </row>
    <row r="9" spans="1:17" x14ac:dyDescent="0.25">
      <c r="A9" s="32">
        <v>2007</v>
      </c>
      <c r="B9" s="1">
        <v>916720038</v>
      </c>
    </row>
    <row r="10" spans="1:17" x14ac:dyDescent="0.25">
      <c r="A10" s="32">
        <v>2008</v>
      </c>
      <c r="B10" s="1">
        <v>952594312</v>
      </c>
    </row>
    <row r="11" spans="1:17" x14ac:dyDescent="0.25">
      <c r="A11" s="32">
        <v>2009</v>
      </c>
      <c r="B11" s="1">
        <v>981341686</v>
      </c>
    </row>
    <row r="12" spans="1:17" x14ac:dyDescent="0.25">
      <c r="A12" s="32">
        <v>2010</v>
      </c>
      <c r="B12" s="1">
        <v>1067542087</v>
      </c>
    </row>
    <row r="13" spans="1:17" x14ac:dyDescent="0.25">
      <c r="A13" s="32">
        <v>2011</v>
      </c>
      <c r="B13" s="1">
        <v>1116599274</v>
      </c>
    </row>
    <row r="14" spans="1:17" x14ac:dyDescent="0.25">
      <c r="A14" s="32">
        <v>2012</v>
      </c>
      <c r="B14" s="1">
        <v>1204817077</v>
      </c>
    </row>
    <row r="15" spans="1:17" x14ac:dyDescent="0.25">
      <c r="A15" s="32">
        <v>2013</v>
      </c>
      <c r="B15" s="1">
        <v>1236725000</v>
      </c>
    </row>
    <row r="16" spans="1:17" x14ac:dyDescent="0.25">
      <c r="A16" s="32">
        <v>2014</v>
      </c>
      <c r="B16" s="1">
        <v>1292796273</v>
      </c>
    </row>
    <row r="18" spans="12:12" x14ac:dyDescent="0.25">
      <c r="L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5FF8-ECCE-4D21-A6A4-72D1DB9F2D45}">
  <dimension ref="A1:AN43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defaultRowHeight="15" x14ac:dyDescent="0.25"/>
  <cols>
    <col min="1" max="1" width="43" customWidth="1"/>
    <col min="2" max="2" width="22.42578125" customWidth="1"/>
    <col min="3" max="4" width="11.140625" bestFit="1" customWidth="1"/>
    <col min="5" max="5" width="12.42578125" bestFit="1" customWidth="1"/>
    <col min="6" max="6" width="11.5703125" bestFit="1" customWidth="1"/>
    <col min="7" max="7" width="12" bestFit="1" customWidth="1"/>
    <col min="8" max="8" width="14.7109375" bestFit="1" customWidth="1"/>
    <col min="9" max="11" width="10.140625" customWidth="1"/>
    <col min="12" max="12" width="23.140625" bestFit="1" customWidth="1"/>
    <col min="13" max="13" width="10.140625" customWidth="1"/>
    <col min="14" max="14" width="26.7109375" bestFit="1" customWidth="1"/>
    <col min="15" max="15" width="42.28515625" bestFit="1" customWidth="1"/>
    <col min="16" max="16" width="45" bestFit="1" customWidth="1"/>
    <col min="17" max="20" width="11.140625" bestFit="1" customWidth="1"/>
    <col min="26" max="26" width="41.42578125" customWidth="1"/>
  </cols>
  <sheetData>
    <row r="1" spans="1:40" ht="52.5" customHeight="1" x14ac:dyDescent="0.25">
      <c r="A1" s="64" t="s">
        <v>221</v>
      </c>
      <c r="B1" s="36" t="s">
        <v>130</v>
      </c>
      <c r="C1" s="36" t="s">
        <v>92</v>
      </c>
      <c r="D1" s="36" t="s">
        <v>93</v>
      </c>
      <c r="E1" s="36" t="s">
        <v>131</v>
      </c>
      <c r="F1" s="36" t="s">
        <v>63</v>
      </c>
      <c r="G1" s="36" t="s">
        <v>1</v>
      </c>
      <c r="H1" s="36" t="s">
        <v>132</v>
      </c>
      <c r="I1" s="36" t="s">
        <v>66</v>
      </c>
      <c r="J1" s="36" t="s">
        <v>139</v>
      </c>
      <c r="K1" s="36" t="s">
        <v>140</v>
      </c>
      <c r="L1" s="36" t="s">
        <v>141</v>
      </c>
      <c r="M1" s="36" t="s">
        <v>24</v>
      </c>
      <c r="N1" s="36" t="s">
        <v>127</v>
      </c>
      <c r="O1" s="35" t="s">
        <v>152</v>
      </c>
      <c r="P1" s="35" t="s">
        <v>153</v>
      </c>
      <c r="Q1" s="35" t="s">
        <v>2</v>
      </c>
      <c r="R1" s="35" t="s">
        <v>92</v>
      </c>
      <c r="S1" s="35" t="s">
        <v>135</v>
      </c>
      <c r="T1" s="35" t="s">
        <v>136</v>
      </c>
      <c r="U1" s="36" t="s">
        <v>133</v>
      </c>
      <c r="V1" s="36" t="s">
        <v>134</v>
      </c>
      <c r="W1" s="36" t="s">
        <v>137</v>
      </c>
      <c r="X1" s="36" t="s">
        <v>138</v>
      </c>
      <c r="Y1" s="35"/>
      <c r="Z1" s="52" t="s">
        <v>220</v>
      </c>
      <c r="AA1" t="s">
        <v>176</v>
      </c>
      <c r="AB1" t="s">
        <v>175</v>
      </c>
      <c r="AC1" t="s">
        <v>177</v>
      </c>
      <c r="AD1" t="s">
        <v>136</v>
      </c>
      <c r="AE1" t="s">
        <v>20</v>
      </c>
      <c r="AF1" t="s">
        <v>21</v>
      </c>
      <c r="AG1" t="s">
        <v>2</v>
      </c>
      <c r="AH1" t="s">
        <v>4</v>
      </c>
      <c r="AI1" t="s">
        <v>136</v>
      </c>
      <c r="AJ1" t="s">
        <v>20</v>
      </c>
      <c r="AK1" t="s">
        <v>171</v>
      </c>
      <c r="AL1" t="s">
        <v>63</v>
      </c>
      <c r="AM1" t="s">
        <v>1</v>
      </c>
      <c r="AN1" t="s">
        <v>132</v>
      </c>
    </row>
    <row r="2" spans="1:40" x14ac:dyDescent="0.25">
      <c r="A2" s="66">
        <v>2000</v>
      </c>
      <c r="B2" s="63">
        <v>93831548</v>
      </c>
      <c r="C2" s="63">
        <v>433360999</v>
      </c>
      <c r="D2" s="63">
        <v>164649922</v>
      </c>
      <c r="E2" s="63">
        <v>25248631</v>
      </c>
      <c r="F2" s="63">
        <v>9596400</v>
      </c>
      <c r="G2" s="63">
        <v>269054110</v>
      </c>
      <c r="H2" s="63">
        <v>0</v>
      </c>
      <c r="I2" s="63"/>
      <c r="J2" s="63"/>
      <c r="K2" s="63"/>
      <c r="L2" s="63"/>
      <c r="M2" s="63"/>
      <c r="N2" s="65">
        <f>SUM(B2:M2)</f>
        <v>995741610</v>
      </c>
      <c r="O2" s="33">
        <f>N2/'Macro dari HEESI'!O2</f>
        <v>716.47926999159495</v>
      </c>
      <c r="P2" s="33">
        <f>N2/'Macro dari HEESI'!P2</f>
        <v>716.47947620681668</v>
      </c>
      <c r="Q2" s="33">
        <f>B2</f>
        <v>93831548</v>
      </c>
      <c r="R2" s="33">
        <f>C2</f>
        <v>433360999</v>
      </c>
      <c r="S2" s="33">
        <f>D2</f>
        <v>164649922</v>
      </c>
      <c r="T2" s="33">
        <f t="shared" ref="T2:T20" si="0">SUM(E2:M2)</f>
        <v>303899141</v>
      </c>
      <c r="U2" s="36">
        <f>Q2/$N2</f>
        <v>9.423282813299326E-2</v>
      </c>
      <c r="V2" s="36">
        <f t="shared" ref="V2:X2" si="1">R2/$N2</f>
        <v>0.43521431127097321</v>
      </c>
      <c r="W2" s="36">
        <f t="shared" si="1"/>
        <v>0.16535406409299297</v>
      </c>
      <c r="X2" s="36">
        <f t="shared" si="1"/>
        <v>0.3051987965030406</v>
      </c>
      <c r="Y2" s="35">
        <f>SUM(U2:X2)</f>
        <v>1</v>
      </c>
      <c r="Z2">
        <v>2000</v>
      </c>
      <c r="AA2">
        <f>AF2/100</f>
        <v>0.41739999999999999</v>
      </c>
      <c r="AB2">
        <f t="shared" ref="AB2:AE2" si="2">AG2/100</f>
        <v>9.4200000000000006E-2</v>
      </c>
      <c r="AC2">
        <f t="shared" si="2"/>
        <v>0.16539999999999999</v>
      </c>
      <c r="AD2">
        <f t="shared" si="2"/>
        <v>0.32299999999999995</v>
      </c>
      <c r="AE2">
        <f t="shared" si="2"/>
        <v>1</v>
      </c>
      <c r="AF2">
        <v>41.74</v>
      </c>
      <c r="AG2">
        <v>9.42</v>
      </c>
      <c r="AH2">
        <v>16.54</v>
      </c>
      <c r="AI2">
        <f t="shared" ref="AI2:AI16" si="3">SUM(AK2:AN2)</f>
        <v>32.299999999999997</v>
      </c>
      <c r="AJ2">
        <f>SUM(AF2:AI2)</f>
        <v>100</v>
      </c>
      <c r="AK2">
        <v>2.54</v>
      </c>
      <c r="AL2">
        <v>0.96</v>
      </c>
      <c r="AM2">
        <v>28.8</v>
      </c>
      <c r="AN2">
        <v>0</v>
      </c>
    </row>
    <row r="3" spans="1:40" x14ac:dyDescent="0.25">
      <c r="A3" s="36">
        <v>2001</v>
      </c>
      <c r="B3" s="63">
        <v>119125379</v>
      </c>
      <c r="C3" s="63">
        <v>441731352</v>
      </c>
      <c r="D3" s="63">
        <v>172083907</v>
      </c>
      <c r="E3" s="63">
        <v>29380607</v>
      </c>
      <c r="F3" s="63">
        <v>9960940</v>
      </c>
      <c r="G3" s="63">
        <v>268970034</v>
      </c>
      <c r="H3" s="36">
        <v>0</v>
      </c>
      <c r="I3" s="36"/>
      <c r="J3" s="36"/>
      <c r="K3" s="36"/>
      <c r="L3" s="36"/>
      <c r="M3" s="36"/>
      <c r="N3" s="65">
        <f t="shared" ref="N3:N20" si="4">SUM(B3:M3)</f>
        <v>1041252219</v>
      </c>
      <c r="O3" s="33">
        <f>N3/'Macro dari HEESI'!O3</f>
        <v>721.59621038228681</v>
      </c>
      <c r="P3" s="33">
        <f>N3/'Macro dari HEESI'!P3</f>
        <v>618.21782001275915</v>
      </c>
      <c r="Q3" s="33">
        <f t="shared" ref="Q3:Q20" si="5">B3</f>
        <v>119125379</v>
      </c>
      <c r="R3" s="33">
        <f t="shared" ref="R3:R20" si="6">C3</f>
        <v>441731352</v>
      </c>
      <c r="S3" s="33">
        <f t="shared" ref="S3:S20" si="7">D3</f>
        <v>172083907</v>
      </c>
      <c r="T3" s="33">
        <f t="shared" si="0"/>
        <v>308311581</v>
      </c>
      <c r="U3" s="36">
        <f t="shared" ref="U3:U16" si="8">Q3/$N3</f>
        <v>0.11440588248100531</v>
      </c>
      <c r="V3" s="36">
        <f t="shared" ref="V3:V16" si="9">R3/$N3</f>
        <v>0.42423088656102065</v>
      </c>
      <c r="W3" s="36">
        <f t="shared" ref="W3:W16" si="10">S3/$N3</f>
        <v>0.16526630518518012</v>
      </c>
      <c r="X3" s="36">
        <f t="shared" ref="X3:X16" si="11">T3/$N3</f>
        <v>0.29609692577279395</v>
      </c>
      <c r="Y3" s="35">
        <f t="shared" ref="Y3:Y16" si="12">SUM(U3:X3)</f>
        <v>1</v>
      </c>
      <c r="Z3">
        <v>2001</v>
      </c>
      <c r="AA3">
        <f t="shared" ref="AA3:AA16" si="13">AF3/100</f>
        <v>0.42420000000000002</v>
      </c>
      <c r="AB3">
        <f t="shared" ref="AB3:AB16" si="14">AG3/100</f>
        <v>0.1144</v>
      </c>
      <c r="AC3">
        <f t="shared" ref="AC3:AC16" si="15">AH3/100</f>
        <v>0.1653</v>
      </c>
      <c r="AD3">
        <f t="shared" ref="AD3:AD16" si="16">AI3/100</f>
        <v>0.29609999999999997</v>
      </c>
      <c r="AE3">
        <f t="shared" ref="AE3:AE16" si="17">AJ3/100</f>
        <v>1</v>
      </c>
      <c r="AF3">
        <v>42.42</v>
      </c>
      <c r="AG3">
        <v>11.44</v>
      </c>
      <c r="AH3">
        <v>16.53</v>
      </c>
      <c r="AI3">
        <f t="shared" si="3"/>
        <v>29.61</v>
      </c>
      <c r="AJ3">
        <f t="shared" ref="AJ3:AJ16" si="18">SUM(AF3:AI3)</f>
        <v>100</v>
      </c>
      <c r="AK3">
        <v>2.82</v>
      </c>
      <c r="AL3">
        <v>0.96</v>
      </c>
      <c r="AM3">
        <v>25.83</v>
      </c>
      <c r="AN3">
        <v>0</v>
      </c>
    </row>
    <row r="4" spans="1:40" x14ac:dyDescent="0.25">
      <c r="A4" s="36">
        <v>2002</v>
      </c>
      <c r="B4" s="63">
        <v>122879411</v>
      </c>
      <c r="C4" s="63">
        <v>452817870</v>
      </c>
      <c r="D4" s="63">
        <v>188822314</v>
      </c>
      <c r="E4" s="63">
        <v>25038179</v>
      </c>
      <c r="F4" s="63">
        <v>10248040</v>
      </c>
      <c r="G4" s="63">
        <v>270230078</v>
      </c>
      <c r="H4" s="36">
        <v>0</v>
      </c>
      <c r="I4" s="36"/>
      <c r="J4" s="36"/>
      <c r="K4" s="36"/>
      <c r="L4" s="36"/>
      <c r="M4" s="36"/>
      <c r="N4" s="65">
        <f t="shared" si="4"/>
        <v>1070035892</v>
      </c>
      <c r="O4" s="33">
        <f>N4/'Macro dari HEESI'!O4</f>
        <v>710.45651474738747</v>
      </c>
      <c r="P4" s="33">
        <f>N4/'Macro dari HEESI'!P4</f>
        <v>574.27704675000416</v>
      </c>
      <c r="Q4" s="33">
        <f t="shared" si="5"/>
        <v>122879411</v>
      </c>
      <c r="R4" s="33">
        <f t="shared" si="6"/>
        <v>452817870</v>
      </c>
      <c r="S4" s="33">
        <f t="shared" si="7"/>
        <v>188822314</v>
      </c>
      <c r="T4" s="33">
        <f t="shared" si="0"/>
        <v>305516297</v>
      </c>
      <c r="U4" s="36">
        <f t="shared" si="8"/>
        <v>0.11483671895372272</v>
      </c>
      <c r="V4" s="36">
        <f t="shared" si="9"/>
        <v>0.4231800759072108</v>
      </c>
      <c r="W4" s="36">
        <f t="shared" si="10"/>
        <v>0.17646353305688928</v>
      </c>
      <c r="X4" s="36">
        <f t="shared" si="11"/>
        <v>0.28551967208217721</v>
      </c>
      <c r="Y4" s="35">
        <f t="shared" si="12"/>
        <v>1</v>
      </c>
      <c r="Z4">
        <v>2002</v>
      </c>
      <c r="AA4">
        <f t="shared" si="13"/>
        <v>0.42320000000000002</v>
      </c>
      <c r="AB4">
        <f t="shared" si="14"/>
        <v>0.1148</v>
      </c>
      <c r="AC4">
        <f t="shared" si="15"/>
        <v>0.17649999999999999</v>
      </c>
      <c r="AD4">
        <f t="shared" si="16"/>
        <v>0.28550000000000003</v>
      </c>
      <c r="AE4">
        <f t="shared" si="17"/>
        <v>0.99999999999999989</v>
      </c>
      <c r="AF4">
        <v>42.32</v>
      </c>
      <c r="AG4">
        <v>11.48</v>
      </c>
      <c r="AH4">
        <v>17.649999999999999</v>
      </c>
      <c r="AI4">
        <f t="shared" si="3"/>
        <v>28.55</v>
      </c>
      <c r="AJ4">
        <f t="shared" si="18"/>
        <v>99.999999999999986</v>
      </c>
      <c r="AK4">
        <v>2.34</v>
      </c>
      <c r="AL4">
        <v>0.96</v>
      </c>
      <c r="AM4">
        <v>25.25</v>
      </c>
      <c r="AN4">
        <v>0</v>
      </c>
    </row>
    <row r="5" spans="1:40" x14ac:dyDescent="0.25">
      <c r="A5" s="36">
        <v>2003</v>
      </c>
      <c r="B5" s="63">
        <v>164950173</v>
      </c>
      <c r="C5" s="63">
        <v>456647707</v>
      </c>
      <c r="D5" s="63">
        <v>204142054</v>
      </c>
      <c r="E5" s="63">
        <v>22937538</v>
      </c>
      <c r="F5" s="63">
        <v>10375200</v>
      </c>
      <c r="G5" s="63">
        <v>272005374</v>
      </c>
      <c r="H5" s="36">
        <v>0</v>
      </c>
      <c r="I5" s="36"/>
      <c r="J5" s="36"/>
      <c r="K5" s="36"/>
      <c r="L5" s="36"/>
      <c r="M5" s="36"/>
      <c r="N5" s="65">
        <f t="shared" si="4"/>
        <v>1131058046</v>
      </c>
      <c r="O5" s="33">
        <f>N5/'Macro dari HEESI'!O5</f>
        <v>717.14343648023521</v>
      </c>
      <c r="P5" s="33">
        <f>N5/'Macro dari HEESI'!P5</f>
        <v>561.68858960628495</v>
      </c>
      <c r="Q5" s="33">
        <f t="shared" si="5"/>
        <v>164950173</v>
      </c>
      <c r="R5" s="33">
        <f t="shared" si="6"/>
        <v>456647707</v>
      </c>
      <c r="S5" s="33">
        <f t="shared" si="7"/>
        <v>204142054</v>
      </c>
      <c r="T5" s="33">
        <f t="shared" si="0"/>
        <v>305318112</v>
      </c>
      <c r="U5" s="36">
        <f t="shared" si="8"/>
        <v>0.14583705370679093</v>
      </c>
      <c r="V5" s="36">
        <f t="shared" si="9"/>
        <v>0.40373498832791116</v>
      </c>
      <c r="W5" s="36">
        <f t="shared" si="10"/>
        <v>0.18048769001904966</v>
      </c>
      <c r="X5" s="36">
        <f t="shared" si="11"/>
        <v>0.26994026794624826</v>
      </c>
      <c r="Y5" s="35">
        <f t="shared" si="12"/>
        <v>1</v>
      </c>
      <c r="Z5">
        <v>2003</v>
      </c>
      <c r="AA5">
        <f t="shared" si="13"/>
        <v>0.40369999999999995</v>
      </c>
      <c r="AB5">
        <f t="shared" si="14"/>
        <v>0.14580000000000001</v>
      </c>
      <c r="AC5">
        <f t="shared" si="15"/>
        <v>0.18049999999999999</v>
      </c>
      <c r="AD5">
        <f t="shared" si="16"/>
        <v>0.27</v>
      </c>
      <c r="AE5">
        <f t="shared" si="17"/>
        <v>1</v>
      </c>
      <c r="AF5">
        <v>40.369999999999997</v>
      </c>
      <c r="AG5">
        <v>14.58</v>
      </c>
      <c r="AH5">
        <v>18.05</v>
      </c>
      <c r="AI5">
        <f t="shared" si="3"/>
        <v>27</v>
      </c>
      <c r="AJ5">
        <f t="shared" si="18"/>
        <v>100</v>
      </c>
      <c r="AK5">
        <v>2.0299999999999998</v>
      </c>
      <c r="AL5">
        <v>0.92</v>
      </c>
      <c r="AM5">
        <v>24.05</v>
      </c>
      <c r="AN5">
        <v>0</v>
      </c>
    </row>
    <row r="6" spans="1:40" x14ac:dyDescent="0.25">
      <c r="A6" s="36">
        <v>2004</v>
      </c>
      <c r="B6" s="63">
        <v>151543284</v>
      </c>
      <c r="C6" s="63">
        <v>498117696</v>
      </c>
      <c r="D6" s="63">
        <v>187553776</v>
      </c>
      <c r="E6" s="63">
        <v>24385647</v>
      </c>
      <c r="F6" s="63">
        <v>11077000</v>
      </c>
      <c r="G6" s="63">
        <v>271806233</v>
      </c>
      <c r="H6" s="36">
        <v>0</v>
      </c>
      <c r="I6" s="36"/>
      <c r="J6" s="36"/>
      <c r="K6" s="36"/>
      <c r="L6" s="36"/>
      <c r="M6" s="36"/>
      <c r="N6" s="65">
        <f t="shared" si="4"/>
        <v>1144483636</v>
      </c>
      <c r="O6" s="33">
        <f>N6/'Macro dari HEESI'!O6</f>
        <v>690.89769328026136</v>
      </c>
      <c r="P6" s="33">
        <f>N6/'Macro dari HEESI'!P6</f>
        <v>498.50621793583502</v>
      </c>
      <c r="Q6" s="33">
        <f t="shared" si="5"/>
        <v>151543284</v>
      </c>
      <c r="R6" s="33">
        <f t="shared" si="6"/>
        <v>498117696</v>
      </c>
      <c r="S6" s="33">
        <f t="shared" si="7"/>
        <v>187553776</v>
      </c>
      <c r="T6" s="33">
        <f t="shared" si="0"/>
        <v>307268880</v>
      </c>
      <c r="U6" s="36">
        <f t="shared" si="8"/>
        <v>0.13241192729469484</v>
      </c>
      <c r="V6" s="36">
        <f t="shared" si="9"/>
        <v>0.43523356763835808</v>
      </c>
      <c r="W6" s="36">
        <f t="shared" si="10"/>
        <v>0.16387632824135898</v>
      </c>
      <c r="X6" s="36">
        <f t="shared" si="11"/>
        <v>0.26847817682558811</v>
      </c>
      <c r="Y6" s="35">
        <f t="shared" si="12"/>
        <v>1</v>
      </c>
      <c r="Z6">
        <v>2004</v>
      </c>
      <c r="AA6">
        <f t="shared" si="13"/>
        <v>0.43520000000000003</v>
      </c>
      <c r="AB6">
        <f t="shared" si="14"/>
        <v>0.13239999999999999</v>
      </c>
      <c r="AC6">
        <f t="shared" si="15"/>
        <v>0.16390000000000002</v>
      </c>
      <c r="AD6">
        <f t="shared" si="16"/>
        <v>0.26850000000000002</v>
      </c>
      <c r="AE6">
        <f t="shared" si="17"/>
        <v>1</v>
      </c>
      <c r="AF6">
        <v>43.52</v>
      </c>
      <c r="AG6">
        <v>13.24</v>
      </c>
      <c r="AH6">
        <v>16.39</v>
      </c>
      <c r="AI6">
        <f t="shared" si="3"/>
        <v>26.85</v>
      </c>
      <c r="AJ6">
        <f t="shared" si="18"/>
        <v>100</v>
      </c>
      <c r="AK6">
        <v>2.13</v>
      </c>
      <c r="AL6">
        <v>0.97</v>
      </c>
      <c r="AM6">
        <v>23.75</v>
      </c>
      <c r="AN6">
        <v>0</v>
      </c>
    </row>
    <row r="7" spans="1:40" x14ac:dyDescent="0.25">
      <c r="A7" s="36">
        <v>2005</v>
      </c>
      <c r="B7" s="63">
        <v>173673093</v>
      </c>
      <c r="C7" s="63">
        <v>493636985</v>
      </c>
      <c r="D7" s="63">
        <v>191189376</v>
      </c>
      <c r="E7" s="63">
        <v>27034841</v>
      </c>
      <c r="F7" s="63">
        <v>10910460</v>
      </c>
      <c r="G7" s="63">
        <v>270042895</v>
      </c>
      <c r="H7" s="36">
        <v>0</v>
      </c>
      <c r="I7" s="36"/>
      <c r="J7" s="36"/>
      <c r="K7" s="36"/>
      <c r="L7" s="36"/>
      <c r="M7" s="36"/>
      <c r="N7" s="65">
        <f t="shared" si="4"/>
        <v>1166487650</v>
      </c>
      <c r="O7" s="33">
        <f>N7/'Macro dari HEESI'!O7</f>
        <v>666.25401127429097</v>
      </c>
      <c r="P7" s="33">
        <f>N7/'Macro dari HEESI'!P7</f>
        <v>420.46483681844637</v>
      </c>
      <c r="Q7" s="33">
        <f t="shared" si="5"/>
        <v>173673093</v>
      </c>
      <c r="R7" s="33">
        <f t="shared" si="6"/>
        <v>493636985</v>
      </c>
      <c r="S7" s="33">
        <f t="shared" si="7"/>
        <v>191189376</v>
      </c>
      <c r="T7" s="33">
        <f t="shared" si="0"/>
        <v>307988196</v>
      </c>
      <c r="U7" s="36">
        <f t="shared" si="8"/>
        <v>0.14888549655883626</v>
      </c>
      <c r="V7" s="36">
        <f t="shared" si="9"/>
        <v>0.42318235002316568</v>
      </c>
      <c r="W7" s="36">
        <f t="shared" si="10"/>
        <v>0.16390175755396982</v>
      </c>
      <c r="X7" s="36">
        <f t="shared" si="11"/>
        <v>0.26403039586402821</v>
      </c>
      <c r="Y7" s="35">
        <f t="shared" si="12"/>
        <v>1</v>
      </c>
      <c r="Z7">
        <v>2005</v>
      </c>
      <c r="AA7">
        <f t="shared" si="13"/>
        <v>0.42320000000000002</v>
      </c>
      <c r="AB7">
        <f t="shared" si="14"/>
        <v>0.1489</v>
      </c>
      <c r="AC7">
        <f t="shared" si="15"/>
        <v>0.16390000000000002</v>
      </c>
      <c r="AD7">
        <f t="shared" si="16"/>
        <v>0.26409999999999995</v>
      </c>
      <c r="AE7">
        <f t="shared" si="17"/>
        <v>1.0001</v>
      </c>
      <c r="AF7">
        <v>42.32</v>
      </c>
      <c r="AG7">
        <v>14.89</v>
      </c>
      <c r="AH7">
        <v>16.39</v>
      </c>
      <c r="AI7">
        <f t="shared" si="3"/>
        <v>26.409999999999997</v>
      </c>
      <c r="AJ7">
        <f t="shared" si="18"/>
        <v>100.00999999999999</v>
      </c>
      <c r="AK7">
        <v>2.3199999999999998</v>
      </c>
      <c r="AL7">
        <v>0.94</v>
      </c>
      <c r="AM7">
        <v>23.15</v>
      </c>
      <c r="AN7">
        <v>0</v>
      </c>
    </row>
    <row r="8" spans="1:40" x14ac:dyDescent="0.25">
      <c r="A8" s="36">
        <v>2006</v>
      </c>
      <c r="B8" s="63">
        <v>205779290</v>
      </c>
      <c r="C8" s="63">
        <v>459929016</v>
      </c>
      <c r="D8" s="63">
        <v>196599386</v>
      </c>
      <c r="E8" s="63">
        <v>24256796</v>
      </c>
      <c r="F8" s="63">
        <v>11182742</v>
      </c>
      <c r="G8" s="63">
        <v>276335944</v>
      </c>
      <c r="H8" s="63">
        <v>0</v>
      </c>
      <c r="I8" s="63"/>
      <c r="J8" s="63"/>
      <c r="K8" s="63"/>
      <c r="L8" s="63"/>
      <c r="M8" s="63"/>
      <c r="N8" s="65">
        <f t="shared" si="4"/>
        <v>1174083174</v>
      </c>
      <c r="O8" s="33">
        <f>N8/'Macro dari HEESI'!O8</f>
        <v>635.62676777938407</v>
      </c>
      <c r="P8" s="33">
        <f>N8/'Macro dari HEESI'!P8</f>
        <v>351.57668697841422</v>
      </c>
      <c r="Q8" s="33">
        <f t="shared" si="5"/>
        <v>205779290</v>
      </c>
      <c r="R8" s="33">
        <f t="shared" si="6"/>
        <v>459929016</v>
      </c>
      <c r="S8" s="33">
        <f t="shared" si="7"/>
        <v>196599386</v>
      </c>
      <c r="T8" s="33">
        <f t="shared" si="0"/>
        <v>311775482</v>
      </c>
      <c r="U8" s="36">
        <f t="shared" si="8"/>
        <v>0.17526806835918424</v>
      </c>
      <c r="V8" s="36">
        <f t="shared" si="9"/>
        <v>0.39173461146969812</v>
      </c>
      <c r="W8" s="36">
        <f t="shared" si="10"/>
        <v>0.16744928328220807</v>
      </c>
      <c r="X8" s="36">
        <f t="shared" si="11"/>
        <v>0.26554803688890954</v>
      </c>
      <c r="Y8" s="35">
        <f t="shared" si="12"/>
        <v>1</v>
      </c>
      <c r="Z8">
        <v>2006</v>
      </c>
      <c r="AA8">
        <f t="shared" si="13"/>
        <v>0.39240000000000003</v>
      </c>
      <c r="AB8">
        <f t="shared" si="14"/>
        <v>0.17510000000000001</v>
      </c>
      <c r="AC8">
        <f t="shared" si="15"/>
        <v>0.16719999999999999</v>
      </c>
      <c r="AD8">
        <f t="shared" si="16"/>
        <v>0.26530000000000004</v>
      </c>
      <c r="AE8">
        <f t="shared" si="17"/>
        <v>1</v>
      </c>
      <c r="AF8">
        <v>39.24</v>
      </c>
      <c r="AG8">
        <v>17.510000000000002</v>
      </c>
      <c r="AH8">
        <v>16.72</v>
      </c>
      <c r="AI8">
        <f t="shared" si="3"/>
        <v>26.530000000000005</v>
      </c>
      <c r="AJ8">
        <f t="shared" si="18"/>
        <v>100</v>
      </c>
      <c r="AK8">
        <v>2.06</v>
      </c>
      <c r="AL8">
        <v>0.95</v>
      </c>
      <c r="AM8">
        <v>23.51</v>
      </c>
      <c r="AN8">
        <v>0.01</v>
      </c>
    </row>
    <row r="9" spans="1:40" x14ac:dyDescent="0.25">
      <c r="A9" s="36">
        <v>2007</v>
      </c>
      <c r="B9" s="63">
        <v>258174000</v>
      </c>
      <c r="C9" s="63">
        <v>470036057</v>
      </c>
      <c r="D9" s="63">
        <v>183623636</v>
      </c>
      <c r="E9" s="63">
        <v>28450964</v>
      </c>
      <c r="F9" s="63">
        <v>11421759</v>
      </c>
      <c r="G9" s="63">
        <v>275199938</v>
      </c>
      <c r="H9" s="63">
        <v>36043</v>
      </c>
      <c r="I9" s="63"/>
      <c r="J9" s="63"/>
      <c r="K9" s="63"/>
      <c r="L9" s="63"/>
      <c r="M9" s="63"/>
      <c r="N9" s="65">
        <f t="shared" si="4"/>
        <v>1226942397</v>
      </c>
      <c r="O9" s="33">
        <f>N9/'Macro dari HEESI'!O9</f>
        <v>624.61199668711015</v>
      </c>
      <c r="P9" s="33">
        <f>N9/'Macro dari HEESI'!P9</f>
        <v>310.54810517277457</v>
      </c>
      <c r="Q9" s="33">
        <f t="shared" si="5"/>
        <v>258174000</v>
      </c>
      <c r="R9" s="33">
        <f t="shared" si="6"/>
        <v>470036057</v>
      </c>
      <c r="S9" s="33">
        <f t="shared" si="7"/>
        <v>183623636</v>
      </c>
      <c r="T9" s="33">
        <f t="shared" si="0"/>
        <v>315108704</v>
      </c>
      <c r="U9" s="36">
        <f t="shared" si="8"/>
        <v>0.21042063639765152</v>
      </c>
      <c r="V9" s="36">
        <f t="shared" si="9"/>
        <v>0.38309545594747263</v>
      </c>
      <c r="W9" s="36">
        <f t="shared" si="10"/>
        <v>0.14965954102570636</v>
      </c>
      <c r="X9" s="36">
        <f t="shared" si="11"/>
        <v>0.25682436662916946</v>
      </c>
      <c r="Y9" s="35">
        <f t="shared" si="12"/>
        <v>1</v>
      </c>
      <c r="Z9">
        <v>2007</v>
      </c>
      <c r="AA9">
        <f t="shared" si="13"/>
        <v>0.38500000000000001</v>
      </c>
      <c r="AB9">
        <f t="shared" si="14"/>
        <v>0.2097</v>
      </c>
      <c r="AC9">
        <f t="shared" si="15"/>
        <v>0.1492</v>
      </c>
      <c r="AD9">
        <f t="shared" si="16"/>
        <v>0.25629999999999997</v>
      </c>
      <c r="AE9">
        <f t="shared" si="17"/>
        <v>1.0002</v>
      </c>
      <c r="AF9">
        <v>38.5</v>
      </c>
      <c r="AG9">
        <v>20.97</v>
      </c>
      <c r="AH9">
        <v>14.92</v>
      </c>
      <c r="AI9">
        <f t="shared" si="3"/>
        <v>25.63</v>
      </c>
      <c r="AJ9">
        <f t="shared" si="18"/>
        <v>100.02</v>
      </c>
      <c r="AK9">
        <v>2.31</v>
      </c>
      <c r="AL9">
        <v>0.93</v>
      </c>
      <c r="AM9">
        <v>22.37</v>
      </c>
      <c r="AN9">
        <v>0.02</v>
      </c>
    </row>
    <row r="10" spans="1:40" x14ac:dyDescent="0.25">
      <c r="A10" s="36">
        <v>2008</v>
      </c>
      <c r="B10" s="63">
        <v>224587657</v>
      </c>
      <c r="C10" s="63">
        <v>474496098</v>
      </c>
      <c r="D10" s="63">
        <v>236049566</v>
      </c>
      <c r="E10" s="63">
        <v>29060413</v>
      </c>
      <c r="F10" s="63">
        <v>13423610</v>
      </c>
      <c r="G10" s="63">
        <v>277981421</v>
      </c>
      <c r="H10" s="63">
        <v>60407</v>
      </c>
      <c r="I10" s="63"/>
      <c r="J10" s="63"/>
      <c r="K10" s="63"/>
      <c r="L10" s="63"/>
      <c r="M10" s="63"/>
      <c r="N10" s="65">
        <f t="shared" si="4"/>
        <v>1255659172</v>
      </c>
      <c r="O10" s="33">
        <f>N10/'Macro dari HEESI'!O10</f>
        <v>603.01089378417566</v>
      </c>
      <c r="P10" s="33">
        <f>N10/'Macro dari HEESI'!P10</f>
        <v>253.59901297355529</v>
      </c>
      <c r="Q10" s="33">
        <f t="shared" si="5"/>
        <v>224587657</v>
      </c>
      <c r="R10" s="33">
        <f t="shared" si="6"/>
        <v>474496098</v>
      </c>
      <c r="S10" s="33">
        <f t="shared" si="7"/>
        <v>236049566</v>
      </c>
      <c r="T10" s="33">
        <f t="shared" si="0"/>
        <v>320525851</v>
      </c>
      <c r="U10" s="36">
        <f t="shared" si="8"/>
        <v>0.17886036434734059</v>
      </c>
      <c r="V10" s="36">
        <f t="shared" si="9"/>
        <v>0.37788606062919755</v>
      </c>
      <c r="W10" s="36">
        <f t="shared" si="10"/>
        <v>0.18798856510084888</v>
      </c>
      <c r="X10" s="36">
        <f t="shared" si="11"/>
        <v>0.25526500992261297</v>
      </c>
      <c r="Y10" s="35">
        <f t="shared" si="12"/>
        <v>1</v>
      </c>
      <c r="Z10">
        <v>2008</v>
      </c>
      <c r="AA10">
        <f t="shared" si="13"/>
        <v>0.38079999999999997</v>
      </c>
      <c r="AB10">
        <f t="shared" si="14"/>
        <v>0.17800000000000002</v>
      </c>
      <c r="AC10">
        <f t="shared" si="15"/>
        <v>0.187</v>
      </c>
      <c r="AD10">
        <f t="shared" si="16"/>
        <v>0.25420000000000004</v>
      </c>
      <c r="AE10">
        <f t="shared" si="17"/>
        <v>1</v>
      </c>
      <c r="AF10">
        <v>38.08</v>
      </c>
      <c r="AG10">
        <v>17.8</v>
      </c>
      <c r="AH10">
        <v>18.7</v>
      </c>
      <c r="AI10">
        <f t="shared" si="3"/>
        <v>25.42</v>
      </c>
      <c r="AJ10">
        <f t="shared" si="18"/>
        <v>100</v>
      </c>
      <c r="AK10">
        <v>2.2999999999999998</v>
      </c>
      <c r="AL10">
        <v>1.06</v>
      </c>
      <c r="AM10">
        <v>22.03</v>
      </c>
      <c r="AN10">
        <v>0.03</v>
      </c>
    </row>
    <row r="11" spans="1:40" x14ac:dyDescent="0.25">
      <c r="A11" s="36">
        <v>2009</v>
      </c>
      <c r="B11" s="63">
        <v>236439000</v>
      </c>
      <c r="C11" s="63">
        <v>467883065</v>
      </c>
      <c r="D11" s="63">
        <v>251035250</v>
      </c>
      <c r="E11" s="63">
        <v>28662883</v>
      </c>
      <c r="F11" s="63">
        <v>14973198</v>
      </c>
      <c r="G11" s="63">
        <v>279313257</v>
      </c>
      <c r="H11" s="63">
        <v>771965</v>
      </c>
      <c r="I11" s="63"/>
      <c r="J11" s="63"/>
      <c r="K11" s="63"/>
      <c r="L11" s="63"/>
      <c r="M11" s="63"/>
      <c r="N11" s="65">
        <f t="shared" si="4"/>
        <v>1279078618</v>
      </c>
      <c r="O11" s="33">
        <f>N11/'Macro dari HEESI'!O11</f>
        <v>587.04290882214354</v>
      </c>
      <c r="P11" s="33">
        <f>N11/'Macro dari HEESI'!P11</f>
        <v>228.15415830256887</v>
      </c>
      <c r="Q11" s="33">
        <f t="shared" si="5"/>
        <v>236439000</v>
      </c>
      <c r="R11" s="33">
        <f t="shared" si="6"/>
        <v>467883065</v>
      </c>
      <c r="S11" s="33">
        <f t="shared" si="7"/>
        <v>251035250</v>
      </c>
      <c r="T11" s="33">
        <f t="shared" si="0"/>
        <v>323721303</v>
      </c>
      <c r="U11" s="36">
        <f t="shared" si="8"/>
        <v>0.18485103000916556</v>
      </c>
      <c r="V11" s="36">
        <f t="shared" si="9"/>
        <v>0.36579695603980461</v>
      </c>
      <c r="W11" s="36">
        <f t="shared" si="10"/>
        <v>0.1962625646831038</v>
      </c>
      <c r="X11" s="36">
        <f t="shared" si="11"/>
        <v>0.25308944926792609</v>
      </c>
      <c r="Y11" s="35">
        <f t="shared" si="12"/>
        <v>1</v>
      </c>
      <c r="Z11">
        <v>2009</v>
      </c>
      <c r="AA11">
        <f t="shared" si="13"/>
        <v>0.37280000000000002</v>
      </c>
      <c r="AB11">
        <f t="shared" si="14"/>
        <v>0.18179999999999999</v>
      </c>
      <c r="AC11">
        <f t="shared" si="15"/>
        <v>0.193</v>
      </c>
      <c r="AD11">
        <f t="shared" si="16"/>
        <v>0.25230000000000002</v>
      </c>
      <c r="AE11">
        <f t="shared" si="17"/>
        <v>0.99990000000000012</v>
      </c>
      <c r="AF11">
        <v>37.28</v>
      </c>
      <c r="AG11">
        <v>18.18</v>
      </c>
      <c r="AH11">
        <v>19.3</v>
      </c>
      <c r="AI11">
        <f t="shared" si="3"/>
        <v>25.23</v>
      </c>
      <c r="AJ11">
        <f t="shared" si="18"/>
        <v>99.990000000000009</v>
      </c>
      <c r="AK11">
        <v>2.2000000000000002</v>
      </c>
      <c r="AL11">
        <v>1.26</v>
      </c>
      <c r="AM11">
        <v>21.71</v>
      </c>
      <c r="AN11">
        <v>0.06</v>
      </c>
    </row>
    <row r="12" spans="1:40" x14ac:dyDescent="0.25">
      <c r="A12" s="36">
        <v>2010</v>
      </c>
      <c r="B12" s="63">
        <v>281400000</v>
      </c>
      <c r="C12" s="63">
        <v>518405561</v>
      </c>
      <c r="D12" s="63">
        <v>269942185</v>
      </c>
      <c r="E12" s="63">
        <v>43952237</v>
      </c>
      <c r="F12" s="63">
        <v>15266074</v>
      </c>
      <c r="G12" s="63">
        <v>273670429</v>
      </c>
      <c r="H12" s="63">
        <v>1446623</v>
      </c>
      <c r="I12" s="63"/>
      <c r="J12" s="63"/>
      <c r="K12" s="63"/>
      <c r="L12" s="63"/>
      <c r="M12" s="63"/>
      <c r="N12" s="65">
        <f t="shared" si="4"/>
        <v>1404083109</v>
      </c>
      <c r="O12" s="33">
        <f>N12/'Macro dari HEESI'!O12</f>
        <v>569.78404994767732</v>
      </c>
      <c r="P12" s="33">
        <f>N12/'Macro dari HEESI'!P12</f>
        <v>204.55359897601051</v>
      </c>
      <c r="Q12" s="33">
        <f t="shared" si="5"/>
        <v>281400000</v>
      </c>
      <c r="R12" s="33">
        <f t="shared" si="6"/>
        <v>518405561</v>
      </c>
      <c r="S12" s="33">
        <f t="shared" si="7"/>
        <v>269942185</v>
      </c>
      <c r="T12" s="33">
        <f t="shared" si="0"/>
        <v>334335363</v>
      </c>
      <c r="U12" s="36">
        <f t="shared" si="8"/>
        <v>0.20041548694394271</v>
      </c>
      <c r="V12" s="36">
        <f t="shared" si="9"/>
        <v>0.36921287470598008</v>
      </c>
      <c r="W12" s="36">
        <f t="shared" si="10"/>
        <v>0.19225513309696826</v>
      </c>
      <c r="X12" s="36">
        <f t="shared" si="11"/>
        <v>0.23811650525310893</v>
      </c>
      <c r="Y12" s="35">
        <f t="shared" si="12"/>
        <v>1</v>
      </c>
      <c r="Z12">
        <v>2010</v>
      </c>
      <c r="AA12">
        <f t="shared" si="13"/>
        <v>0.37569999999999998</v>
      </c>
      <c r="AB12">
        <f t="shared" si="14"/>
        <v>0.19839999999999999</v>
      </c>
      <c r="AC12">
        <f t="shared" si="15"/>
        <v>0.19030000000000002</v>
      </c>
      <c r="AD12">
        <f t="shared" si="16"/>
        <v>0.23569999999999999</v>
      </c>
      <c r="AE12">
        <f t="shared" si="17"/>
        <v>1.0001</v>
      </c>
      <c r="AF12">
        <v>37.57</v>
      </c>
      <c r="AG12">
        <v>19.84</v>
      </c>
      <c r="AH12">
        <v>19.03</v>
      </c>
      <c r="AI12">
        <f t="shared" si="3"/>
        <v>23.57</v>
      </c>
      <c r="AJ12">
        <f t="shared" si="18"/>
        <v>100.00999999999999</v>
      </c>
      <c r="AK12">
        <v>3.1</v>
      </c>
      <c r="AL12">
        <v>1.08</v>
      </c>
      <c r="AM12">
        <v>19.29</v>
      </c>
      <c r="AN12">
        <v>0.1</v>
      </c>
    </row>
    <row r="13" spans="1:40" x14ac:dyDescent="0.25">
      <c r="A13" s="36">
        <v>2011</v>
      </c>
      <c r="B13" s="63">
        <v>334142760</v>
      </c>
      <c r="C13" s="63">
        <v>546635311</v>
      </c>
      <c r="D13" s="63">
        <v>261708332</v>
      </c>
      <c r="E13" s="63">
        <v>31268976</v>
      </c>
      <c r="F13" s="63">
        <v>15119152</v>
      </c>
      <c r="G13" s="63">
        <v>283140897</v>
      </c>
      <c r="H13" s="63">
        <v>2328869</v>
      </c>
      <c r="I13" s="63"/>
      <c r="J13" s="63"/>
      <c r="K13" s="63"/>
      <c r="L13" s="63"/>
      <c r="M13" s="63"/>
      <c r="N13" s="65">
        <f t="shared" si="4"/>
        <v>1474344297</v>
      </c>
      <c r="O13" s="33">
        <f>N13/'Macro dari HEESI'!O13</f>
        <v>566.96093801990776</v>
      </c>
      <c r="P13" s="33">
        <f>N13/'Macro dari HEESI'!P13</f>
        <v>188.25279344553167</v>
      </c>
      <c r="Q13" s="33">
        <f t="shared" si="5"/>
        <v>334142760</v>
      </c>
      <c r="R13" s="33">
        <f t="shared" si="6"/>
        <v>546635311</v>
      </c>
      <c r="S13" s="33">
        <f t="shared" si="7"/>
        <v>261708332</v>
      </c>
      <c r="T13" s="33">
        <f t="shared" si="0"/>
        <v>331857894</v>
      </c>
      <c r="U13" s="36">
        <f t="shared" si="8"/>
        <v>0.22663821515769053</v>
      </c>
      <c r="V13" s="36">
        <f t="shared" si="9"/>
        <v>0.37076503236882669</v>
      </c>
      <c r="W13" s="36">
        <f t="shared" si="10"/>
        <v>0.17750828794368104</v>
      </c>
      <c r="X13" s="36">
        <f t="shared" si="11"/>
        <v>0.22508846452980175</v>
      </c>
      <c r="Y13" s="35">
        <f t="shared" si="12"/>
        <v>1</v>
      </c>
      <c r="Z13">
        <v>2011</v>
      </c>
      <c r="AA13">
        <f t="shared" si="13"/>
        <v>0.38909999999999995</v>
      </c>
      <c r="AB13">
        <f t="shared" si="14"/>
        <v>0.22</v>
      </c>
      <c r="AC13">
        <f t="shared" si="15"/>
        <v>0.17230000000000001</v>
      </c>
      <c r="AD13">
        <f t="shared" si="16"/>
        <v>0.21849999999999997</v>
      </c>
      <c r="AE13">
        <f t="shared" si="17"/>
        <v>0.9998999999999999</v>
      </c>
      <c r="AF13">
        <v>38.909999999999997</v>
      </c>
      <c r="AG13">
        <v>22</v>
      </c>
      <c r="AH13">
        <v>17.23</v>
      </c>
      <c r="AI13">
        <f t="shared" si="3"/>
        <v>21.849999999999998</v>
      </c>
      <c r="AJ13">
        <f t="shared" si="18"/>
        <v>99.99</v>
      </c>
      <c r="AK13">
        <v>2.06</v>
      </c>
      <c r="AL13">
        <v>1</v>
      </c>
      <c r="AM13">
        <v>18.64</v>
      </c>
      <c r="AN13">
        <v>0.15</v>
      </c>
    </row>
    <row r="14" spans="1:40" x14ac:dyDescent="0.25">
      <c r="A14" s="36">
        <v>2012</v>
      </c>
      <c r="B14" s="63">
        <v>377892961</v>
      </c>
      <c r="C14" s="63">
        <v>533830676</v>
      </c>
      <c r="D14" s="63">
        <v>259456414</v>
      </c>
      <c r="E14" s="63">
        <v>32226297</v>
      </c>
      <c r="F14" s="63">
        <v>15129340</v>
      </c>
      <c r="G14" s="63">
        <v>300838657</v>
      </c>
      <c r="H14" s="63">
        <v>4339870</v>
      </c>
      <c r="I14" s="63"/>
      <c r="J14" s="63"/>
      <c r="K14" s="63"/>
      <c r="L14" s="63"/>
      <c r="M14" s="63"/>
      <c r="N14" s="65">
        <f t="shared" si="4"/>
        <v>1523714215</v>
      </c>
      <c r="O14" s="33">
        <f>N14/'Macro dari HEESI'!O14</f>
        <v>556.733651576238</v>
      </c>
      <c r="P14" s="33">
        <f>N14/'Macro dari HEESI'!P14</f>
        <v>176.85312947148603</v>
      </c>
      <c r="Q14" s="33">
        <f t="shared" si="5"/>
        <v>377892961</v>
      </c>
      <c r="R14" s="33">
        <f t="shared" si="6"/>
        <v>533830676</v>
      </c>
      <c r="S14" s="33">
        <f t="shared" si="7"/>
        <v>259456414</v>
      </c>
      <c r="T14" s="33">
        <f t="shared" si="0"/>
        <v>352534164</v>
      </c>
      <c r="U14" s="36">
        <f t="shared" si="8"/>
        <v>0.24800776765083865</v>
      </c>
      <c r="V14" s="36">
        <f t="shared" si="9"/>
        <v>0.35034829415173502</v>
      </c>
      <c r="W14" s="36">
        <f t="shared" si="10"/>
        <v>0.1702789220221326</v>
      </c>
      <c r="X14" s="36">
        <f t="shared" si="11"/>
        <v>0.23136501617529373</v>
      </c>
      <c r="Y14" s="35">
        <f t="shared" si="12"/>
        <v>0.99999999999999989</v>
      </c>
      <c r="Z14">
        <v>2012</v>
      </c>
      <c r="AA14">
        <f t="shared" si="13"/>
        <v>0.37319999999999998</v>
      </c>
      <c r="AB14">
        <f t="shared" si="14"/>
        <v>0.23920000000000002</v>
      </c>
      <c r="AC14">
        <f t="shared" si="15"/>
        <v>0.1643</v>
      </c>
      <c r="AD14">
        <f t="shared" si="16"/>
        <v>0.22329999999999997</v>
      </c>
      <c r="AE14">
        <f t="shared" si="17"/>
        <v>1</v>
      </c>
      <c r="AF14">
        <v>37.32</v>
      </c>
      <c r="AG14">
        <v>23.92</v>
      </c>
      <c r="AH14">
        <v>16.43</v>
      </c>
      <c r="AI14">
        <f t="shared" si="3"/>
        <v>22.33</v>
      </c>
      <c r="AJ14">
        <f t="shared" si="18"/>
        <v>100</v>
      </c>
      <c r="AK14">
        <v>2.04</v>
      </c>
      <c r="AL14">
        <v>0.96</v>
      </c>
      <c r="AM14">
        <v>19.04</v>
      </c>
      <c r="AN14">
        <v>0.28999999999999998</v>
      </c>
    </row>
    <row r="15" spans="1:40" x14ac:dyDescent="0.25">
      <c r="A15" s="36">
        <v>2013</v>
      </c>
      <c r="B15" s="63">
        <v>410566607</v>
      </c>
      <c r="C15" s="63">
        <v>542950370</v>
      </c>
      <c r="D15" s="63">
        <v>232399957</v>
      </c>
      <c r="E15" s="63">
        <v>38494094</v>
      </c>
      <c r="F15" s="63">
        <v>10644873</v>
      </c>
      <c r="G15" s="63">
        <v>306232741</v>
      </c>
      <c r="H15" s="63">
        <v>6798481</v>
      </c>
      <c r="I15" s="63"/>
      <c r="J15" s="63"/>
      <c r="K15" s="63"/>
      <c r="L15" s="63"/>
      <c r="M15" s="63"/>
      <c r="N15" s="65">
        <f t="shared" si="4"/>
        <v>1548087123</v>
      </c>
      <c r="O15" s="33">
        <f>N15/'Macro dari HEESI'!O15</f>
        <v>472.83618944916338</v>
      </c>
      <c r="P15" s="33">
        <f>N15/'Macro dari HEESI'!P15</f>
        <v>162.16901239810798</v>
      </c>
      <c r="Q15" s="33">
        <f t="shared" si="5"/>
        <v>410566607</v>
      </c>
      <c r="R15" s="33">
        <f t="shared" si="6"/>
        <v>542950370</v>
      </c>
      <c r="S15" s="33">
        <f t="shared" si="7"/>
        <v>232399957</v>
      </c>
      <c r="T15" s="33">
        <f t="shared" si="0"/>
        <v>362170189</v>
      </c>
      <c r="U15" s="36">
        <f t="shared" si="8"/>
        <v>0.26520898010208432</v>
      </c>
      <c r="V15" s="36">
        <f t="shared" si="9"/>
        <v>0.35072339400887842</v>
      </c>
      <c r="W15" s="36">
        <f t="shared" si="10"/>
        <v>0.15012072224309819</v>
      </c>
      <c r="X15" s="36">
        <f t="shared" si="11"/>
        <v>0.23394690364593906</v>
      </c>
      <c r="Y15" s="35">
        <f t="shared" si="12"/>
        <v>1</v>
      </c>
      <c r="Z15">
        <v>2013</v>
      </c>
      <c r="AA15">
        <f t="shared" si="13"/>
        <v>0.3775</v>
      </c>
      <c r="AB15">
        <f t="shared" si="14"/>
        <v>0.25459999999999999</v>
      </c>
      <c r="AC15">
        <f t="shared" si="15"/>
        <v>0.14410000000000001</v>
      </c>
      <c r="AD15">
        <f t="shared" si="16"/>
        <v>0.22369999999999998</v>
      </c>
      <c r="AE15">
        <f t="shared" si="17"/>
        <v>0.99990000000000012</v>
      </c>
      <c r="AF15">
        <v>37.75</v>
      </c>
      <c r="AG15">
        <v>25.46</v>
      </c>
      <c r="AH15">
        <v>14.41</v>
      </c>
      <c r="AI15">
        <f t="shared" si="3"/>
        <v>22.369999999999997</v>
      </c>
      <c r="AJ15">
        <f t="shared" si="18"/>
        <v>99.990000000000009</v>
      </c>
      <c r="AK15">
        <v>2.39</v>
      </c>
      <c r="AL15">
        <v>0.66</v>
      </c>
      <c r="AM15">
        <v>18.989999999999998</v>
      </c>
      <c r="AN15">
        <v>0.33</v>
      </c>
    </row>
    <row r="16" spans="1:40" x14ac:dyDescent="0.25">
      <c r="A16" s="36">
        <v>2014</v>
      </c>
      <c r="B16" s="53">
        <v>497804744</v>
      </c>
      <c r="C16" s="63">
        <v>544795076</v>
      </c>
      <c r="D16" s="63">
        <v>271375371</v>
      </c>
      <c r="E16" s="63">
        <v>30139213</v>
      </c>
      <c r="F16" s="63">
        <v>16191566</v>
      </c>
      <c r="G16" s="63">
        <v>310162037</v>
      </c>
      <c r="H16" s="63">
        <v>11966513</v>
      </c>
      <c r="I16" s="63"/>
      <c r="J16" s="63"/>
      <c r="K16" s="63"/>
      <c r="L16" s="63"/>
      <c r="M16" s="63"/>
      <c r="N16" s="65">
        <f t="shared" si="4"/>
        <v>1682434520</v>
      </c>
      <c r="O16" s="33">
        <f>N16/'Macro dari HEESI'!O16</f>
        <v>490.84845124097598</v>
      </c>
      <c r="P16" s="33">
        <f>N16/'Macro dari HEESI'!P16</f>
        <v>159.17516335602554</v>
      </c>
      <c r="Q16" s="33">
        <f t="shared" si="5"/>
        <v>497804744</v>
      </c>
      <c r="R16" s="33">
        <f t="shared" si="6"/>
        <v>544795076</v>
      </c>
      <c r="S16" s="33">
        <f t="shared" si="7"/>
        <v>271375371</v>
      </c>
      <c r="T16" s="33">
        <f t="shared" si="0"/>
        <v>368459329</v>
      </c>
      <c r="U16" s="36">
        <f t="shared" si="8"/>
        <v>0.29588357709160651</v>
      </c>
      <c r="V16" s="36">
        <f t="shared" si="9"/>
        <v>0.32381353896614057</v>
      </c>
      <c r="W16" s="36">
        <f t="shared" si="10"/>
        <v>0.16129921716061793</v>
      </c>
      <c r="X16" s="36">
        <f t="shared" si="11"/>
        <v>0.21900366678163499</v>
      </c>
      <c r="Y16" s="35">
        <f t="shared" si="12"/>
        <v>1</v>
      </c>
      <c r="Z16">
        <v>2014</v>
      </c>
      <c r="AA16">
        <f t="shared" si="13"/>
        <v>0.35479999999999995</v>
      </c>
      <c r="AB16">
        <f t="shared" si="14"/>
        <v>0.28170000000000001</v>
      </c>
      <c r="AC16">
        <f t="shared" si="15"/>
        <v>0.15359999999999999</v>
      </c>
      <c r="AD16">
        <f t="shared" si="16"/>
        <v>0.21010000000000001</v>
      </c>
      <c r="AE16">
        <f t="shared" si="17"/>
        <v>1.0002</v>
      </c>
      <c r="AF16">
        <v>35.479999999999997</v>
      </c>
      <c r="AG16">
        <v>28.17</v>
      </c>
      <c r="AH16">
        <v>15.36</v>
      </c>
      <c r="AI16">
        <f t="shared" si="3"/>
        <v>21.01</v>
      </c>
      <c r="AJ16">
        <f t="shared" si="18"/>
        <v>100.02</v>
      </c>
      <c r="AK16">
        <v>2.16</v>
      </c>
      <c r="AL16">
        <v>0.92</v>
      </c>
      <c r="AM16">
        <v>17.55</v>
      </c>
      <c r="AN16">
        <v>0.38</v>
      </c>
    </row>
    <row r="17" spans="1:25" x14ac:dyDescent="0.25">
      <c r="A17" s="36">
        <v>2015</v>
      </c>
      <c r="B17" s="63">
        <v>364619216</v>
      </c>
      <c r="C17" s="63">
        <v>607791169</v>
      </c>
      <c r="D17" s="63">
        <v>275465640</v>
      </c>
      <c r="E17" s="63">
        <v>35040466</v>
      </c>
      <c r="F17" s="63">
        <v>16337878</v>
      </c>
      <c r="G17" s="65">
        <f>B40</f>
        <v>313328055.71765685</v>
      </c>
      <c r="H17" s="63">
        <v>5938648</v>
      </c>
      <c r="I17" s="36"/>
      <c r="J17" s="36"/>
      <c r="K17" s="36"/>
      <c r="L17" s="36"/>
      <c r="M17" s="36"/>
      <c r="N17" s="65">
        <f t="shared" si="4"/>
        <v>1618521072.7176569</v>
      </c>
      <c r="O17" s="33">
        <f>N17/'Macro dari HEESI'!O17</f>
        <v>500.65704101299548</v>
      </c>
      <c r="P17" s="33">
        <f>N17/'Macro dari HEESI'!P17</f>
        <v>140.41942677846083</v>
      </c>
      <c r="Q17" s="33">
        <f t="shared" si="5"/>
        <v>364619216</v>
      </c>
      <c r="R17" s="33">
        <f t="shared" si="6"/>
        <v>607791169</v>
      </c>
      <c r="S17" s="33">
        <f t="shared" si="7"/>
        <v>275465640</v>
      </c>
      <c r="T17" s="33">
        <f t="shared" si="0"/>
        <v>370645047.71765685</v>
      </c>
      <c r="U17" s="36">
        <f t="shared" ref="U17:U20" si="19">Q17/$N17</f>
        <v>0.22527925162430434</v>
      </c>
      <c r="V17" s="36">
        <f t="shared" ref="V17:V20" si="20">R17/$N17</f>
        <v>0.37552255527909723</v>
      </c>
      <c r="W17" s="36">
        <f t="shared" ref="W17:W20" si="21">S17/$N17</f>
        <v>0.17019589342600647</v>
      </c>
      <c r="X17" s="36">
        <f t="shared" ref="X17:X20" si="22">T17/$N17</f>
        <v>0.22900229967059199</v>
      </c>
      <c r="Y17" s="35">
        <f t="shared" ref="Y17:Y20" si="23">SUM(U17:X17)</f>
        <v>1</v>
      </c>
    </row>
    <row r="18" spans="1:25" x14ac:dyDescent="0.25">
      <c r="A18" s="36">
        <v>2016</v>
      </c>
      <c r="B18" s="63">
        <v>380310000</v>
      </c>
      <c r="C18" s="63">
        <v>534207126</v>
      </c>
      <c r="D18" s="63">
        <v>277169757</v>
      </c>
      <c r="E18" s="63">
        <v>45452580</v>
      </c>
      <c r="F18" s="63">
        <v>17537710</v>
      </c>
      <c r="G18" s="65">
        <f t="shared" ref="G18:G20" si="24">B41</f>
        <v>316526391.97687203</v>
      </c>
      <c r="H18" s="63">
        <v>19516272</v>
      </c>
      <c r="I18" s="36"/>
      <c r="J18" s="36"/>
      <c r="K18" s="36"/>
      <c r="L18" s="36"/>
      <c r="M18" s="36"/>
      <c r="N18" s="65">
        <f t="shared" si="4"/>
        <v>1590719836.976872</v>
      </c>
      <c r="O18" s="33">
        <f>N18/'Macro dari HEESI'!O18</f>
        <v>467.85285511993624</v>
      </c>
      <c r="P18" s="33">
        <f>N18/'Macro dari HEESI'!P18</f>
        <v>128.21381585389335</v>
      </c>
      <c r="Q18" s="33">
        <f t="shared" si="5"/>
        <v>380310000</v>
      </c>
      <c r="R18" s="33">
        <f t="shared" si="6"/>
        <v>534207126</v>
      </c>
      <c r="S18" s="33">
        <f t="shared" si="7"/>
        <v>277169757</v>
      </c>
      <c r="T18" s="33">
        <f t="shared" si="0"/>
        <v>399032953.97687203</v>
      </c>
      <c r="U18" s="36">
        <f t="shared" si="19"/>
        <v>0.23908044091709499</v>
      </c>
      <c r="V18" s="36">
        <f t="shared" si="20"/>
        <v>0.33582728622737795</v>
      </c>
      <c r="W18" s="36">
        <f t="shared" si="21"/>
        <v>0.17424171784187656</v>
      </c>
      <c r="X18" s="36">
        <f t="shared" si="22"/>
        <v>0.25085055501365056</v>
      </c>
      <c r="Y18" s="35">
        <f t="shared" si="23"/>
        <v>1</v>
      </c>
    </row>
    <row r="19" spans="1:25" x14ac:dyDescent="0.25">
      <c r="A19" s="36">
        <v>2017</v>
      </c>
      <c r="B19" s="63">
        <v>407526000</v>
      </c>
      <c r="C19" s="63">
        <v>567528788</v>
      </c>
      <c r="D19" s="63">
        <v>275142227</v>
      </c>
      <c r="E19" s="63">
        <v>47599892</v>
      </c>
      <c r="F19" s="63">
        <v>20259621</v>
      </c>
      <c r="G19" s="65">
        <f t="shared" si="24"/>
        <v>319757375.66309011</v>
      </c>
      <c r="H19" s="63">
        <v>16682032</v>
      </c>
      <c r="I19" s="36"/>
      <c r="J19" s="36"/>
      <c r="K19" s="36"/>
      <c r="L19" s="36"/>
      <c r="M19" s="36"/>
      <c r="N19" s="65">
        <f t="shared" si="4"/>
        <v>1654495935.6630902</v>
      </c>
      <c r="O19" s="33">
        <f>N19/'Macro dari HEESI'!O19</f>
        <v>464.68542499787605</v>
      </c>
      <c r="P19" s="33">
        <f>N19/'Macro dari HEESI'!P19</f>
        <v>121.76860226325223</v>
      </c>
      <c r="Q19" s="33">
        <f t="shared" si="5"/>
        <v>407526000</v>
      </c>
      <c r="R19" s="33">
        <f t="shared" si="6"/>
        <v>567528788</v>
      </c>
      <c r="S19" s="33">
        <f t="shared" si="7"/>
        <v>275142227</v>
      </c>
      <c r="T19" s="33">
        <f t="shared" si="0"/>
        <v>404298920.66309011</v>
      </c>
      <c r="U19" s="36">
        <f t="shared" si="19"/>
        <v>0.24631429501618654</v>
      </c>
      <c r="V19" s="36">
        <f t="shared" si="20"/>
        <v>0.3430221711439535</v>
      </c>
      <c r="W19" s="36">
        <f t="shared" si="21"/>
        <v>0.16629972976617091</v>
      </c>
      <c r="X19" s="36">
        <f t="shared" si="22"/>
        <v>0.24436380407368899</v>
      </c>
      <c r="Y19" s="35">
        <f t="shared" si="23"/>
        <v>0.99999999999999989</v>
      </c>
    </row>
    <row r="20" spans="1:25" x14ac:dyDescent="0.25">
      <c r="A20" s="36">
        <v>2018</v>
      </c>
      <c r="B20" s="63">
        <v>483336000</v>
      </c>
      <c r="C20" s="63">
        <v>569024765</v>
      </c>
      <c r="D20" s="63">
        <v>288310815</v>
      </c>
      <c r="E20" s="63">
        <v>40204916</v>
      </c>
      <c r="F20" s="63">
        <v>26040932</v>
      </c>
      <c r="G20" s="65">
        <f t="shared" si="24"/>
        <v>323021340.02910364</v>
      </c>
      <c r="H20" s="63">
        <v>28381188</v>
      </c>
      <c r="I20" s="63">
        <v>359291</v>
      </c>
      <c r="J20" s="36">
        <v>466082</v>
      </c>
      <c r="K20" s="63">
        <v>29757578</v>
      </c>
      <c r="L20" s="63">
        <v>8795</v>
      </c>
      <c r="M20" s="63">
        <v>166718</v>
      </c>
      <c r="N20" s="65">
        <f t="shared" si="4"/>
        <v>1789078420.0291038</v>
      </c>
      <c r="O20" s="33">
        <f>N20/'Macro dari HEESI'!O20</f>
        <v>476.94064875350216</v>
      </c>
      <c r="P20" s="33">
        <f>N20/'Macro dari HEESI'!P20</f>
        <v>120.57932015985756</v>
      </c>
      <c r="Q20" s="33">
        <f t="shared" si="5"/>
        <v>483336000</v>
      </c>
      <c r="R20" s="33">
        <f t="shared" si="6"/>
        <v>569024765</v>
      </c>
      <c r="S20" s="33">
        <f t="shared" si="7"/>
        <v>288310815</v>
      </c>
      <c r="T20" s="33">
        <f t="shared" si="0"/>
        <v>448406840.02910364</v>
      </c>
      <c r="U20" s="36">
        <f t="shared" si="19"/>
        <v>0.27015920296670803</v>
      </c>
      <c r="V20" s="36">
        <f t="shared" si="20"/>
        <v>0.31805468034807743</v>
      </c>
      <c r="W20" s="36">
        <f t="shared" si="21"/>
        <v>0.16115046259141055</v>
      </c>
      <c r="X20" s="36">
        <f t="shared" si="22"/>
        <v>0.25063565409380389</v>
      </c>
      <c r="Y20" s="35">
        <f t="shared" si="23"/>
        <v>0.99999999999999978</v>
      </c>
    </row>
    <row r="21" spans="1:25" x14ac:dyDescent="0.25">
      <c r="A21" s="36">
        <v>2019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x14ac:dyDescent="0.25">
      <c r="A22" s="36">
        <v>2020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4" spans="1:25" ht="45" x14ac:dyDescent="0.25">
      <c r="B24" s="97" t="s">
        <v>178</v>
      </c>
      <c r="C24" s="20" t="s">
        <v>179</v>
      </c>
      <c r="D24" s="20" t="s">
        <v>180</v>
      </c>
      <c r="F24" s="20" t="s">
        <v>223</v>
      </c>
      <c r="G24" s="20" t="s">
        <v>222</v>
      </c>
      <c r="H24" s="67">
        <v>2132298</v>
      </c>
      <c r="I24" s="68" t="s">
        <v>212</v>
      </c>
      <c r="K24" s="2" t="s">
        <v>223</v>
      </c>
      <c r="L24" s="2" t="s">
        <v>225</v>
      </c>
    </row>
    <row r="25" spans="1:25" x14ac:dyDescent="0.25">
      <c r="A25" s="3">
        <v>2000</v>
      </c>
      <c r="B25" s="63">
        <v>269054110</v>
      </c>
      <c r="C25" s="3"/>
      <c r="D25" s="3"/>
      <c r="F25" s="3">
        <v>2000</v>
      </c>
      <c r="G25" s="3">
        <f>D2*$H$24</f>
        <v>351082699380756</v>
      </c>
      <c r="H25" s="67"/>
      <c r="I25" s="68"/>
      <c r="K25" s="3">
        <v>2000</v>
      </c>
      <c r="L25" s="4">
        <f>SUM(E2:M2)</f>
        <v>303899141</v>
      </c>
    </row>
    <row r="26" spans="1:25" x14ac:dyDescent="0.25">
      <c r="A26" s="3">
        <v>2001</v>
      </c>
      <c r="B26" s="63">
        <v>268970034</v>
      </c>
      <c r="C26" s="3"/>
      <c r="D26" s="3"/>
      <c r="F26" s="3">
        <v>2001</v>
      </c>
      <c r="G26" s="3">
        <f t="shared" ref="G26:G43" si="25">D3*$H$24</f>
        <v>366934170728286</v>
      </c>
      <c r="H26" s="67"/>
      <c r="I26" s="68"/>
      <c r="K26" s="3">
        <v>2001</v>
      </c>
      <c r="L26" s="4">
        <f t="shared" ref="L26:L43" si="26">SUM(E3:M3)</f>
        <v>308311581</v>
      </c>
    </row>
    <row r="27" spans="1:25" x14ac:dyDescent="0.25">
      <c r="A27" s="3">
        <v>2002</v>
      </c>
      <c r="B27" s="63">
        <v>270230078</v>
      </c>
      <c r="C27" s="3"/>
      <c r="D27" s="3"/>
      <c r="F27" s="3">
        <v>2002</v>
      </c>
      <c r="G27" s="3">
        <f t="shared" si="25"/>
        <v>402625442497572</v>
      </c>
      <c r="H27" s="67"/>
      <c r="I27" s="68"/>
      <c r="K27" s="3">
        <v>2002</v>
      </c>
      <c r="L27" s="4">
        <f t="shared" si="26"/>
        <v>305516297</v>
      </c>
    </row>
    <row r="28" spans="1:25" x14ac:dyDescent="0.25">
      <c r="A28" s="3">
        <v>2003</v>
      </c>
      <c r="B28" s="63">
        <v>272005374</v>
      </c>
      <c r="C28" s="3"/>
      <c r="D28" s="3"/>
      <c r="F28" s="3">
        <v>2003</v>
      </c>
      <c r="G28" s="3">
        <f t="shared" si="25"/>
        <v>435291693460092</v>
      </c>
      <c r="H28" s="67"/>
      <c r="I28" s="68"/>
      <c r="K28" s="3">
        <v>2003</v>
      </c>
      <c r="L28" s="4">
        <f t="shared" si="26"/>
        <v>305318112</v>
      </c>
    </row>
    <row r="29" spans="1:25" x14ac:dyDescent="0.25">
      <c r="A29" s="3">
        <v>2004</v>
      </c>
      <c r="B29" s="63">
        <v>271806233</v>
      </c>
      <c r="C29" s="3"/>
      <c r="D29" s="3"/>
      <c r="F29" s="3">
        <v>2004</v>
      </c>
      <c r="G29" s="3">
        <f t="shared" si="25"/>
        <v>399920541457248</v>
      </c>
      <c r="H29" s="67"/>
      <c r="I29" s="68"/>
      <c r="K29" s="3">
        <v>2004</v>
      </c>
      <c r="L29" s="4">
        <f t="shared" si="26"/>
        <v>307268880</v>
      </c>
    </row>
    <row r="30" spans="1:25" x14ac:dyDescent="0.25">
      <c r="A30" s="3">
        <v>2005</v>
      </c>
      <c r="B30" s="63">
        <v>270042895</v>
      </c>
      <c r="C30" s="3"/>
      <c r="D30" s="3"/>
      <c r="F30" s="3">
        <v>2005</v>
      </c>
      <c r="G30" s="3">
        <f t="shared" si="25"/>
        <v>407672724066048</v>
      </c>
      <c r="H30" s="67"/>
      <c r="I30" s="68"/>
      <c r="K30" s="3">
        <v>2005</v>
      </c>
      <c r="L30" s="4">
        <f t="shared" si="26"/>
        <v>307988196</v>
      </c>
    </row>
    <row r="31" spans="1:25" x14ac:dyDescent="0.25">
      <c r="A31" s="3">
        <v>2006</v>
      </c>
      <c r="B31" s="63">
        <v>276335944</v>
      </c>
      <c r="C31" s="3"/>
      <c r="D31" s="3"/>
      <c r="F31" s="3">
        <v>2006</v>
      </c>
      <c r="G31" s="3">
        <f t="shared" si="25"/>
        <v>419208477569028</v>
      </c>
      <c r="H31" s="67"/>
      <c r="I31" s="68"/>
      <c r="K31" s="3">
        <v>2006</v>
      </c>
      <c r="L31" s="4">
        <f t="shared" si="26"/>
        <v>311775482</v>
      </c>
    </row>
    <row r="32" spans="1:25" x14ac:dyDescent="0.25">
      <c r="A32" s="3">
        <v>2007</v>
      </c>
      <c r="B32" s="63">
        <v>275199938</v>
      </c>
      <c r="C32" s="3"/>
      <c r="D32" s="3"/>
      <c r="F32" s="3">
        <v>2007</v>
      </c>
      <c r="G32" s="3">
        <f t="shared" si="25"/>
        <v>391540311795528</v>
      </c>
      <c r="H32" s="67"/>
      <c r="I32" s="68"/>
      <c r="K32" s="3">
        <v>2007</v>
      </c>
      <c r="L32" s="4">
        <f t="shared" si="26"/>
        <v>315108704</v>
      </c>
    </row>
    <row r="33" spans="1:12" x14ac:dyDescent="0.25">
      <c r="A33" s="3">
        <v>2008</v>
      </c>
      <c r="B33" s="63">
        <v>277981421</v>
      </c>
      <c r="C33" s="4">
        <v>114085558</v>
      </c>
      <c r="D33" s="3">
        <f>C33/B33</f>
        <v>0.41040713292849884</v>
      </c>
      <c r="F33" s="3">
        <v>2008</v>
      </c>
      <c r="G33" s="3">
        <f t="shared" si="25"/>
        <v>503328017482668</v>
      </c>
      <c r="H33" s="67"/>
      <c r="I33" s="68"/>
      <c r="K33" s="3">
        <v>2008</v>
      </c>
      <c r="L33" s="4">
        <f t="shared" si="26"/>
        <v>320525851</v>
      </c>
    </row>
    <row r="34" spans="1:12" x14ac:dyDescent="0.25">
      <c r="A34" s="3">
        <v>2009</v>
      </c>
      <c r="B34" s="63">
        <v>279313257</v>
      </c>
      <c r="C34" s="4">
        <v>109029170</v>
      </c>
      <c r="D34" s="3">
        <f t="shared" ref="D34:D39" si="27">C34/B34</f>
        <v>0.39034727950632148</v>
      </c>
      <c r="F34" s="3">
        <v>2009</v>
      </c>
      <c r="G34" s="3">
        <f t="shared" si="25"/>
        <v>535281961504500</v>
      </c>
      <c r="H34" s="67"/>
      <c r="I34" s="68"/>
      <c r="K34" s="3">
        <v>2009</v>
      </c>
      <c r="L34" s="4">
        <f t="shared" si="26"/>
        <v>323721303</v>
      </c>
    </row>
    <row r="35" spans="1:12" x14ac:dyDescent="0.25">
      <c r="A35" s="3">
        <v>2010</v>
      </c>
      <c r="B35" s="63">
        <v>273670429</v>
      </c>
      <c r="C35" s="4">
        <v>107822916</v>
      </c>
      <c r="D35" s="3">
        <f t="shared" si="27"/>
        <v>0.39398818642550526</v>
      </c>
      <c r="F35" s="3">
        <v>2010</v>
      </c>
      <c r="G35" s="3">
        <f t="shared" si="25"/>
        <v>575597181191130</v>
      </c>
      <c r="H35" s="67"/>
      <c r="I35" s="68"/>
      <c r="K35" s="3">
        <v>2010</v>
      </c>
      <c r="L35" s="4">
        <f t="shared" si="26"/>
        <v>334335363</v>
      </c>
    </row>
    <row r="36" spans="1:12" x14ac:dyDescent="0.25">
      <c r="A36" s="3">
        <v>2011</v>
      </c>
      <c r="B36" s="63">
        <v>283140897</v>
      </c>
      <c r="C36" s="4">
        <v>105354823</v>
      </c>
      <c r="D36" s="3">
        <f t="shared" si="27"/>
        <v>0.37209327270019915</v>
      </c>
      <c r="F36" s="3">
        <v>2011</v>
      </c>
      <c r="G36" s="3">
        <f t="shared" si="25"/>
        <v>558040152906936</v>
      </c>
      <c r="H36" s="67"/>
      <c r="I36" s="68"/>
      <c r="K36" s="3">
        <v>2011</v>
      </c>
      <c r="L36" s="4">
        <f t="shared" si="26"/>
        <v>331857894</v>
      </c>
    </row>
    <row r="37" spans="1:12" x14ac:dyDescent="0.25">
      <c r="A37" s="3">
        <v>2012</v>
      </c>
      <c r="B37" s="63">
        <v>300838657</v>
      </c>
      <c r="C37" s="4">
        <v>99383737</v>
      </c>
      <c r="D37" s="3">
        <f t="shared" si="27"/>
        <v>0.33035560652698964</v>
      </c>
      <c r="F37" s="3">
        <v>2012</v>
      </c>
      <c r="G37" s="3">
        <f t="shared" si="25"/>
        <v>553238392659372</v>
      </c>
      <c r="H37" s="67"/>
      <c r="I37" s="68"/>
      <c r="K37" s="3">
        <v>2012</v>
      </c>
      <c r="L37" s="4">
        <f t="shared" si="26"/>
        <v>352534164</v>
      </c>
    </row>
    <row r="38" spans="1:12" x14ac:dyDescent="0.25">
      <c r="A38" s="3">
        <v>2013</v>
      </c>
      <c r="B38" s="63">
        <v>306232741</v>
      </c>
      <c r="C38" s="4">
        <v>95374094</v>
      </c>
      <c r="D38" s="3">
        <f t="shared" si="27"/>
        <v>0.3114431647267919</v>
      </c>
      <c r="F38" s="3">
        <v>2013</v>
      </c>
      <c r="G38" s="3">
        <f t="shared" si="25"/>
        <v>495545963511186</v>
      </c>
      <c r="H38" s="67"/>
      <c r="I38" s="68"/>
      <c r="K38" s="3">
        <v>2013</v>
      </c>
      <c r="L38" s="4">
        <f t="shared" si="26"/>
        <v>362170189</v>
      </c>
    </row>
    <row r="39" spans="1:12" x14ac:dyDescent="0.25">
      <c r="A39" s="3">
        <v>2014</v>
      </c>
      <c r="B39" s="63">
        <v>310162037</v>
      </c>
      <c r="C39" s="4">
        <v>92873723</v>
      </c>
      <c r="D39" s="3">
        <f t="shared" si="27"/>
        <v>0.29943613956855719</v>
      </c>
      <c r="E39">
        <f>(D39/D33)^(1/6)-1</f>
        <v>-5.1184976955164219E-2</v>
      </c>
      <c r="F39" s="3">
        <v>2014</v>
      </c>
      <c r="G39" s="3">
        <f t="shared" si="25"/>
        <v>578653160832558</v>
      </c>
      <c r="H39" s="67"/>
      <c r="I39" s="68"/>
      <c r="K39" s="3">
        <v>2014</v>
      </c>
      <c r="L39" s="4">
        <f t="shared" si="26"/>
        <v>368459329</v>
      </c>
    </row>
    <row r="40" spans="1:12" x14ac:dyDescent="0.25">
      <c r="A40" s="3">
        <v>2015</v>
      </c>
      <c r="B40" s="65">
        <f>B39*(1+$E$40)</f>
        <v>313328055.71765685</v>
      </c>
      <c r="C40" s="63">
        <v>84768404</v>
      </c>
      <c r="D40" s="3">
        <f>D39*(1+$E$39)</f>
        <v>0.28410950766519727</v>
      </c>
      <c r="E40">
        <f>(B39/B25)^(1/14)-1</f>
        <v>1.0207628078148234E-2</v>
      </c>
      <c r="F40" s="3">
        <v>2015</v>
      </c>
      <c r="G40" s="3">
        <f t="shared" si="25"/>
        <v>587374833240720</v>
      </c>
      <c r="H40" s="67"/>
      <c r="I40" s="68"/>
      <c r="K40" s="3">
        <v>2015</v>
      </c>
      <c r="L40" s="4">
        <f t="shared" si="26"/>
        <v>370645047.71765685</v>
      </c>
    </row>
    <row r="41" spans="1:12" x14ac:dyDescent="0.25">
      <c r="A41" s="3">
        <v>2016</v>
      </c>
      <c r="B41" s="65">
        <f t="shared" ref="B41:B43" si="28">B40*(1+$E$40)</f>
        <v>316526391.97687203</v>
      </c>
      <c r="C41" s="63">
        <v>79987014</v>
      </c>
      <c r="D41" s="3">
        <f t="shared" ref="D41:D43" si="29">D40*(1+$E$39)</f>
        <v>0.26956736906261108</v>
      </c>
      <c r="F41" s="3">
        <v>2016</v>
      </c>
      <c r="G41" s="3">
        <f t="shared" si="25"/>
        <v>591008518511586</v>
      </c>
      <c r="H41" s="67"/>
      <c r="I41" s="68"/>
      <c r="K41" s="3">
        <v>2016</v>
      </c>
      <c r="L41" s="4">
        <f t="shared" si="26"/>
        <v>399032953.97687203</v>
      </c>
    </row>
    <row r="42" spans="1:12" x14ac:dyDescent="0.25">
      <c r="A42" s="3">
        <v>2017</v>
      </c>
      <c r="B42" s="65">
        <f t="shared" si="28"/>
        <v>319757375.66309011</v>
      </c>
      <c r="C42" s="63">
        <v>75001916</v>
      </c>
      <c r="D42" s="3">
        <f t="shared" si="29"/>
        <v>0.25576956948927709</v>
      </c>
      <c r="F42" s="3">
        <v>2017</v>
      </c>
      <c r="G42" s="3">
        <f t="shared" si="25"/>
        <v>586685220347646</v>
      </c>
      <c r="H42" s="67"/>
      <c r="I42" s="68"/>
      <c r="K42" s="3">
        <v>2017</v>
      </c>
      <c r="L42" s="4">
        <f t="shared" si="26"/>
        <v>404298920.66309011</v>
      </c>
    </row>
    <row r="43" spans="1:12" x14ac:dyDescent="0.25">
      <c r="A43" s="3">
        <v>2018</v>
      </c>
      <c r="B43" s="65">
        <f t="shared" si="28"/>
        <v>323021340.02910364</v>
      </c>
      <c r="C43" s="63">
        <v>67750663</v>
      </c>
      <c r="D43" s="3">
        <f t="shared" si="29"/>
        <v>0.24267800996913616</v>
      </c>
      <c r="F43" s="3">
        <v>2018</v>
      </c>
      <c r="G43" s="3">
        <f t="shared" si="25"/>
        <v>614764574202870</v>
      </c>
      <c r="H43" s="67"/>
      <c r="I43" s="68"/>
      <c r="K43" s="3">
        <v>2018</v>
      </c>
      <c r="L43" s="4">
        <f t="shared" si="26"/>
        <v>448406840.02910364</v>
      </c>
    </row>
  </sheetData>
  <mergeCells count="2">
    <mergeCell ref="H24:H43"/>
    <mergeCell ref="I24:I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370-8A88-4D1E-A8AB-D198EB7EC471}">
  <dimension ref="A1:R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7" sqref="Q17"/>
    </sheetView>
  </sheetViews>
  <sheetFormatPr defaultRowHeight="15" x14ac:dyDescent="0.25"/>
  <cols>
    <col min="2" max="3" width="11.140625" bestFit="1" customWidth="1"/>
    <col min="5" max="6" width="16.85546875" bestFit="1" customWidth="1"/>
    <col min="7" max="7" width="14.28515625" bestFit="1" customWidth="1"/>
    <col min="8" max="8" width="16.85546875" bestFit="1" customWidth="1"/>
    <col min="9" max="9" width="14.42578125" bestFit="1" customWidth="1"/>
    <col min="10" max="10" width="17" bestFit="1" customWidth="1"/>
    <col min="11" max="11" width="15.28515625" bestFit="1" customWidth="1"/>
    <col min="12" max="12" width="15.28515625" customWidth="1"/>
    <col min="16" max="16" width="12.7109375" bestFit="1" customWidth="1"/>
  </cols>
  <sheetData>
    <row r="1" spans="1:18" x14ac:dyDescent="0.25">
      <c r="B1" s="69" t="s">
        <v>184</v>
      </c>
      <c r="C1" s="69"/>
      <c r="D1" s="69"/>
      <c r="E1" s="47" t="s">
        <v>185</v>
      </c>
      <c r="F1" s="47">
        <v>4.79</v>
      </c>
      <c r="G1" s="47" t="s">
        <v>186</v>
      </c>
      <c r="H1" s="72" t="s">
        <v>187</v>
      </c>
      <c r="I1" s="72"/>
      <c r="J1" s="72"/>
      <c r="K1" s="72"/>
      <c r="L1" s="72"/>
      <c r="M1" s="70" t="s">
        <v>188</v>
      </c>
      <c r="N1" s="71"/>
      <c r="O1" s="71"/>
      <c r="P1" s="71"/>
      <c r="Q1" s="71"/>
    </row>
    <row r="2" spans="1:18" x14ac:dyDescent="0.25">
      <c r="B2" s="48" t="s">
        <v>181</v>
      </c>
      <c r="C2" s="48" t="s">
        <v>182</v>
      </c>
      <c r="D2" s="48" t="s">
        <v>183</v>
      </c>
      <c r="E2" s="47" t="s">
        <v>181</v>
      </c>
      <c r="F2" s="47" t="s">
        <v>182</v>
      </c>
      <c r="G2" s="47" t="s">
        <v>183</v>
      </c>
      <c r="H2" s="46" t="s">
        <v>181</v>
      </c>
      <c r="I2" s="46" t="s">
        <v>183</v>
      </c>
      <c r="J2" s="46" t="s">
        <v>182</v>
      </c>
      <c r="K2" s="46" t="s">
        <v>121</v>
      </c>
      <c r="L2" s="46" t="s">
        <v>189</v>
      </c>
      <c r="M2" t="s">
        <v>181</v>
      </c>
      <c r="N2" t="s">
        <v>183</v>
      </c>
      <c r="O2" t="s">
        <v>182</v>
      </c>
      <c r="P2" t="s">
        <v>121</v>
      </c>
      <c r="Q2" t="s">
        <v>189</v>
      </c>
      <c r="R2" t="s">
        <v>190</v>
      </c>
    </row>
    <row r="3" spans="1:18" x14ac:dyDescent="0.25">
      <c r="A3">
        <v>2000</v>
      </c>
      <c r="B3" s="49">
        <v>77040185</v>
      </c>
      <c r="C3" s="49">
        <v>58460492</v>
      </c>
      <c r="D3" s="49">
        <v>140116</v>
      </c>
      <c r="E3" s="50">
        <f t="shared" ref="E3:E21" si="0">B3*$F$1</f>
        <v>369022486.14999998</v>
      </c>
      <c r="F3" s="50">
        <f t="shared" ref="F3:F21" si="1">C3*$F$1</f>
        <v>280025756.68000001</v>
      </c>
      <c r="G3" s="50">
        <f t="shared" ref="G3:G21" si="2">D3*$F$1</f>
        <v>671155.64</v>
      </c>
      <c r="H3" s="46"/>
      <c r="I3" s="46"/>
      <c r="J3" s="46"/>
      <c r="K3" s="46"/>
      <c r="L3" s="46"/>
      <c r="M3" s="1"/>
      <c r="N3" s="45"/>
    </row>
    <row r="4" spans="1:18" x14ac:dyDescent="0.25">
      <c r="A4">
        <v>2001</v>
      </c>
      <c r="B4" s="49">
        <v>92540460</v>
      </c>
      <c r="C4" s="49">
        <v>65281086</v>
      </c>
      <c r="D4" s="49">
        <v>30466</v>
      </c>
      <c r="E4" s="50">
        <f t="shared" si="0"/>
        <v>443268803.39999998</v>
      </c>
      <c r="F4" s="50">
        <f t="shared" si="1"/>
        <v>312696401.94</v>
      </c>
      <c r="G4" s="50">
        <f t="shared" si="2"/>
        <v>145932.14000000001</v>
      </c>
      <c r="H4" s="46"/>
      <c r="I4" s="46"/>
      <c r="J4" s="46"/>
      <c r="K4" s="46"/>
      <c r="L4" s="46"/>
      <c r="N4" s="1"/>
      <c r="O4" s="45"/>
    </row>
    <row r="5" spans="1:18" x14ac:dyDescent="0.25">
      <c r="A5">
        <v>2002</v>
      </c>
      <c r="B5" s="49">
        <v>103329093</v>
      </c>
      <c r="C5" s="49">
        <v>74177926</v>
      </c>
      <c r="D5" s="49">
        <v>20026</v>
      </c>
      <c r="E5" s="50">
        <f t="shared" si="0"/>
        <v>494946355.47000003</v>
      </c>
      <c r="F5" s="50">
        <f t="shared" si="1"/>
        <v>355312265.54000002</v>
      </c>
      <c r="G5" s="50">
        <f t="shared" si="2"/>
        <v>95924.54</v>
      </c>
      <c r="H5" s="46"/>
      <c r="I5" s="46"/>
      <c r="J5" s="46"/>
      <c r="K5" s="46"/>
      <c r="L5" s="46"/>
    </row>
    <row r="6" spans="1:18" x14ac:dyDescent="0.25">
      <c r="A6">
        <v>2003</v>
      </c>
      <c r="B6" s="49">
        <v>114278000</v>
      </c>
      <c r="C6" s="49">
        <v>85680621</v>
      </c>
      <c r="D6" s="49">
        <v>38228</v>
      </c>
      <c r="E6" s="50">
        <f t="shared" si="0"/>
        <v>547391620</v>
      </c>
      <c r="F6" s="50">
        <f t="shared" si="1"/>
        <v>410410174.58999997</v>
      </c>
      <c r="G6" s="50">
        <f t="shared" si="2"/>
        <v>183112.12</v>
      </c>
      <c r="H6" s="46"/>
      <c r="I6" s="46"/>
      <c r="J6" s="46"/>
      <c r="K6" s="46"/>
      <c r="L6" s="46"/>
    </row>
    <row r="7" spans="1:18" x14ac:dyDescent="0.25">
      <c r="A7">
        <v>2004</v>
      </c>
      <c r="B7" s="49">
        <v>132352025</v>
      </c>
      <c r="C7" s="49">
        <v>93758806</v>
      </c>
      <c r="D7" s="49">
        <v>97183</v>
      </c>
      <c r="E7" s="50">
        <f t="shared" si="0"/>
        <v>633966199.75</v>
      </c>
      <c r="F7" s="50">
        <f t="shared" si="1"/>
        <v>449104680.74000001</v>
      </c>
      <c r="G7" s="50">
        <f t="shared" si="2"/>
        <v>465506.57</v>
      </c>
      <c r="H7" s="46"/>
      <c r="I7" s="46"/>
      <c r="J7" s="46"/>
      <c r="K7" s="46"/>
      <c r="L7" s="46"/>
    </row>
    <row r="8" spans="1:18" x14ac:dyDescent="0.25">
      <c r="A8">
        <v>2005</v>
      </c>
      <c r="B8" s="49">
        <v>152722438</v>
      </c>
      <c r="C8" s="49">
        <v>110789700</v>
      </c>
      <c r="D8" s="49">
        <v>98179</v>
      </c>
      <c r="E8" s="50">
        <f t="shared" si="0"/>
        <v>731540478.01999998</v>
      </c>
      <c r="F8" s="50">
        <f t="shared" si="1"/>
        <v>530682663</v>
      </c>
      <c r="G8" s="50">
        <f t="shared" si="2"/>
        <v>470277.41000000003</v>
      </c>
      <c r="H8" s="46"/>
      <c r="I8" s="46"/>
      <c r="J8" s="46"/>
      <c r="K8" s="46"/>
      <c r="L8" s="46"/>
    </row>
    <row r="9" spans="1:18" x14ac:dyDescent="0.25">
      <c r="A9">
        <v>2006</v>
      </c>
      <c r="B9" s="49">
        <v>193761311</v>
      </c>
      <c r="C9" s="49">
        <v>143632865</v>
      </c>
      <c r="D9" s="49">
        <v>110683</v>
      </c>
      <c r="E9" s="50">
        <f t="shared" si="0"/>
        <v>928116679.69000006</v>
      </c>
      <c r="F9" s="50">
        <f t="shared" si="1"/>
        <v>688001423.35000002</v>
      </c>
      <c r="G9" s="50">
        <f t="shared" si="2"/>
        <v>530171.56999999995</v>
      </c>
      <c r="H9" s="46"/>
      <c r="I9" s="46"/>
      <c r="J9" s="46"/>
      <c r="K9" s="46"/>
      <c r="L9" s="46"/>
    </row>
    <row r="10" spans="1:18" x14ac:dyDescent="0.25">
      <c r="A10">
        <v>2007</v>
      </c>
      <c r="B10" s="49">
        <v>216946699</v>
      </c>
      <c r="C10" s="49">
        <v>163000000</v>
      </c>
      <c r="D10" s="49">
        <v>67534</v>
      </c>
      <c r="E10" s="50">
        <f t="shared" si="0"/>
        <v>1039174688.21</v>
      </c>
      <c r="F10" s="50">
        <f t="shared" si="1"/>
        <v>780770000</v>
      </c>
      <c r="G10" s="50">
        <f t="shared" si="2"/>
        <v>323487.86</v>
      </c>
      <c r="H10" s="46"/>
      <c r="I10" s="46"/>
      <c r="J10" s="46"/>
      <c r="K10" s="46"/>
      <c r="L10" s="46"/>
    </row>
    <row r="11" spans="1:18" x14ac:dyDescent="0.25">
      <c r="A11">
        <v>2008</v>
      </c>
      <c r="B11" s="49">
        <v>240249968</v>
      </c>
      <c r="C11" s="49">
        <v>191430218</v>
      </c>
      <c r="D11" s="49">
        <v>106931</v>
      </c>
      <c r="E11" s="50">
        <f t="shared" si="0"/>
        <v>1150797346.72</v>
      </c>
      <c r="F11" s="50">
        <f t="shared" si="1"/>
        <v>916950744.22000003</v>
      </c>
      <c r="G11" s="50">
        <f t="shared" si="2"/>
        <v>512199.49</v>
      </c>
      <c r="H11" s="46"/>
      <c r="I11" s="46"/>
      <c r="J11" s="46"/>
      <c r="K11" s="46"/>
      <c r="L11" s="46"/>
    </row>
    <row r="12" spans="1:18" x14ac:dyDescent="0.25">
      <c r="A12">
        <v>2009</v>
      </c>
      <c r="B12" s="49">
        <v>256181000</v>
      </c>
      <c r="C12" s="49">
        <v>198366000</v>
      </c>
      <c r="D12" s="49">
        <v>68804</v>
      </c>
      <c r="E12" s="50">
        <f t="shared" si="0"/>
        <v>1227106990</v>
      </c>
      <c r="F12" s="50">
        <f t="shared" si="1"/>
        <v>950173140</v>
      </c>
      <c r="G12" s="50">
        <f t="shared" si="2"/>
        <v>329571.15999999997</v>
      </c>
      <c r="H12" s="46"/>
      <c r="I12" s="46"/>
      <c r="J12" s="46"/>
      <c r="K12" s="46"/>
      <c r="L12" s="46"/>
    </row>
    <row r="13" spans="1:18" x14ac:dyDescent="0.25">
      <c r="A13">
        <v>2010</v>
      </c>
      <c r="B13" s="49">
        <v>275164196</v>
      </c>
      <c r="C13" s="49">
        <v>208000000</v>
      </c>
      <c r="D13" s="49">
        <v>55230</v>
      </c>
      <c r="E13" s="50">
        <f t="shared" si="0"/>
        <v>1318036498.8399999</v>
      </c>
      <c r="F13" s="50">
        <f t="shared" si="1"/>
        <v>996320000</v>
      </c>
      <c r="G13" s="50">
        <f t="shared" si="2"/>
        <v>264551.7</v>
      </c>
      <c r="H13" s="46"/>
      <c r="I13" s="46"/>
      <c r="J13" s="46"/>
      <c r="K13" s="46"/>
      <c r="L13" s="46"/>
    </row>
    <row r="14" spans="1:18" x14ac:dyDescent="0.25">
      <c r="A14">
        <v>2011</v>
      </c>
      <c r="B14" s="49">
        <v>353270937</v>
      </c>
      <c r="C14" s="49">
        <v>272671351</v>
      </c>
      <c r="D14" s="49">
        <v>42449</v>
      </c>
      <c r="E14" s="50">
        <f t="shared" si="0"/>
        <v>1692167788.23</v>
      </c>
      <c r="F14" s="50">
        <f t="shared" si="1"/>
        <v>1306095771.29</v>
      </c>
      <c r="G14" s="50">
        <f t="shared" si="2"/>
        <v>203330.71</v>
      </c>
      <c r="H14" s="46"/>
      <c r="I14" s="46"/>
      <c r="J14" s="46"/>
      <c r="K14" s="46"/>
      <c r="L14" s="46"/>
    </row>
    <row r="15" spans="1:18" x14ac:dyDescent="0.25">
      <c r="A15">
        <v>2012</v>
      </c>
      <c r="B15" s="49">
        <v>386077357</v>
      </c>
      <c r="C15" s="49">
        <v>304051216</v>
      </c>
      <c r="D15" s="49">
        <v>77786</v>
      </c>
      <c r="E15" s="50">
        <f t="shared" si="0"/>
        <v>1849310540.03</v>
      </c>
      <c r="F15" s="50">
        <f t="shared" si="1"/>
        <v>1456405324.6400001</v>
      </c>
      <c r="G15" s="50">
        <f t="shared" si="2"/>
        <v>372594.94</v>
      </c>
      <c r="H15" s="46"/>
      <c r="I15" s="46"/>
      <c r="J15" s="46"/>
      <c r="K15" s="46"/>
      <c r="L15" s="46"/>
    </row>
    <row r="16" spans="1:18" x14ac:dyDescent="0.25">
      <c r="A16">
        <v>2013</v>
      </c>
      <c r="B16" s="49">
        <v>474371369</v>
      </c>
      <c r="C16" s="49">
        <v>356357973</v>
      </c>
      <c r="D16" s="49">
        <v>609875</v>
      </c>
      <c r="E16" s="50">
        <f t="shared" si="0"/>
        <v>2272238857.5100002</v>
      </c>
      <c r="F16" s="50">
        <f t="shared" si="1"/>
        <v>1706954690.6700001</v>
      </c>
      <c r="G16" s="50">
        <f t="shared" si="2"/>
        <v>2921301.25</v>
      </c>
      <c r="H16" s="46"/>
      <c r="I16" s="46"/>
      <c r="J16" s="46"/>
      <c r="K16" s="46"/>
      <c r="L16" s="46"/>
    </row>
    <row r="17" spans="1:18" x14ac:dyDescent="0.25">
      <c r="A17" s="28">
        <v>2014</v>
      </c>
      <c r="B17" s="49">
        <v>458096707</v>
      </c>
      <c r="C17" s="49">
        <v>381972830</v>
      </c>
      <c r="D17" s="49">
        <v>2442319</v>
      </c>
      <c r="E17" s="50">
        <f t="shared" si="0"/>
        <v>2194283226.5300002</v>
      </c>
      <c r="F17" s="50">
        <f t="shared" si="1"/>
        <v>1829649855.7</v>
      </c>
      <c r="G17" s="50">
        <f t="shared" si="2"/>
        <v>11698708.01</v>
      </c>
      <c r="H17" s="51">
        <f>M17*1000</f>
        <v>1924006000</v>
      </c>
      <c r="I17" s="51">
        <f t="shared" ref="I17:K17" si="3">N17*1000</f>
        <v>10662000</v>
      </c>
      <c r="J17" s="51">
        <f t="shared" si="3"/>
        <v>1604286000</v>
      </c>
      <c r="K17" s="51">
        <f t="shared" si="3"/>
        <v>167423000</v>
      </c>
      <c r="L17" s="54">
        <f>H17+I17-J17+K17</f>
        <v>497805000</v>
      </c>
      <c r="M17" s="4">
        <v>1924006</v>
      </c>
      <c r="N17" s="4">
        <v>10662</v>
      </c>
      <c r="O17" s="4">
        <v>1604286</v>
      </c>
      <c r="P17" s="4">
        <v>167423</v>
      </c>
      <c r="Q17" s="53">
        <f>M17-O17+N17+P17</f>
        <v>497805</v>
      </c>
      <c r="R17" s="3">
        <f>N17/Q17</f>
        <v>2.1418025130322114E-2</v>
      </c>
    </row>
    <row r="18" spans="1:18" x14ac:dyDescent="0.25">
      <c r="A18">
        <v>2015</v>
      </c>
      <c r="B18" s="49">
        <v>461566080</v>
      </c>
      <c r="C18" s="49">
        <v>365849610</v>
      </c>
      <c r="D18" s="49">
        <v>3007934</v>
      </c>
      <c r="E18" s="50">
        <f t="shared" si="0"/>
        <v>2210901523.1999998</v>
      </c>
      <c r="F18" s="50">
        <f t="shared" si="1"/>
        <v>1752419631.9000001</v>
      </c>
      <c r="G18" s="50">
        <f t="shared" si="2"/>
        <v>14408003.859999999</v>
      </c>
      <c r="H18" s="46"/>
      <c r="I18" s="46"/>
      <c r="J18" s="46"/>
      <c r="K18" s="46"/>
      <c r="L18" s="46"/>
    </row>
    <row r="19" spans="1:18" x14ac:dyDescent="0.25">
      <c r="A19">
        <v>2016</v>
      </c>
      <c r="B19" s="49">
        <v>456197775</v>
      </c>
      <c r="C19" s="49">
        <v>331128438</v>
      </c>
      <c r="D19" s="49">
        <v>3898932</v>
      </c>
      <c r="E19" s="50">
        <f t="shared" si="0"/>
        <v>2185187342.25</v>
      </c>
      <c r="F19" s="50">
        <f t="shared" si="1"/>
        <v>1586105218.02</v>
      </c>
      <c r="G19" s="50">
        <f t="shared" si="2"/>
        <v>18675884.280000001</v>
      </c>
      <c r="H19" s="46"/>
      <c r="I19" s="46"/>
      <c r="J19" s="46"/>
      <c r="K19" s="46"/>
      <c r="L19" s="46"/>
    </row>
    <row r="20" spans="1:18" x14ac:dyDescent="0.25">
      <c r="A20">
        <v>2017</v>
      </c>
      <c r="B20" s="49">
        <v>461248184</v>
      </c>
      <c r="C20" s="49">
        <v>297741135</v>
      </c>
      <c r="D20" s="49">
        <v>4532308</v>
      </c>
      <c r="E20" s="50">
        <f t="shared" si="0"/>
        <v>2209378801.3600001</v>
      </c>
      <c r="F20" s="50">
        <f t="shared" si="1"/>
        <v>1426180036.6500001</v>
      </c>
      <c r="G20" s="50">
        <f t="shared" si="2"/>
        <v>21709755.32</v>
      </c>
      <c r="H20" s="46"/>
      <c r="I20" s="46"/>
      <c r="J20" s="46"/>
      <c r="K20" s="46"/>
      <c r="L20" s="46"/>
    </row>
    <row r="21" spans="1:18" x14ac:dyDescent="0.25">
      <c r="A21">
        <v>2018</v>
      </c>
      <c r="B21" s="49">
        <v>557772940</v>
      </c>
      <c r="C21" s="49">
        <v>356394687</v>
      </c>
      <c r="D21" s="49">
        <v>5468706</v>
      </c>
      <c r="E21" s="50">
        <f t="shared" si="0"/>
        <v>2671732382.5999999</v>
      </c>
      <c r="F21" s="50">
        <f t="shared" si="1"/>
        <v>1707130550.73</v>
      </c>
      <c r="G21" s="50">
        <f t="shared" si="2"/>
        <v>26195101.739999998</v>
      </c>
      <c r="H21" s="46"/>
      <c r="I21" s="46"/>
      <c r="J21" s="46"/>
      <c r="K21" s="46"/>
      <c r="L21" s="46"/>
    </row>
    <row r="22" spans="1:18" x14ac:dyDescent="0.25">
      <c r="A22">
        <v>2019</v>
      </c>
    </row>
    <row r="23" spans="1:18" x14ac:dyDescent="0.25">
      <c r="A23">
        <v>2020</v>
      </c>
    </row>
  </sheetData>
  <mergeCells count="3">
    <mergeCell ref="B1:D1"/>
    <mergeCell ref="M1:Q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D003-6CE6-47DC-9594-4C83C40B7901}">
  <dimension ref="A1:J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" sqref="I3:I21"/>
    </sheetView>
  </sheetViews>
  <sheetFormatPr defaultRowHeight="15" x14ac:dyDescent="0.25"/>
  <cols>
    <col min="1" max="1" width="21" bestFit="1" customWidth="1"/>
    <col min="2" max="2" width="10.7109375" bestFit="1" customWidth="1"/>
    <col min="4" max="4" width="7.5703125" bestFit="1" customWidth="1"/>
    <col min="6" max="6" width="13.5703125" bestFit="1" customWidth="1"/>
    <col min="8" max="10" width="10" bestFit="1" customWidth="1"/>
  </cols>
  <sheetData>
    <row r="1" spans="1:10" x14ac:dyDescent="0.25">
      <c r="B1" s="3" t="s">
        <v>197</v>
      </c>
      <c r="C1" s="3" t="s">
        <v>122</v>
      </c>
      <c r="D1" s="3" t="s">
        <v>123</v>
      </c>
      <c r="E1" s="3" t="s">
        <v>198</v>
      </c>
      <c r="F1" s="3"/>
      <c r="H1" s="3" t="s">
        <v>197</v>
      </c>
      <c r="I1" s="3" t="s">
        <v>122</v>
      </c>
      <c r="J1" s="3" t="s">
        <v>123</v>
      </c>
    </row>
    <row r="2" spans="1:10" x14ac:dyDescent="0.25">
      <c r="B2" s="73" t="s">
        <v>199</v>
      </c>
      <c r="C2" s="73"/>
      <c r="D2" s="73"/>
      <c r="E2" s="73"/>
      <c r="F2" s="56" t="s">
        <v>200</v>
      </c>
      <c r="H2" s="73" t="s">
        <v>201</v>
      </c>
      <c r="I2" s="73"/>
      <c r="J2" s="73"/>
    </row>
    <row r="3" spans="1:10" x14ac:dyDescent="0.25">
      <c r="A3">
        <v>2000</v>
      </c>
      <c r="B3" s="4">
        <v>517489</v>
      </c>
      <c r="C3" s="4">
        <v>223500</v>
      </c>
      <c r="D3" s="4">
        <v>78615</v>
      </c>
      <c r="E3" s="4">
        <v>360232</v>
      </c>
      <c r="F3" s="3">
        <v>986.9</v>
      </c>
      <c r="H3" s="3">
        <f>B3*1000</f>
        <v>517489000</v>
      </c>
      <c r="I3" s="3">
        <f t="shared" ref="I3:J3" si="0">C3*1000</f>
        <v>223500000</v>
      </c>
      <c r="J3" s="3">
        <f t="shared" si="0"/>
        <v>78615000</v>
      </c>
    </row>
    <row r="4" spans="1:10" x14ac:dyDescent="0.25">
      <c r="A4">
        <v>2001</v>
      </c>
      <c r="B4" s="4">
        <v>489306</v>
      </c>
      <c r="C4" s="4">
        <v>241612</v>
      </c>
      <c r="D4" s="4">
        <v>117168</v>
      </c>
      <c r="E4" s="4">
        <v>361396</v>
      </c>
      <c r="F4" s="3">
        <v>990.1</v>
      </c>
      <c r="H4" s="3">
        <f t="shared" ref="H4:H17" si="1">B4*1000</f>
        <v>489306000</v>
      </c>
      <c r="I4" s="3">
        <f t="shared" ref="I4:I17" si="2">C4*1000</f>
        <v>241612000</v>
      </c>
      <c r="J4" s="3">
        <f t="shared" ref="J4:J17" si="3">D4*1000</f>
        <v>117168000</v>
      </c>
    </row>
    <row r="5" spans="1:10" x14ac:dyDescent="0.25">
      <c r="A5">
        <v>2002</v>
      </c>
      <c r="B5" s="4">
        <v>456026</v>
      </c>
      <c r="C5" s="4">
        <v>218115</v>
      </c>
      <c r="D5" s="4">
        <v>124148</v>
      </c>
      <c r="E5" s="4">
        <v>357971</v>
      </c>
      <c r="F5" s="3">
        <v>980.7</v>
      </c>
      <c r="H5" s="3">
        <f t="shared" si="1"/>
        <v>456026000</v>
      </c>
      <c r="I5" s="3">
        <f t="shared" si="2"/>
        <v>218115000</v>
      </c>
      <c r="J5" s="3">
        <f t="shared" si="3"/>
        <v>124148000</v>
      </c>
    </row>
    <row r="6" spans="1:10" x14ac:dyDescent="0.25">
      <c r="A6">
        <v>2003</v>
      </c>
      <c r="B6" s="4">
        <v>419255</v>
      </c>
      <c r="C6" s="4">
        <v>189095</v>
      </c>
      <c r="D6" s="4">
        <v>137127</v>
      </c>
      <c r="E6" s="4">
        <v>358519</v>
      </c>
      <c r="F6" s="3">
        <v>982.2</v>
      </c>
      <c r="H6" s="3">
        <f t="shared" si="1"/>
        <v>419255000</v>
      </c>
      <c r="I6" s="3">
        <f t="shared" si="2"/>
        <v>189095000</v>
      </c>
      <c r="J6" s="3">
        <f t="shared" si="3"/>
        <v>137127000</v>
      </c>
    </row>
    <row r="7" spans="1:10" x14ac:dyDescent="0.25">
      <c r="A7">
        <v>2004</v>
      </c>
      <c r="B7" s="4">
        <v>400554</v>
      </c>
      <c r="C7" s="4">
        <v>178869</v>
      </c>
      <c r="D7" s="4">
        <v>148490</v>
      </c>
      <c r="E7" s="4">
        <v>366033</v>
      </c>
      <c r="F7" s="11">
        <v>1002.8</v>
      </c>
      <c r="H7" s="3">
        <f t="shared" si="1"/>
        <v>400554000</v>
      </c>
      <c r="I7" s="3">
        <f t="shared" si="2"/>
        <v>178869000</v>
      </c>
      <c r="J7" s="3">
        <f t="shared" si="3"/>
        <v>148490000</v>
      </c>
    </row>
    <row r="8" spans="1:10" x14ac:dyDescent="0.25">
      <c r="A8">
        <v>2005</v>
      </c>
      <c r="B8" s="4">
        <v>386483</v>
      </c>
      <c r="C8" s="4">
        <v>159703</v>
      </c>
      <c r="D8" s="4">
        <v>164007</v>
      </c>
      <c r="E8" s="4">
        <v>357656</v>
      </c>
      <c r="F8" s="3">
        <v>979.9</v>
      </c>
      <c r="H8" s="3">
        <f t="shared" si="1"/>
        <v>386483000</v>
      </c>
      <c r="I8" s="3">
        <f t="shared" si="2"/>
        <v>159703000</v>
      </c>
      <c r="J8" s="3">
        <f t="shared" si="3"/>
        <v>164007000</v>
      </c>
    </row>
    <row r="9" spans="1:10" x14ac:dyDescent="0.25">
      <c r="A9">
        <v>2006</v>
      </c>
      <c r="B9" s="4">
        <v>367049</v>
      </c>
      <c r="C9" s="4">
        <v>134960</v>
      </c>
      <c r="D9" s="4">
        <v>116232</v>
      </c>
      <c r="E9" s="4">
        <v>333136</v>
      </c>
      <c r="F9" s="3">
        <v>912.7</v>
      </c>
      <c r="H9" s="3">
        <f t="shared" si="1"/>
        <v>367049000</v>
      </c>
      <c r="I9" s="3">
        <f t="shared" si="2"/>
        <v>134960000</v>
      </c>
      <c r="J9" s="3">
        <f t="shared" si="3"/>
        <v>116232000</v>
      </c>
    </row>
    <row r="10" spans="1:10" x14ac:dyDescent="0.25">
      <c r="A10">
        <v>2007</v>
      </c>
      <c r="B10" s="4">
        <v>348348</v>
      </c>
      <c r="C10" s="4">
        <v>135267</v>
      </c>
      <c r="D10" s="4">
        <v>115812</v>
      </c>
      <c r="E10" s="4">
        <v>330027</v>
      </c>
      <c r="F10" s="3">
        <v>904.2</v>
      </c>
      <c r="H10" s="3">
        <f t="shared" si="1"/>
        <v>348348000</v>
      </c>
      <c r="I10" s="3">
        <f t="shared" si="2"/>
        <v>135267000</v>
      </c>
      <c r="J10" s="3">
        <f t="shared" si="3"/>
        <v>115812000</v>
      </c>
    </row>
    <row r="11" spans="1:10" x14ac:dyDescent="0.25">
      <c r="A11">
        <v>2008</v>
      </c>
      <c r="B11" s="4">
        <v>357501</v>
      </c>
      <c r="C11" s="4">
        <v>134872</v>
      </c>
      <c r="D11" s="4">
        <v>97006</v>
      </c>
      <c r="E11" s="4">
        <v>331949</v>
      </c>
      <c r="F11" s="3">
        <v>885</v>
      </c>
      <c r="H11" s="3">
        <f t="shared" si="1"/>
        <v>357501000</v>
      </c>
      <c r="I11" s="3">
        <f t="shared" si="2"/>
        <v>134872000</v>
      </c>
      <c r="J11" s="3">
        <f t="shared" si="3"/>
        <v>97006000</v>
      </c>
    </row>
    <row r="12" spans="1:10" x14ac:dyDescent="0.25">
      <c r="A12">
        <v>2009</v>
      </c>
      <c r="B12" s="4">
        <v>346313</v>
      </c>
      <c r="C12" s="4">
        <v>132223</v>
      </c>
      <c r="D12" s="4">
        <v>120119</v>
      </c>
      <c r="E12" s="4">
        <v>320766</v>
      </c>
      <c r="F12" s="3">
        <v>905</v>
      </c>
      <c r="H12" s="3">
        <f t="shared" si="1"/>
        <v>346313000</v>
      </c>
      <c r="I12" s="3">
        <f t="shared" si="2"/>
        <v>132223000</v>
      </c>
      <c r="J12" s="3">
        <f t="shared" si="3"/>
        <v>120119000</v>
      </c>
    </row>
    <row r="13" spans="1:10" x14ac:dyDescent="0.25">
      <c r="A13">
        <v>2010</v>
      </c>
      <c r="B13" s="4">
        <v>344888</v>
      </c>
      <c r="C13" s="4">
        <v>134473</v>
      </c>
      <c r="D13" s="4">
        <v>101093</v>
      </c>
      <c r="E13" s="4">
        <v>299116</v>
      </c>
      <c r="F13" s="3">
        <v>819</v>
      </c>
      <c r="H13" s="3">
        <f t="shared" si="1"/>
        <v>344888000</v>
      </c>
      <c r="I13" s="3">
        <f t="shared" si="2"/>
        <v>134473000</v>
      </c>
      <c r="J13" s="3">
        <f t="shared" si="3"/>
        <v>101093000</v>
      </c>
    </row>
    <row r="14" spans="1:10" x14ac:dyDescent="0.25">
      <c r="A14">
        <v>2011</v>
      </c>
      <c r="B14" s="4">
        <v>329265</v>
      </c>
      <c r="C14" s="4">
        <v>135572</v>
      </c>
      <c r="D14" s="4">
        <v>96862</v>
      </c>
      <c r="E14" s="4">
        <v>321002</v>
      </c>
      <c r="F14" s="3">
        <v>879</v>
      </c>
      <c r="H14" s="3">
        <f t="shared" si="1"/>
        <v>329265000</v>
      </c>
      <c r="I14" s="3">
        <f t="shared" si="2"/>
        <v>135572000</v>
      </c>
      <c r="J14" s="3">
        <f t="shared" si="3"/>
        <v>96862000</v>
      </c>
    </row>
    <row r="15" spans="1:10" x14ac:dyDescent="0.25">
      <c r="A15">
        <v>2012</v>
      </c>
      <c r="B15" s="4">
        <v>314666</v>
      </c>
      <c r="C15" s="4">
        <v>106485</v>
      </c>
      <c r="D15" s="4">
        <v>95968</v>
      </c>
      <c r="E15" s="4">
        <v>299257</v>
      </c>
      <c r="F15" s="3">
        <v>820</v>
      </c>
      <c r="H15" s="3">
        <f t="shared" si="1"/>
        <v>314666000</v>
      </c>
      <c r="I15" s="3">
        <f t="shared" si="2"/>
        <v>106485000</v>
      </c>
      <c r="J15" s="3">
        <f t="shared" si="3"/>
        <v>95968000</v>
      </c>
    </row>
    <row r="16" spans="1:10" x14ac:dyDescent="0.25">
      <c r="A16">
        <v>2013</v>
      </c>
      <c r="B16" s="4">
        <v>300830</v>
      </c>
      <c r="C16" s="4">
        <v>104791</v>
      </c>
      <c r="D16" s="4">
        <v>118334</v>
      </c>
      <c r="E16" s="4">
        <v>300134</v>
      </c>
      <c r="F16" s="3">
        <v>822</v>
      </c>
      <c r="H16" s="3">
        <f t="shared" si="1"/>
        <v>300830000</v>
      </c>
      <c r="I16" s="3">
        <f t="shared" si="2"/>
        <v>104791000</v>
      </c>
      <c r="J16" s="3">
        <f t="shared" si="3"/>
        <v>118334000</v>
      </c>
    </row>
    <row r="17" spans="1:10" x14ac:dyDescent="0.25">
      <c r="A17">
        <v>2014</v>
      </c>
      <c r="B17" s="4">
        <v>287902</v>
      </c>
      <c r="C17" s="4">
        <v>93080</v>
      </c>
      <c r="D17" s="4">
        <v>121993</v>
      </c>
      <c r="E17" s="4">
        <v>309445</v>
      </c>
      <c r="F17" s="3">
        <v>848</v>
      </c>
      <c r="H17" s="3">
        <f t="shared" si="1"/>
        <v>287902000</v>
      </c>
      <c r="I17" s="3">
        <f t="shared" si="2"/>
        <v>93080000</v>
      </c>
      <c r="J17" s="3">
        <f t="shared" si="3"/>
        <v>121993000</v>
      </c>
    </row>
    <row r="18" spans="1:10" x14ac:dyDescent="0.25">
      <c r="A18">
        <v>2015</v>
      </c>
      <c r="B18" s="4">
        <v>286814</v>
      </c>
      <c r="C18" s="4">
        <v>115017</v>
      </c>
      <c r="D18" s="4">
        <v>136666</v>
      </c>
      <c r="E18" s="4">
        <v>367791</v>
      </c>
      <c r="F18" s="4">
        <v>1008</v>
      </c>
      <c r="H18" s="3">
        <f t="shared" ref="H18:H21" si="4">B18*1000</f>
        <v>286814000</v>
      </c>
      <c r="I18" s="3">
        <f t="shared" ref="I18:I21" si="5">C18*1000</f>
        <v>115017000</v>
      </c>
      <c r="J18" s="3">
        <f t="shared" ref="J18:J21" si="6">D18*1000</f>
        <v>136666000</v>
      </c>
    </row>
    <row r="19" spans="1:10" x14ac:dyDescent="0.25">
      <c r="A19">
        <v>2016</v>
      </c>
      <c r="B19" s="4">
        <v>304167</v>
      </c>
      <c r="C19" s="4">
        <v>125516</v>
      </c>
      <c r="D19" s="4">
        <v>148361</v>
      </c>
      <c r="E19" s="4">
        <v>323910</v>
      </c>
      <c r="F19" s="3">
        <v>887</v>
      </c>
      <c r="H19" s="3">
        <f t="shared" si="4"/>
        <v>304167000</v>
      </c>
      <c r="I19" s="3">
        <f t="shared" si="5"/>
        <v>125516000</v>
      </c>
      <c r="J19" s="3">
        <f t="shared" si="6"/>
        <v>148361000</v>
      </c>
    </row>
    <row r="20" spans="1:10" x14ac:dyDescent="0.25">
      <c r="A20">
        <v>2017</v>
      </c>
      <c r="B20" s="4">
        <v>292374</v>
      </c>
      <c r="C20" s="4">
        <v>102678</v>
      </c>
      <c r="D20" s="4">
        <v>141616</v>
      </c>
      <c r="E20" s="4">
        <v>323665</v>
      </c>
      <c r="F20" s="3">
        <v>887</v>
      </c>
      <c r="H20" s="3">
        <f t="shared" si="4"/>
        <v>292374000</v>
      </c>
      <c r="I20" s="3">
        <f t="shared" si="5"/>
        <v>102678000</v>
      </c>
      <c r="J20" s="3">
        <f t="shared" si="6"/>
        <v>141616000</v>
      </c>
    </row>
    <row r="21" spans="1:10" x14ac:dyDescent="0.25">
      <c r="A21">
        <v>2018</v>
      </c>
      <c r="B21" s="4">
        <v>281826</v>
      </c>
      <c r="C21" s="4">
        <v>74449</v>
      </c>
      <c r="D21" s="4">
        <v>113055</v>
      </c>
      <c r="E21" s="4">
        <v>334281</v>
      </c>
      <c r="F21" s="3">
        <v>916</v>
      </c>
      <c r="H21" s="3">
        <f t="shared" si="4"/>
        <v>281826000</v>
      </c>
      <c r="I21" s="3">
        <f t="shared" si="5"/>
        <v>74449000</v>
      </c>
      <c r="J21" s="3">
        <f t="shared" si="6"/>
        <v>113055000</v>
      </c>
    </row>
    <row r="22" spans="1:10" x14ac:dyDescent="0.25">
      <c r="A22">
        <v>2019</v>
      </c>
      <c r="B22" s="3"/>
      <c r="C22" s="3"/>
      <c r="D22" s="3"/>
      <c r="E22" s="3"/>
      <c r="F22" s="3"/>
    </row>
    <row r="23" spans="1:10" x14ac:dyDescent="0.25">
      <c r="A23">
        <v>2020</v>
      </c>
      <c r="B23" s="3"/>
      <c r="C23" s="3"/>
      <c r="D23" s="3"/>
      <c r="E23" s="3"/>
      <c r="F23" s="3"/>
    </row>
    <row r="24" spans="1:10" x14ac:dyDescent="0.25">
      <c r="B24" s="71" t="s">
        <v>196</v>
      </c>
      <c r="C24" s="71"/>
      <c r="D24" s="71"/>
    </row>
    <row r="25" spans="1:10" x14ac:dyDescent="0.25">
      <c r="B25" s="55"/>
      <c r="C25" s="55"/>
      <c r="D25" s="55"/>
    </row>
    <row r="26" spans="1:10" x14ac:dyDescent="0.25">
      <c r="C26" t="s">
        <v>92</v>
      </c>
      <c r="D26" t="s">
        <v>195</v>
      </c>
    </row>
    <row r="27" spans="1:10" x14ac:dyDescent="0.25">
      <c r="B27" t="s">
        <v>194</v>
      </c>
      <c r="C27" s="1">
        <v>340967</v>
      </c>
      <c r="D27" s="1">
        <v>180875</v>
      </c>
    </row>
    <row r="28" spans="1:10" x14ac:dyDescent="0.25">
      <c r="B28" t="s">
        <v>197</v>
      </c>
      <c r="C28" s="1">
        <v>281826</v>
      </c>
      <c r="D28">
        <v>0</v>
      </c>
    </row>
    <row r="29" spans="1:10" x14ac:dyDescent="0.25">
      <c r="B29" t="s">
        <v>123</v>
      </c>
      <c r="C29" s="1">
        <v>113055</v>
      </c>
      <c r="D29" s="1">
        <v>165725</v>
      </c>
    </row>
    <row r="30" spans="1:10" x14ac:dyDescent="0.25">
      <c r="B30" t="s">
        <v>122</v>
      </c>
      <c r="C30" s="1">
        <v>74449</v>
      </c>
      <c r="D30" s="1">
        <v>2244</v>
      </c>
    </row>
    <row r="31" spans="1:10" x14ac:dyDescent="0.25">
      <c r="B31" t="s">
        <v>121</v>
      </c>
      <c r="C31" s="1">
        <v>20535</v>
      </c>
      <c r="D31" s="1">
        <v>17394</v>
      </c>
    </row>
  </sheetData>
  <mergeCells count="3">
    <mergeCell ref="B24:D24"/>
    <mergeCell ref="B2:E2"/>
    <mergeCell ref="H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7E5-127E-4C7B-BECF-0B736A481D13}">
  <dimension ref="A1:AF23"/>
  <sheetViews>
    <sheetView workbookViewId="0">
      <selection activeCell="H32" sqref="H32"/>
    </sheetView>
  </sheetViews>
  <sheetFormatPr defaultRowHeight="15" x14ac:dyDescent="0.25"/>
  <cols>
    <col min="5" max="5" width="10" bestFit="1" customWidth="1"/>
    <col min="8" max="8" width="34.42578125" customWidth="1"/>
    <col min="9" max="9" width="22.140625" customWidth="1"/>
    <col min="11" max="11" width="10.5703125" bestFit="1" customWidth="1"/>
    <col min="12" max="12" width="14.85546875" bestFit="1" customWidth="1"/>
    <col min="14" max="14" width="12" bestFit="1" customWidth="1"/>
    <col min="15" max="15" width="14.85546875" bestFit="1" customWidth="1"/>
    <col min="16" max="16" width="20.5703125" bestFit="1" customWidth="1"/>
    <col min="17" max="17" width="7.42578125" customWidth="1"/>
    <col min="20" max="20" width="12.5703125" bestFit="1" customWidth="1"/>
    <col min="22" max="22" width="11.5703125" bestFit="1" customWidth="1"/>
    <col min="24" max="24" width="12.5703125" bestFit="1" customWidth="1"/>
    <col min="26" max="26" width="11.5703125" bestFit="1" customWidth="1"/>
    <col min="28" max="28" width="21.7109375" bestFit="1" customWidth="1"/>
    <col min="30" max="30" width="20" bestFit="1" customWidth="1"/>
    <col min="31" max="31" width="14.7109375" bestFit="1" customWidth="1"/>
  </cols>
  <sheetData>
    <row r="1" spans="1:32" ht="24.75" x14ac:dyDescent="0.25">
      <c r="A1" s="73" t="s">
        <v>56</v>
      </c>
      <c r="B1" s="73"/>
      <c r="C1" s="73"/>
      <c r="D1" s="73"/>
      <c r="E1" s="75" t="s">
        <v>206</v>
      </c>
      <c r="F1" s="76"/>
      <c r="G1" s="77"/>
      <c r="H1">
        <f>10^12</f>
        <v>1000000000000</v>
      </c>
      <c r="J1" s="74" t="s">
        <v>59</v>
      </c>
      <c r="K1" s="74"/>
      <c r="L1" s="74"/>
      <c r="M1" s="74"/>
      <c r="N1" s="78" t="s">
        <v>208</v>
      </c>
      <c r="O1" s="79"/>
      <c r="P1" s="79"/>
      <c r="Q1" s="58"/>
      <c r="S1" s="74" t="s">
        <v>209</v>
      </c>
      <c r="T1" s="74"/>
      <c r="U1" s="74"/>
      <c r="V1" s="74"/>
      <c r="W1" s="74" t="s">
        <v>210</v>
      </c>
      <c r="X1" s="74"/>
      <c r="Y1" s="74"/>
      <c r="Z1" s="74"/>
      <c r="AA1" s="74" t="s">
        <v>211</v>
      </c>
      <c r="AB1" s="74"/>
      <c r="AC1" s="74"/>
      <c r="AD1" s="74"/>
      <c r="AE1" s="57">
        <v>2132298</v>
      </c>
      <c r="AF1" s="58" t="s">
        <v>212</v>
      </c>
    </row>
    <row r="2" spans="1:32" x14ac:dyDescent="0.25">
      <c r="A2" s="3" t="s">
        <v>0</v>
      </c>
      <c r="B2" s="3" t="s">
        <v>54</v>
      </c>
      <c r="C2" s="3" t="s">
        <v>55</v>
      </c>
      <c r="D2" s="3" t="s">
        <v>20</v>
      </c>
      <c r="E2" s="3" t="s">
        <v>54</v>
      </c>
      <c r="F2" s="3" t="s">
        <v>55</v>
      </c>
      <c r="G2" s="3" t="s">
        <v>20</v>
      </c>
      <c r="H2" s="42" t="s">
        <v>219</v>
      </c>
      <c r="J2" s="2" t="s">
        <v>0</v>
      </c>
      <c r="K2" s="2" t="s">
        <v>57</v>
      </c>
      <c r="L2" s="2" t="s">
        <v>207</v>
      </c>
      <c r="M2" s="2" t="s">
        <v>20</v>
      </c>
      <c r="N2" s="2" t="s">
        <v>57</v>
      </c>
      <c r="O2" s="2" t="s">
        <v>207</v>
      </c>
      <c r="P2" s="2" t="s">
        <v>20</v>
      </c>
      <c r="Q2" s="61">
        <v>1000000</v>
      </c>
      <c r="S2" s="2" t="s">
        <v>0</v>
      </c>
      <c r="T2" s="2" t="s">
        <v>197</v>
      </c>
      <c r="U2" s="2" t="s">
        <v>123</v>
      </c>
      <c r="V2" s="2" t="s">
        <v>122</v>
      </c>
      <c r="W2" s="2" t="s">
        <v>0</v>
      </c>
      <c r="X2" s="2" t="s">
        <v>197</v>
      </c>
      <c r="Y2" s="2" t="s">
        <v>123</v>
      </c>
      <c r="Z2" s="2" t="s">
        <v>122</v>
      </c>
      <c r="AA2" s="2" t="s">
        <v>0</v>
      </c>
      <c r="AB2" s="2" t="s">
        <v>197</v>
      </c>
      <c r="AC2" s="2" t="s">
        <v>123</v>
      </c>
      <c r="AD2" s="2" t="s">
        <v>122</v>
      </c>
      <c r="AE2" s="58"/>
      <c r="AF2" s="58"/>
    </row>
    <row r="3" spans="1:32" x14ac:dyDescent="0.25">
      <c r="A3" s="3">
        <v>2000</v>
      </c>
      <c r="B3" s="3">
        <v>94.75</v>
      </c>
      <c r="C3" s="3">
        <v>75.56</v>
      </c>
      <c r="D3" s="3">
        <v>170.31</v>
      </c>
      <c r="E3" s="3">
        <f t="shared" ref="E3:E21" si="0">B3*$H$1</f>
        <v>94750000000000</v>
      </c>
      <c r="F3" s="3">
        <f t="shared" ref="F3:F21" si="1">C3*$H$1</f>
        <v>75560000000000</v>
      </c>
      <c r="G3" s="3">
        <f t="shared" ref="G3:G21" si="2">D3*$H$1</f>
        <v>170310000000000</v>
      </c>
      <c r="J3" s="2">
        <v>2000</v>
      </c>
      <c r="K3" s="5">
        <v>705979</v>
      </c>
      <c r="L3" s="5">
        <v>2195323</v>
      </c>
      <c r="M3" s="5">
        <v>2901302</v>
      </c>
      <c r="N3" s="2">
        <f>K3*$Q$2</f>
        <v>705979000000</v>
      </c>
      <c r="O3" s="2">
        <f t="shared" ref="O3:P3" si="3">L3*$Q$2</f>
        <v>2195323000000</v>
      </c>
      <c r="P3" s="2">
        <f t="shared" si="3"/>
        <v>2901302000000</v>
      </c>
      <c r="Q3" s="58"/>
      <c r="S3" s="2">
        <v>2000</v>
      </c>
      <c r="T3" s="59"/>
      <c r="U3" s="59"/>
      <c r="V3" s="59"/>
      <c r="W3" s="2">
        <v>2000</v>
      </c>
      <c r="X3" s="60">
        <f>T3*1000</f>
        <v>0</v>
      </c>
      <c r="Y3" s="60">
        <f t="shared" ref="Y3:Z18" si="4">U3*1000</f>
        <v>0</v>
      </c>
      <c r="Z3" s="60">
        <f t="shared" si="4"/>
        <v>0</v>
      </c>
      <c r="AA3" s="2">
        <v>2000</v>
      </c>
      <c r="AB3" s="60">
        <f>X3*$AE$1</f>
        <v>0</v>
      </c>
      <c r="AC3" s="60">
        <f t="shared" ref="AC3:AD3" si="5">Y3*$AE$1</f>
        <v>0</v>
      </c>
      <c r="AD3" s="60">
        <f t="shared" si="5"/>
        <v>0</v>
      </c>
      <c r="AE3" s="58"/>
      <c r="AF3" s="58"/>
    </row>
    <row r="4" spans="1:32" x14ac:dyDescent="0.25">
      <c r="A4" s="3">
        <v>2001</v>
      </c>
      <c r="B4" s="3">
        <v>92.1</v>
      </c>
      <c r="C4" s="3">
        <v>76.05</v>
      </c>
      <c r="D4" s="3">
        <v>168.15</v>
      </c>
      <c r="E4" s="3">
        <f t="shared" si="0"/>
        <v>92100000000000</v>
      </c>
      <c r="F4" s="3">
        <f t="shared" si="1"/>
        <v>76050000000000</v>
      </c>
      <c r="G4" s="3">
        <f t="shared" si="2"/>
        <v>168150000000000</v>
      </c>
      <c r="H4">
        <f>G3-P3</f>
        <v>167408698000000</v>
      </c>
      <c r="J4" s="2">
        <v>2001</v>
      </c>
      <c r="K4" s="5">
        <v>716930</v>
      </c>
      <c r="L4" s="5">
        <v>2089154</v>
      </c>
      <c r="M4" s="5">
        <v>2806084</v>
      </c>
      <c r="N4" s="2">
        <f t="shared" ref="N4:N21" si="6">K4*$Q$2</f>
        <v>716930000000</v>
      </c>
      <c r="O4" s="2">
        <f t="shared" ref="O4:O21" si="7">L4*$Q$2</f>
        <v>2089154000000</v>
      </c>
      <c r="P4" s="2">
        <f t="shared" ref="P4:P21" si="8">M4*$Q$2</f>
        <v>2806084000000</v>
      </c>
      <c r="Q4" s="58"/>
      <c r="S4" s="2">
        <v>2001</v>
      </c>
      <c r="T4" s="59"/>
      <c r="U4" s="59"/>
      <c r="V4" s="59"/>
      <c r="W4" s="2">
        <v>2001</v>
      </c>
      <c r="X4" s="60">
        <f t="shared" ref="X4:X23" si="9">T4*1000</f>
        <v>0</v>
      </c>
      <c r="Y4" s="60">
        <f t="shared" si="4"/>
        <v>0</v>
      </c>
      <c r="Z4" s="60">
        <f t="shared" si="4"/>
        <v>0</v>
      </c>
      <c r="AA4" s="2">
        <v>2001</v>
      </c>
      <c r="AB4" s="60">
        <f t="shared" ref="AB4:AB23" si="10">X4*$AE$1</f>
        <v>0</v>
      </c>
      <c r="AC4" s="60">
        <f t="shared" ref="AC4:AC23" si="11">Y4*$AE$1</f>
        <v>0</v>
      </c>
      <c r="AD4" s="60">
        <f t="shared" ref="AD4:AD23" si="12">Z4*$AE$1</f>
        <v>0</v>
      </c>
      <c r="AE4" s="58"/>
      <c r="AF4" s="58"/>
    </row>
    <row r="5" spans="1:32" x14ac:dyDescent="0.25">
      <c r="A5" s="3">
        <v>2002</v>
      </c>
      <c r="B5" s="3">
        <v>90.3</v>
      </c>
      <c r="C5" s="3">
        <v>86.29</v>
      </c>
      <c r="D5" s="3">
        <v>176.59</v>
      </c>
      <c r="E5" s="3">
        <f t="shared" si="0"/>
        <v>90300000000000</v>
      </c>
      <c r="F5" s="3">
        <f t="shared" si="1"/>
        <v>86290000000000</v>
      </c>
      <c r="G5" s="3">
        <f t="shared" si="2"/>
        <v>176590000000000</v>
      </c>
      <c r="H5">
        <f t="shared" ref="H5:H21" si="13">G4-P4</f>
        <v>165343916000000</v>
      </c>
      <c r="J5" s="2">
        <v>2002</v>
      </c>
      <c r="K5" s="5">
        <v>720125</v>
      </c>
      <c r="L5" s="5">
        <v>2316230</v>
      </c>
      <c r="M5" s="5">
        <v>3036355</v>
      </c>
      <c r="N5" s="2">
        <f t="shared" si="6"/>
        <v>720125000000</v>
      </c>
      <c r="O5" s="2">
        <f t="shared" si="7"/>
        <v>2316230000000</v>
      </c>
      <c r="P5" s="2">
        <f t="shared" si="8"/>
        <v>3036355000000</v>
      </c>
      <c r="Q5" s="58"/>
      <c r="S5" s="2">
        <v>2002</v>
      </c>
      <c r="T5" s="59"/>
      <c r="U5" s="59"/>
      <c r="V5" s="59"/>
      <c r="W5" s="2">
        <v>2002</v>
      </c>
      <c r="X5" s="60">
        <f t="shared" si="9"/>
        <v>0</v>
      </c>
      <c r="Y5" s="60">
        <f t="shared" si="4"/>
        <v>0</v>
      </c>
      <c r="Z5" s="60">
        <f t="shared" si="4"/>
        <v>0</v>
      </c>
      <c r="AA5" s="2">
        <v>2002</v>
      </c>
      <c r="AB5" s="60">
        <f t="shared" si="10"/>
        <v>0</v>
      </c>
      <c r="AC5" s="60">
        <f t="shared" si="11"/>
        <v>0</v>
      </c>
      <c r="AD5" s="60">
        <f t="shared" si="12"/>
        <v>0</v>
      </c>
      <c r="AE5" s="58"/>
      <c r="AF5" s="58"/>
    </row>
    <row r="6" spans="1:32" x14ac:dyDescent="0.25">
      <c r="A6" s="3">
        <v>2003</v>
      </c>
      <c r="B6" s="3">
        <v>91.17</v>
      </c>
      <c r="C6" s="3">
        <v>86.96</v>
      </c>
      <c r="D6" s="3">
        <v>178.13</v>
      </c>
      <c r="E6" s="3">
        <f t="shared" si="0"/>
        <v>91170000000000</v>
      </c>
      <c r="F6" s="3">
        <f t="shared" si="1"/>
        <v>86960000000000</v>
      </c>
      <c r="G6" s="3">
        <f t="shared" si="2"/>
        <v>178130000000000</v>
      </c>
      <c r="H6">
        <f t="shared" si="13"/>
        <v>173553645000000</v>
      </c>
      <c r="J6" s="2">
        <v>2003</v>
      </c>
      <c r="K6" s="5">
        <v>789202</v>
      </c>
      <c r="L6" s="5">
        <v>2366041</v>
      </c>
      <c r="M6" s="5">
        <v>3155243</v>
      </c>
      <c r="N6" s="2">
        <f t="shared" si="6"/>
        <v>789202000000</v>
      </c>
      <c r="O6" s="2">
        <f t="shared" si="7"/>
        <v>2366041000000</v>
      </c>
      <c r="P6" s="2">
        <f t="shared" si="8"/>
        <v>3155243000000</v>
      </c>
      <c r="Q6" s="58"/>
      <c r="S6" s="2">
        <v>2003</v>
      </c>
      <c r="T6" s="59"/>
      <c r="U6" s="59"/>
      <c r="V6" s="59"/>
      <c r="W6" s="2">
        <v>2003</v>
      </c>
      <c r="X6" s="60">
        <f t="shared" si="9"/>
        <v>0</v>
      </c>
      <c r="Y6" s="60">
        <f t="shared" si="4"/>
        <v>0</v>
      </c>
      <c r="Z6" s="60">
        <f t="shared" si="4"/>
        <v>0</v>
      </c>
      <c r="AA6" s="2">
        <v>2003</v>
      </c>
      <c r="AB6" s="60">
        <f t="shared" si="10"/>
        <v>0</v>
      </c>
      <c r="AC6" s="60">
        <f t="shared" si="11"/>
        <v>0</v>
      </c>
      <c r="AD6" s="60">
        <f t="shared" si="12"/>
        <v>0</v>
      </c>
      <c r="AE6" s="58"/>
      <c r="AF6" s="58"/>
    </row>
    <row r="7" spans="1:32" x14ac:dyDescent="0.25">
      <c r="A7" s="3">
        <v>2004</v>
      </c>
      <c r="B7" s="3">
        <v>97.81</v>
      </c>
      <c r="C7" s="3">
        <v>90.53</v>
      </c>
      <c r="D7" s="3">
        <v>188.34</v>
      </c>
      <c r="E7" s="3">
        <f t="shared" si="0"/>
        <v>97810000000000</v>
      </c>
      <c r="F7" s="3">
        <f t="shared" si="1"/>
        <v>90530000000000</v>
      </c>
      <c r="G7" s="3">
        <f t="shared" si="2"/>
        <v>188340000000000</v>
      </c>
      <c r="H7">
        <f t="shared" si="13"/>
        <v>174974757000000</v>
      </c>
      <c r="J7" s="2">
        <v>2004</v>
      </c>
      <c r="K7" s="5">
        <v>772812</v>
      </c>
      <c r="L7" s="5">
        <v>2231133</v>
      </c>
      <c r="M7" s="5">
        <v>3003945</v>
      </c>
      <c r="N7" s="2">
        <f t="shared" si="6"/>
        <v>772812000000</v>
      </c>
      <c r="O7" s="2">
        <f t="shared" si="7"/>
        <v>2231133000000</v>
      </c>
      <c r="P7" s="2">
        <f t="shared" si="8"/>
        <v>3003945000000</v>
      </c>
      <c r="Q7" s="58"/>
      <c r="S7" s="2">
        <v>2004</v>
      </c>
      <c r="T7" s="59"/>
      <c r="U7" s="59"/>
      <c r="V7" s="59"/>
      <c r="W7" s="2">
        <v>2004</v>
      </c>
      <c r="X7" s="60">
        <f t="shared" si="9"/>
        <v>0</v>
      </c>
      <c r="Y7" s="60">
        <f t="shared" si="4"/>
        <v>0</v>
      </c>
      <c r="Z7" s="60">
        <f t="shared" si="4"/>
        <v>0</v>
      </c>
      <c r="AA7" s="2">
        <v>2004</v>
      </c>
      <c r="AB7" s="60">
        <f t="shared" si="10"/>
        <v>0</v>
      </c>
      <c r="AC7" s="60">
        <f t="shared" si="11"/>
        <v>0</v>
      </c>
      <c r="AD7" s="60">
        <f t="shared" si="12"/>
        <v>0</v>
      </c>
      <c r="AE7" s="58"/>
      <c r="AF7" s="58"/>
    </row>
    <row r="8" spans="1:32" x14ac:dyDescent="0.25">
      <c r="A8" s="3">
        <v>2005</v>
      </c>
      <c r="B8" s="3">
        <v>97.26</v>
      </c>
      <c r="C8" s="3">
        <v>88.54</v>
      </c>
      <c r="D8" s="3">
        <v>185.8</v>
      </c>
      <c r="E8" s="3">
        <f t="shared" si="0"/>
        <v>97260000000000</v>
      </c>
      <c r="F8" s="3">
        <f t="shared" si="1"/>
        <v>88540000000000</v>
      </c>
      <c r="G8" s="3">
        <f t="shared" si="2"/>
        <v>185800000000000</v>
      </c>
      <c r="H8">
        <f t="shared" si="13"/>
        <v>185336055000000</v>
      </c>
      <c r="J8" s="2">
        <v>2005</v>
      </c>
      <c r="K8" s="5">
        <v>795224</v>
      </c>
      <c r="L8" s="5">
        <v>2190117</v>
      </c>
      <c r="M8" s="5">
        <v>2985341</v>
      </c>
      <c r="N8" s="2">
        <f t="shared" si="6"/>
        <v>795224000000</v>
      </c>
      <c r="O8" s="2">
        <f t="shared" si="7"/>
        <v>2190117000000</v>
      </c>
      <c r="P8" s="2">
        <f t="shared" si="8"/>
        <v>2985341000000</v>
      </c>
      <c r="Q8" s="58"/>
      <c r="S8" s="2">
        <v>2005</v>
      </c>
      <c r="T8" s="59"/>
      <c r="U8" s="59"/>
      <c r="V8" s="59"/>
      <c r="W8" s="2">
        <v>2005</v>
      </c>
      <c r="X8" s="60">
        <f t="shared" si="9"/>
        <v>0</v>
      </c>
      <c r="Y8" s="60">
        <f t="shared" si="4"/>
        <v>0</v>
      </c>
      <c r="Z8" s="60">
        <f t="shared" si="4"/>
        <v>0</v>
      </c>
      <c r="AA8" s="2">
        <v>2005</v>
      </c>
      <c r="AB8" s="60">
        <f t="shared" si="10"/>
        <v>0</v>
      </c>
      <c r="AC8" s="60">
        <f t="shared" si="11"/>
        <v>0</v>
      </c>
      <c r="AD8" s="60">
        <f t="shared" si="12"/>
        <v>0</v>
      </c>
      <c r="AE8" s="58"/>
      <c r="AF8" s="58"/>
    </row>
    <row r="9" spans="1:32" x14ac:dyDescent="0.25">
      <c r="A9" s="3">
        <v>2006</v>
      </c>
      <c r="B9" s="3">
        <v>94</v>
      </c>
      <c r="C9" s="3">
        <v>93.1</v>
      </c>
      <c r="D9" s="3">
        <v>187.1</v>
      </c>
      <c r="E9" s="3">
        <f t="shared" si="0"/>
        <v>94000000000000</v>
      </c>
      <c r="F9" s="3">
        <f t="shared" si="1"/>
        <v>93100000000000</v>
      </c>
      <c r="G9" s="3">
        <f t="shared" si="2"/>
        <v>187100000000000</v>
      </c>
      <c r="H9">
        <f t="shared" si="13"/>
        <v>182814659000000</v>
      </c>
      <c r="J9" s="2">
        <v>2006</v>
      </c>
      <c r="K9" s="5">
        <v>708715</v>
      </c>
      <c r="L9" s="5">
        <v>2245281</v>
      </c>
      <c r="M9" s="5">
        <v>2953997</v>
      </c>
      <c r="N9" s="2">
        <f t="shared" si="6"/>
        <v>708715000000</v>
      </c>
      <c r="O9" s="2">
        <f t="shared" si="7"/>
        <v>2245281000000</v>
      </c>
      <c r="P9" s="2">
        <f t="shared" si="8"/>
        <v>2953997000000</v>
      </c>
      <c r="Q9" s="58"/>
      <c r="S9" s="2">
        <v>2006</v>
      </c>
      <c r="T9" s="59"/>
      <c r="U9" s="59"/>
      <c r="V9" s="59"/>
      <c r="W9" s="2">
        <v>2006</v>
      </c>
      <c r="X9" s="60">
        <f t="shared" si="9"/>
        <v>0</v>
      </c>
      <c r="Y9" s="60">
        <f t="shared" si="4"/>
        <v>0</v>
      </c>
      <c r="Z9" s="60">
        <f t="shared" si="4"/>
        <v>0</v>
      </c>
      <c r="AA9" s="2">
        <v>2006</v>
      </c>
      <c r="AB9" s="60">
        <f t="shared" si="10"/>
        <v>0</v>
      </c>
      <c r="AC9" s="60">
        <f t="shared" si="11"/>
        <v>0</v>
      </c>
      <c r="AD9" s="60">
        <f t="shared" si="12"/>
        <v>0</v>
      </c>
      <c r="AE9" s="58"/>
      <c r="AF9" s="58"/>
    </row>
    <row r="10" spans="1:32" x14ac:dyDescent="0.25">
      <c r="A10" s="3">
        <v>2007</v>
      </c>
      <c r="B10" s="3">
        <v>106</v>
      </c>
      <c r="C10" s="3">
        <v>59</v>
      </c>
      <c r="D10" s="3">
        <v>165</v>
      </c>
      <c r="E10" s="3">
        <f t="shared" si="0"/>
        <v>106000000000000</v>
      </c>
      <c r="F10" s="3">
        <f t="shared" si="1"/>
        <v>59000000000000</v>
      </c>
      <c r="G10" s="3">
        <f t="shared" si="2"/>
        <v>165000000000000</v>
      </c>
      <c r="H10">
        <f t="shared" si="13"/>
        <v>184146003000000</v>
      </c>
      <c r="J10" s="2">
        <v>2007</v>
      </c>
      <c r="K10" s="5">
        <v>433630</v>
      </c>
      <c r="L10" s="5">
        <v>2371910</v>
      </c>
      <c r="M10" s="5">
        <v>2805540</v>
      </c>
      <c r="N10" s="2">
        <f t="shared" si="6"/>
        <v>433630000000</v>
      </c>
      <c r="O10" s="2">
        <f t="shared" si="7"/>
        <v>2371910000000</v>
      </c>
      <c r="P10" s="2">
        <f t="shared" si="8"/>
        <v>2805540000000</v>
      </c>
      <c r="Q10" s="58"/>
      <c r="S10" s="2">
        <v>2007</v>
      </c>
      <c r="T10" s="59"/>
      <c r="U10" s="59"/>
      <c r="V10" s="59"/>
      <c r="W10" s="2">
        <v>2007</v>
      </c>
      <c r="X10" s="60">
        <f t="shared" si="9"/>
        <v>0</v>
      </c>
      <c r="Y10" s="60">
        <f t="shared" si="4"/>
        <v>0</v>
      </c>
      <c r="Z10" s="60">
        <f t="shared" si="4"/>
        <v>0</v>
      </c>
      <c r="AA10" s="2">
        <v>2007</v>
      </c>
      <c r="AB10" s="60">
        <f t="shared" si="10"/>
        <v>0</v>
      </c>
      <c r="AC10" s="60">
        <f t="shared" si="11"/>
        <v>0</v>
      </c>
      <c r="AD10" s="60">
        <f t="shared" si="12"/>
        <v>0</v>
      </c>
      <c r="AE10" s="58"/>
      <c r="AF10" s="58"/>
    </row>
    <row r="11" spans="1:32" x14ac:dyDescent="0.25">
      <c r="A11" s="3">
        <v>2008</v>
      </c>
      <c r="B11" s="3">
        <v>112.5</v>
      </c>
      <c r="C11" s="3">
        <v>57.6</v>
      </c>
      <c r="D11" s="3">
        <v>170.1</v>
      </c>
      <c r="E11" s="3">
        <f t="shared" si="0"/>
        <v>112500000000000</v>
      </c>
      <c r="F11" s="3">
        <f t="shared" si="1"/>
        <v>57600000000000</v>
      </c>
      <c r="G11" s="3">
        <f t="shared" si="2"/>
        <v>170100000000000</v>
      </c>
      <c r="H11">
        <f t="shared" si="13"/>
        <v>162194460000000</v>
      </c>
      <c r="J11" s="2">
        <v>2008</v>
      </c>
      <c r="K11" s="5">
        <v>472897</v>
      </c>
      <c r="L11" s="5">
        <v>2412431</v>
      </c>
      <c r="M11" s="5">
        <v>2885328</v>
      </c>
      <c r="N11" s="2">
        <f t="shared" si="6"/>
        <v>472897000000</v>
      </c>
      <c r="O11" s="2">
        <f t="shared" si="7"/>
        <v>2412431000000</v>
      </c>
      <c r="P11" s="2">
        <f t="shared" si="8"/>
        <v>2885328000000</v>
      </c>
      <c r="Q11" s="58"/>
      <c r="S11" s="2">
        <v>2008</v>
      </c>
      <c r="T11" s="59">
        <v>444238</v>
      </c>
      <c r="U11" s="59"/>
      <c r="V11" s="59">
        <v>59169</v>
      </c>
      <c r="W11" s="2">
        <v>2008</v>
      </c>
      <c r="X11" s="60">
        <f t="shared" si="9"/>
        <v>444238000</v>
      </c>
      <c r="Y11" s="60">
        <f t="shared" si="4"/>
        <v>0</v>
      </c>
      <c r="Z11" s="60">
        <f t="shared" si="4"/>
        <v>59169000</v>
      </c>
      <c r="AA11" s="2">
        <v>2008</v>
      </c>
      <c r="AB11" s="60">
        <f t="shared" si="10"/>
        <v>947247798924000</v>
      </c>
      <c r="AC11" s="60">
        <f t="shared" si="11"/>
        <v>0</v>
      </c>
      <c r="AD11" s="60">
        <f t="shared" si="12"/>
        <v>126165940362000</v>
      </c>
      <c r="AE11" s="58"/>
      <c r="AF11" s="58"/>
    </row>
    <row r="12" spans="1:32" x14ac:dyDescent="0.25">
      <c r="A12" s="3">
        <v>2009</v>
      </c>
      <c r="B12" s="3">
        <v>107.34</v>
      </c>
      <c r="C12" s="3">
        <v>52.29</v>
      </c>
      <c r="D12" s="3">
        <v>159.63</v>
      </c>
      <c r="E12" s="3">
        <f t="shared" si="0"/>
        <v>107340000000000</v>
      </c>
      <c r="F12" s="3">
        <f t="shared" si="1"/>
        <v>52290000000000</v>
      </c>
      <c r="G12" s="3">
        <f t="shared" si="2"/>
        <v>159630000000000</v>
      </c>
      <c r="H12">
        <f t="shared" si="13"/>
        <v>167214672000000</v>
      </c>
      <c r="J12" s="2">
        <v>2009</v>
      </c>
      <c r="K12" s="5">
        <v>467570</v>
      </c>
      <c r="L12" s="5">
        <v>2593326</v>
      </c>
      <c r="M12" s="5">
        <v>3060897</v>
      </c>
      <c r="N12" s="2">
        <f t="shared" si="6"/>
        <v>467570000000</v>
      </c>
      <c r="O12" s="2">
        <f t="shared" si="7"/>
        <v>2593326000000</v>
      </c>
      <c r="P12" s="2">
        <f t="shared" si="8"/>
        <v>3060897000000</v>
      </c>
      <c r="Q12" s="58"/>
      <c r="S12" s="2">
        <v>2009</v>
      </c>
      <c r="T12" s="59">
        <v>459544</v>
      </c>
      <c r="U12" s="59"/>
      <c r="V12" s="59">
        <v>52822</v>
      </c>
      <c r="W12" s="2">
        <v>2009</v>
      </c>
      <c r="X12" s="60">
        <f t="shared" si="9"/>
        <v>459544000</v>
      </c>
      <c r="Y12" s="60">
        <f t="shared" si="4"/>
        <v>0</v>
      </c>
      <c r="Z12" s="60">
        <f t="shared" si="4"/>
        <v>52822000</v>
      </c>
      <c r="AA12" s="2">
        <v>2009</v>
      </c>
      <c r="AB12" s="60">
        <f t="shared" si="10"/>
        <v>979884752112000</v>
      </c>
      <c r="AC12" s="60">
        <f t="shared" si="11"/>
        <v>0</v>
      </c>
      <c r="AD12" s="60">
        <f t="shared" si="12"/>
        <v>112632244956000</v>
      </c>
      <c r="AE12" s="58"/>
      <c r="AF12" s="58"/>
    </row>
    <row r="13" spans="1:32" x14ac:dyDescent="0.25">
      <c r="A13" s="3">
        <v>2010</v>
      </c>
      <c r="B13" s="3">
        <v>108.4</v>
      </c>
      <c r="C13" s="3">
        <v>48.74</v>
      </c>
      <c r="D13" s="3">
        <v>157.13999999999999</v>
      </c>
      <c r="E13" s="3">
        <f t="shared" si="0"/>
        <v>108400000000000</v>
      </c>
      <c r="F13" s="3">
        <f t="shared" si="1"/>
        <v>48740000000000</v>
      </c>
      <c r="G13" s="3">
        <f t="shared" si="2"/>
        <v>157140000000000</v>
      </c>
      <c r="H13">
        <f t="shared" si="13"/>
        <v>156569103000000</v>
      </c>
      <c r="J13" s="2">
        <v>2010</v>
      </c>
      <c r="K13" s="5">
        <v>471507</v>
      </c>
      <c r="L13" s="5">
        <v>2936086</v>
      </c>
      <c r="M13" s="5">
        <v>3407592</v>
      </c>
      <c r="N13" s="2">
        <f t="shared" si="6"/>
        <v>471507000000</v>
      </c>
      <c r="O13" s="2">
        <f t="shared" si="7"/>
        <v>2936086000000</v>
      </c>
      <c r="P13" s="2">
        <f t="shared" si="8"/>
        <v>3407592000000</v>
      </c>
      <c r="Q13" s="58"/>
      <c r="S13" s="2">
        <v>2010</v>
      </c>
      <c r="T13" s="59"/>
      <c r="U13" s="59"/>
      <c r="V13" s="59"/>
      <c r="W13" s="2">
        <v>2010</v>
      </c>
      <c r="X13" s="60">
        <f t="shared" si="9"/>
        <v>0</v>
      </c>
      <c r="Y13" s="60">
        <f t="shared" si="4"/>
        <v>0</v>
      </c>
      <c r="Z13" s="60">
        <f t="shared" si="4"/>
        <v>0</v>
      </c>
      <c r="AA13" s="2">
        <v>2010</v>
      </c>
      <c r="AB13" s="60">
        <f t="shared" si="10"/>
        <v>0</v>
      </c>
      <c r="AC13" s="60">
        <f t="shared" si="11"/>
        <v>0</v>
      </c>
      <c r="AD13" s="60">
        <f t="shared" si="12"/>
        <v>0</v>
      </c>
      <c r="AE13" s="58"/>
      <c r="AF13" s="58"/>
    </row>
    <row r="14" spans="1:32" x14ac:dyDescent="0.25">
      <c r="A14" s="3">
        <v>2011</v>
      </c>
      <c r="B14" s="3">
        <v>104.71</v>
      </c>
      <c r="C14" s="3">
        <v>48.18</v>
      </c>
      <c r="D14" s="3">
        <v>152.88999999999999</v>
      </c>
      <c r="E14" s="3">
        <f t="shared" si="0"/>
        <v>104710000000000</v>
      </c>
      <c r="F14" s="3">
        <f t="shared" si="1"/>
        <v>48180000000000</v>
      </c>
      <c r="G14" s="3">
        <f t="shared" si="2"/>
        <v>152890000000000</v>
      </c>
      <c r="H14">
        <f t="shared" si="13"/>
        <v>153732408000000</v>
      </c>
      <c r="J14" s="2">
        <v>2011</v>
      </c>
      <c r="K14" s="5">
        <v>472552</v>
      </c>
      <c r="L14" s="5">
        <v>2783827</v>
      </c>
      <c r="M14" s="5">
        <v>3256379</v>
      </c>
      <c r="N14" s="2">
        <f t="shared" si="6"/>
        <v>472552000000</v>
      </c>
      <c r="O14" s="2">
        <f t="shared" si="7"/>
        <v>2783827000000</v>
      </c>
      <c r="P14" s="2">
        <f t="shared" si="8"/>
        <v>3256379000000</v>
      </c>
      <c r="Q14" s="58"/>
      <c r="S14" s="2">
        <v>2011</v>
      </c>
      <c r="T14" s="59">
        <v>519210</v>
      </c>
      <c r="U14" s="59"/>
      <c r="V14" s="59">
        <v>60258</v>
      </c>
      <c r="W14" s="2">
        <v>2011</v>
      </c>
      <c r="X14" s="60">
        <f t="shared" si="9"/>
        <v>519210000</v>
      </c>
      <c r="Y14" s="60">
        <f t="shared" si="4"/>
        <v>0</v>
      </c>
      <c r="Z14" s="60">
        <f t="shared" si="4"/>
        <v>60258000</v>
      </c>
      <c r="AA14" s="2">
        <v>2011</v>
      </c>
      <c r="AB14" s="60">
        <f t="shared" si="10"/>
        <v>1107110444580000</v>
      </c>
      <c r="AC14" s="60">
        <f t="shared" si="11"/>
        <v>0</v>
      </c>
      <c r="AD14" s="60">
        <f t="shared" si="12"/>
        <v>128488012884000</v>
      </c>
      <c r="AE14" s="58"/>
      <c r="AF14" s="58"/>
    </row>
    <row r="15" spans="1:32" x14ac:dyDescent="0.25">
      <c r="A15" s="3">
        <v>2012</v>
      </c>
      <c r="B15" s="3">
        <v>103.35</v>
      </c>
      <c r="C15" s="3">
        <v>47.35</v>
      </c>
      <c r="D15" s="3">
        <v>150.69999999999999</v>
      </c>
      <c r="E15" s="3">
        <f t="shared" si="0"/>
        <v>103350000000000</v>
      </c>
      <c r="F15" s="3">
        <f t="shared" si="1"/>
        <v>47350000000000</v>
      </c>
      <c r="G15" s="3">
        <f t="shared" si="2"/>
        <v>150700000000000</v>
      </c>
      <c r="H15">
        <f t="shared" si="13"/>
        <v>149633621000000</v>
      </c>
      <c r="J15" s="2">
        <v>2012</v>
      </c>
      <c r="K15" s="5">
        <v>405465</v>
      </c>
      <c r="L15" s="5">
        <v>2769175</v>
      </c>
      <c r="M15" s="5">
        <v>3174639</v>
      </c>
      <c r="N15" s="2">
        <f t="shared" si="6"/>
        <v>405465000000</v>
      </c>
      <c r="O15" s="2">
        <f t="shared" si="7"/>
        <v>2769175000000</v>
      </c>
      <c r="P15" s="2">
        <f t="shared" si="8"/>
        <v>3174639000000</v>
      </c>
      <c r="Q15" s="58"/>
      <c r="S15" s="2">
        <v>2012</v>
      </c>
      <c r="T15" s="59">
        <v>494331</v>
      </c>
      <c r="U15" s="59"/>
      <c r="V15" s="59">
        <v>64355</v>
      </c>
      <c r="W15" s="2">
        <v>2012</v>
      </c>
      <c r="X15" s="60">
        <f t="shared" si="9"/>
        <v>494331000</v>
      </c>
      <c r="Y15" s="60">
        <f t="shared" si="4"/>
        <v>0</v>
      </c>
      <c r="Z15" s="60">
        <f t="shared" si="4"/>
        <v>64355000</v>
      </c>
      <c r="AA15" s="2">
        <v>2012</v>
      </c>
      <c r="AB15" s="60">
        <f t="shared" si="10"/>
        <v>1054061002638000</v>
      </c>
      <c r="AC15" s="60">
        <f t="shared" si="11"/>
        <v>0</v>
      </c>
      <c r="AD15" s="60">
        <f t="shared" si="12"/>
        <v>137224037790000</v>
      </c>
      <c r="AE15" s="58"/>
      <c r="AF15" s="58"/>
    </row>
    <row r="16" spans="1:32" x14ac:dyDescent="0.25">
      <c r="A16" s="3">
        <v>2013</v>
      </c>
      <c r="B16" s="3">
        <v>101.54</v>
      </c>
      <c r="C16" s="3">
        <v>48.85</v>
      </c>
      <c r="D16" s="3">
        <v>150.38999999999999</v>
      </c>
      <c r="E16" s="3">
        <f t="shared" si="0"/>
        <v>101540000000000</v>
      </c>
      <c r="F16" s="3">
        <f t="shared" si="1"/>
        <v>48850000000000</v>
      </c>
      <c r="G16" s="3">
        <f t="shared" si="2"/>
        <v>150390000000000</v>
      </c>
      <c r="H16">
        <f t="shared" si="13"/>
        <v>147525361000000</v>
      </c>
      <c r="J16" s="2">
        <v>2013</v>
      </c>
      <c r="K16" s="5">
        <v>352561</v>
      </c>
      <c r="L16" s="5">
        <v>2768277</v>
      </c>
      <c r="M16" s="5">
        <v>3120838</v>
      </c>
      <c r="N16" s="2">
        <f t="shared" si="6"/>
        <v>352561000000</v>
      </c>
      <c r="O16" s="2">
        <f t="shared" si="7"/>
        <v>2768277000000</v>
      </c>
      <c r="P16" s="2">
        <f t="shared" si="8"/>
        <v>3120838000000</v>
      </c>
      <c r="Q16" s="58"/>
      <c r="S16" s="2">
        <v>2013</v>
      </c>
      <c r="T16" s="59">
        <v>462317</v>
      </c>
      <c r="U16" s="59"/>
      <c r="V16" s="59">
        <v>60195</v>
      </c>
      <c r="W16" s="2">
        <v>2013</v>
      </c>
      <c r="X16" s="60">
        <f t="shared" si="9"/>
        <v>462317000</v>
      </c>
      <c r="Y16" s="60">
        <f t="shared" si="4"/>
        <v>0</v>
      </c>
      <c r="Z16" s="60">
        <f t="shared" si="4"/>
        <v>60195000</v>
      </c>
      <c r="AA16" s="2">
        <v>2013</v>
      </c>
      <c r="AB16" s="60">
        <f t="shared" si="10"/>
        <v>985797614466000</v>
      </c>
      <c r="AC16" s="60">
        <f t="shared" si="11"/>
        <v>0</v>
      </c>
      <c r="AD16" s="60">
        <f t="shared" si="12"/>
        <v>128353678110000</v>
      </c>
      <c r="AE16" s="58"/>
      <c r="AF16" s="58"/>
    </row>
    <row r="17" spans="1:32" x14ac:dyDescent="0.25">
      <c r="A17" s="3">
        <v>2014</v>
      </c>
      <c r="B17" s="3">
        <v>100.26</v>
      </c>
      <c r="C17" s="3">
        <v>49.04</v>
      </c>
      <c r="D17" s="3">
        <v>149.30000000000001</v>
      </c>
      <c r="E17" s="3">
        <f t="shared" si="0"/>
        <v>100260000000000</v>
      </c>
      <c r="F17" s="3">
        <f t="shared" si="1"/>
        <v>49040000000000</v>
      </c>
      <c r="G17" s="3">
        <f t="shared" si="2"/>
        <v>149300000000000</v>
      </c>
      <c r="H17">
        <f t="shared" si="13"/>
        <v>147269162000000</v>
      </c>
      <c r="J17" s="2">
        <v>2014</v>
      </c>
      <c r="K17" s="5">
        <v>304693</v>
      </c>
      <c r="L17" s="5">
        <v>2871098</v>
      </c>
      <c r="M17" s="5">
        <v>3175791</v>
      </c>
      <c r="N17" s="2">
        <f t="shared" si="6"/>
        <v>304693000000</v>
      </c>
      <c r="O17" s="2">
        <f t="shared" si="7"/>
        <v>2871098000000</v>
      </c>
      <c r="P17" s="2">
        <f t="shared" si="8"/>
        <v>3175791000000</v>
      </c>
      <c r="Q17" s="58"/>
      <c r="S17" s="2">
        <v>2014</v>
      </c>
      <c r="T17" s="59">
        <v>482749</v>
      </c>
      <c r="U17" s="59"/>
      <c r="V17" s="59">
        <v>61543</v>
      </c>
      <c r="W17" s="2">
        <v>2014</v>
      </c>
      <c r="X17" s="60">
        <f t="shared" si="9"/>
        <v>482749000</v>
      </c>
      <c r="Y17" s="60">
        <f t="shared" si="4"/>
        <v>0</v>
      </c>
      <c r="Z17" s="60">
        <f t="shared" si="4"/>
        <v>61543000</v>
      </c>
      <c r="AA17" s="2">
        <v>2014</v>
      </c>
      <c r="AB17" s="60">
        <f t="shared" si="10"/>
        <v>1029364727202000</v>
      </c>
      <c r="AC17" s="60">
        <f t="shared" si="11"/>
        <v>0</v>
      </c>
      <c r="AD17" s="60">
        <f t="shared" si="12"/>
        <v>131228015814000</v>
      </c>
      <c r="AE17" s="58"/>
      <c r="AF17" s="58"/>
    </row>
    <row r="18" spans="1:32" x14ac:dyDescent="0.25">
      <c r="A18" s="3">
        <v>2015</v>
      </c>
      <c r="B18" s="3">
        <v>97.99</v>
      </c>
      <c r="C18" s="3">
        <v>53.34</v>
      </c>
      <c r="D18" s="3">
        <v>151.33000000000001</v>
      </c>
      <c r="E18" s="3">
        <f t="shared" si="0"/>
        <v>97990000000000</v>
      </c>
      <c r="F18" s="3">
        <f t="shared" si="1"/>
        <v>53340000000000</v>
      </c>
      <c r="G18" s="3">
        <f t="shared" si="2"/>
        <v>151330000000000</v>
      </c>
      <c r="H18">
        <f t="shared" si="13"/>
        <v>146124209000000</v>
      </c>
      <c r="J18" s="2">
        <v>2015</v>
      </c>
      <c r="K18" s="94">
        <v>376669</v>
      </c>
      <c r="L18" s="5">
        <v>2739473</v>
      </c>
      <c r="M18" s="5">
        <v>3116142</v>
      </c>
      <c r="N18" s="2">
        <f t="shared" si="6"/>
        <v>376669000000</v>
      </c>
      <c r="O18" s="2">
        <f t="shared" si="7"/>
        <v>2739473000000</v>
      </c>
      <c r="P18" s="96">
        <f t="shared" si="8"/>
        <v>3116142000000</v>
      </c>
      <c r="Q18" s="58"/>
      <c r="S18" s="2">
        <v>2015</v>
      </c>
      <c r="T18" s="59">
        <v>480375</v>
      </c>
      <c r="U18" s="59"/>
      <c r="V18" s="59">
        <v>55080</v>
      </c>
      <c r="W18" s="2">
        <v>2015</v>
      </c>
      <c r="X18" s="60">
        <f t="shared" si="9"/>
        <v>480375000</v>
      </c>
      <c r="Y18" s="60">
        <f t="shared" si="4"/>
        <v>0</v>
      </c>
      <c r="Z18" s="60">
        <f t="shared" si="4"/>
        <v>55080000</v>
      </c>
      <c r="AA18" s="2">
        <v>2015</v>
      </c>
      <c r="AB18" s="95">
        <f t="shared" si="10"/>
        <v>1024302651750000</v>
      </c>
      <c r="AC18" s="60">
        <f t="shared" si="11"/>
        <v>0</v>
      </c>
      <c r="AD18" s="60">
        <f t="shared" si="12"/>
        <v>117446973840000</v>
      </c>
      <c r="AE18" s="58"/>
      <c r="AF18" s="58"/>
    </row>
    <row r="19" spans="1:32" x14ac:dyDescent="0.25">
      <c r="A19" s="3">
        <v>2016</v>
      </c>
      <c r="B19" s="3">
        <v>101.22</v>
      </c>
      <c r="C19" s="3">
        <v>42.84</v>
      </c>
      <c r="D19" s="3">
        <v>144.06</v>
      </c>
      <c r="E19" s="3">
        <f t="shared" si="0"/>
        <v>101220000000000</v>
      </c>
      <c r="F19" s="3">
        <f t="shared" si="1"/>
        <v>42840000000000</v>
      </c>
      <c r="G19" s="3">
        <f t="shared" si="2"/>
        <v>144060000000000</v>
      </c>
      <c r="H19">
        <f t="shared" si="13"/>
        <v>148213858000000</v>
      </c>
      <c r="J19" s="2">
        <v>2016</v>
      </c>
      <c r="K19" s="5">
        <v>467813</v>
      </c>
      <c r="L19" s="5">
        <v>2602426</v>
      </c>
      <c r="M19" s="5">
        <v>3070239</v>
      </c>
      <c r="N19" s="2">
        <f t="shared" si="6"/>
        <v>467813000000</v>
      </c>
      <c r="O19" s="2">
        <f t="shared" si="7"/>
        <v>2602426000000</v>
      </c>
      <c r="P19" s="2">
        <f t="shared" si="8"/>
        <v>3070239000000</v>
      </c>
      <c r="Q19" s="58"/>
      <c r="S19" s="2">
        <v>2016</v>
      </c>
      <c r="T19" s="59">
        <v>473613</v>
      </c>
      <c r="U19" s="59"/>
      <c r="V19" s="59">
        <v>50780</v>
      </c>
      <c r="W19" s="2">
        <v>2016</v>
      </c>
      <c r="X19" s="60">
        <f t="shared" si="9"/>
        <v>473613000</v>
      </c>
      <c r="Y19" s="60">
        <f t="shared" ref="Y19:Y23" si="14">U19*1000</f>
        <v>0</v>
      </c>
      <c r="Z19" s="60">
        <f t="shared" ref="Z19:Z23" si="15">V19*1000</f>
        <v>50780000</v>
      </c>
      <c r="AA19" s="2">
        <v>2016</v>
      </c>
      <c r="AB19" s="60">
        <f t="shared" si="10"/>
        <v>1009884052674000</v>
      </c>
      <c r="AC19" s="60">
        <f t="shared" si="11"/>
        <v>0</v>
      </c>
      <c r="AD19" s="60">
        <f t="shared" si="12"/>
        <v>108278092440000</v>
      </c>
      <c r="AE19" s="58"/>
      <c r="AF19" s="58"/>
    </row>
    <row r="20" spans="1:32" x14ac:dyDescent="0.25">
      <c r="A20" s="3">
        <v>2017</v>
      </c>
      <c r="B20" s="3">
        <v>100.37</v>
      </c>
      <c r="C20" s="3">
        <v>42.35</v>
      </c>
      <c r="D20" s="3">
        <v>142.72</v>
      </c>
      <c r="E20" s="3">
        <f t="shared" si="0"/>
        <v>100370000000000</v>
      </c>
      <c r="F20" s="3">
        <f t="shared" si="1"/>
        <v>42350000000000</v>
      </c>
      <c r="G20" s="3">
        <f t="shared" si="2"/>
        <v>142720000000000</v>
      </c>
      <c r="H20">
        <f t="shared" si="13"/>
        <v>140989761000000</v>
      </c>
      <c r="J20" s="2">
        <v>2017</v>
      </c>
      <c r="K20" s="5">
        <v>497079</v>
      </c>
      <c r="L20" s="5">
        <v>2466105</v>
      </c>
      <c r="M20" s="5">
        <v>2963184</v>
      </c>
      <c r="N20" s="2">
        <f t="shared" si="6"/>
        <v>497079000000</v>
      </c>
      <c r="O20" s="2">
        <f t="shared" si="7"/>
        <v>2466105000000</v>
      </c>
      <c r="P20" s="2">
        <f t="shared" si="8"/>
        <v>2963184000000</v>
      </c>
      <c r="Q20" s="58"/>
      <c r="S20" s="2">
        <v>2017</v>
      </c>
      <c r="T20" s="59"/>
      <c r="U20" s="59"/>
      <c r="V20" s="59"/>
      <c r="W20" s="2">
        <v>2017</v>
      </c>
      <c r="X20" s="60">
        <f t="shared" si="9"/>
        <v>0</v>
      </c>
      <c r="Y20" s="60">
        <f t="shared" si="14"/>
        <v>0</v>
      </c>
      <c r="Z20" s="60">
        <f t="shared" si="15"/>
        <v>0</v>
      </c>
      <c r="AA20" s="2">
        <v>2017</v>
      </c>
      <c r="AB20" s="60">
        <f t="shared" si="10"/>
        <v>0</v>
      </c>
      <c r="AC20" s="60">
        <f t="shared" si="11"/>
        <v>0</v>
      </c>
      <c r="AD20" s="60">
        <f t="shared" si="12"/>
        <v>0</v>
      </c>
      <c r="AE20" s="58"/>
      <c r="AF20" s="58"/>
    </row>
    <row r="21" spans="1:32" x14ac:dyDescent="0.25">
      <c r="A21" s="3">
        <v>2018</v>
      </c>
      <c r="B21" s="3">
        <v>96.06</v>
      </c>
      <c r="C21" s="3">
        <v>39.49</v>
      </c>
      <c r="D21" s="3">
        <v>135.55000000000001</v>
      </c>
      <c r="E21" s="3">
        <f t="shared" si="0"/>
        <v>96060000000000</v>
      </c>
      <c r="F21" s="3">
        <f t="shared" si="1"/>
        <v>39490000000000</v>
      </c>
      <c r="G21" s="3">
        <f t="shared" si="2"/>
        <v>135550000000000.02</v>
      </c>
      <c r="H21">
        <f t="shared" si="13"/>
        <v>139756816000000</v>
      </c>
      <c r="J21" s="2">
        <v>2018</v>
      </c>
      <c r="K21" s="5">
        <v>577270</v>
      </c>
      <c r="L21" s="5">
        <v>2419532</v>
      </c>
      <c r="M21" s="5">
        <v>2996802</v>
      </c>
      <c r="N21" s="2">
        <f t="shared" si="6"/>
        <v>577270000000</v>
      </c>
      <c r="O21" s="2">
        <f t="shared" si="7"/>
        <v>2419532000000</v>
      </c>
      <c r="P21" s="2">
        <f t="shared" si="8"/>
        <v>2996802000000</v>
      </c>
      <c r="Q21" s="58"/>
      <c r="S21" s="2">
        <v>2018</v>
      </c>
      <c r="T21" s="59">
        <v>460281</v>
      </c>
      <c r="U21" s="59"/>
      <c r="V21" s="59">
        <v>46908</v>
      </c>
      <c r="W21" s="2">
        <v>2018</v>
      </c>
      <c r="X21" s="60">
        <f t="shared" si="9"/>
        <v>460281000</v>
      </c>
      <c r="Y21" s="60">
        <f t="shared" si="14"/>
        <v>0</v>
      </c>
      <c r="Z21" s="60">
        <f t="shared" si="15"/>
        <v>46908000</v>
      </c>
      <c r="AA21" s="2">
        <v>2018</v>
      </c>
      <c r="AB21" s="60">
        <f t="shared" si="10"/>
        <v>981456255738000</v>
      </c>
      <c r="AC21" s="60">
        <f t="shared" si="11"/>
        <v>0</v>
      </c>
      <c r="AD21" s="60">
        <f t="shared" si="12"/>
        <v>100021834584000</v>
      </c>
      <c r="AE21" s="58"/>
      <c r="AF21" s="58"/>
    </row>
    <row r="22" spans="1:32" x14ac:dyDescent="0.25">
      <c r="A22" s="3">
        <v>2019</v>
      </c>
      <c r="B22" s="3"/>
      <c r="C22" s="3"/>
      <c r="D22" s="3"/>
      <c r="E22" s="3"/>
      <c r="F22" s="3"/>
      <c r="G22" s="3"/>
      <c r="J22" s="2">
        <v>2019</v>
      </c>
      <c r="K22" s="2"/>
      <c r="L22" s="2"/>
      <c r="M22" s="2"/>
      <c r="N22" s="2"/>
      <c r="O22" s="2"/>
      <c r="P22" s="2"/>
      <c r="Q22" s="58"/>
      <c r="S22" s="2">
        <v>2019</v>
      </c>
      <c r="T22" s="2"/>
      <c r="U22" s="2"/>
      <c r="V22" s="2"/>
      <c r="W22" s="2">
        <v>2019</v>
      </c>
      <c r="X22" s="60">
        <f t="shared" si="9"/>
        <v>0</v>
      </c>
      <c r="Y22" s="60">
        <f t="shared" si="14"/>
        <v>0</v>
      </c>
      <c r="Z22" s="60">
        <f t="shared" si="15"/>
        <v>0</v>
      </c>
      <c r="AA22" s="2">
        <v>2019</v>
      </c>
      <c r="AB22" s="60">
        <f t="shared" si="10"/>
        <v>0</v>
      </c>
      <c r="AC22" s="60">
        <f t="shared" si="11"/>
        <v>0</v>
      </c>
      <c r="AD22" s="60">
        <f t="shared" si="12"/>
        <v>0</v>
      </c>
      <c r="AE22" s="58"/>
      <c r="AF22" s="58"/>
    </row>
    <row r="23" spans="1:32" x14ac:dyDescent="0.25">
      <c r="A23" s="3">
        <v>2020</v>
      </c>
      <c r="B23" s="3"/>
      <c r="C23" s="3"/>
      <c r="D23" s="3"/>
      <c r="E23" s="3"/>
      <c r="F23" s="3"/>
      <c r="G23" s="3"/>
      <c r="J23" s="2">
        <v>2020</v>
      </c>
      <c r="K23" s="2"/>
      <c r="L23" s="2"/>
      <c r="M23" s="2"/>
      <c r="N23" s="2"/>
      <c r="O23" s="2"/>
      <c r="P23" s="2"/>
      <c r="Q23" s="58"/>
      <c r="S23" s="2">
        <v>2020</v>
      </c>
      <c r="T23" s="2"/>
      <c r="U23" s="2"/>
      <c r="V23" s="2"/>
      <c r="W23" s="2">
        <v>2020</v>
      </c>
      <c r="X23" s="60">
        <f t="shared" si="9"/>
        <v>0</v>
      </c>
      <c r="Y23" s="60">
        <f t="shared" si="14"/>
        <v>0</v>
      </c>
      <c r="Z23" s="60">
        <f t="shared" si="15"/>
        <v>0</v>
      </c>
      <c r="AA23" s="2">
        <v>2020</v>
      </c>
      <c r="AB23" s="60">
        <f t="shared" si="10"/>
        <v>0</v>
      </c>
      <c r="AC23" s="60">
        <f t="shared" si="11"/>
        <v>0</v>
      </c>
      <c r="AD23" s="60">
        <f t="shared" si="12"/>
        <v>0</v>
      </c>
      <c r="AE23" s="58"/>
      <c r="AF23" s="58"/>
    </row>
  </sheetData>
  <mergeCells count="7">
    <mergeCell ref="W1:Z1"/>
    <mergeCell ref="AA1:AD1"/>
    <mergeCell ref="A1:D1"/>
    <mergeCell ref="E1:G1"/>
    <mergeCell ref="J1:M1"/>
    <mergeCell ref="N1:P1"/>
    <mergeCell ref="S1:V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9E63-FA2D-4426-B026-3ABC1DCFDCC6}">
  <dimension ref="A1: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RowHeight="15" x14ac:dyDescent="0.25"/>
  <cols>
    <col min="2" max="2" width="10.7109375" bestFit="1" customWidth="1"/>
    <col min="4" max="4" width="11.85546875" customWidth="1"/>
    <col min="5" max="5" width="15" bestFit="1" customWidth="1"/>
    <col min="6" max="6" width="18.5703125" bestFit="1" customWidth="1"/>
    <col min="12" max="12" width="10" bestFit="1" customWidth="1"/>
  </cols>
  <sheetData>
    <row r="1" spans="1:12" ht="28.5" customHeight="1" x14ac:dyDescent="0.25">
      <c r="B1" s="80" t="s">
        <v>129</v>
      </c>
      <c r="C1" s="80" t="s">
        <v>155</v>
      </c>
      <c r="D1" s="80" t="s">
        <v>156</v>
      </c>
      <c r="E1" s="80" t="s">
        <v>157</v>
      </c>
      <c r="F1" s="80" t="s">
        <v>158</v>
      </c>
      <c r="G1" s="80" t="s">
        <v>162</v>
      </c>
      <c r="H1" s="80"/>
      <c r="I1" s="80"/>
    </row>
    <row r="2" spans="1:12" x14ac:dyDescent="0.25">
      <c r="B2" s="80"/>
      <c r="C2" s="80"/>
      <c r="D2" s="80"/>
      <c r="E2" s="80"/>
      <c r="F2" s="80"/>
      <c r="G2" t="s">
        <v>159</v>
      </c>
      <c r="H2" t="s">
        <v>160</v>
      </c>
      <c r="I2" t="s">
        <v>161</v>
      </c>
      <c r="L2" t="s">
        <v>129</v>
      </c>
    </row>
    <row r="3" spans="1:12" x14ac:dyDescent="0.25">
      <c r="A3">
        <v>2000</v>
      </c>
      <c r="B3" s="1">
        <v>205843</v>
      </c>
      <c r="C3" s="1">
        <v>95651</v>
      </c>
      <c r="D3" s="1">
        <v>52005</v>
      </c>
      <c r="E3" s="1">
        <v>5813</v>
      </c>
      <c r="F3">
        <v>6.1</v>
      </c>
      <c r="G3">
        <v>373</v>
      </c>
      <c r="H3">
        <v>396</v>
      </c>
      <c r="I3" s="1">
        <v>1234</v>
      </c>
      <c r="K3">
        <v>2000</v>
      </c>
      <c r="L3">
        <f>B3*1000</f>
        <v>205843000</v>
      </c>
    </row>
    <row r="4" spans="1:12" x14ac:dyDescent="0.25">
      <c r="A4">
        <v>2001</v>
      </c>
      <c r="B4" s="1">
        <v>208647</v>
      </c>
      <c r="C4" s="1">
        <v>98812</v>
      </c>
      <c r="D4" s="1">
        <v>54314</v>
      </c>
      <c r="E4" s="1">
        <v>8005</v>
      </c>
      <c r="F4">
        <v>8.1</v>
      </c>
      <c r="G4">
        <v>541</v>
      </c>
      <c r="H4">
        <v>575</v>
      </c>
      <c r="I4" s="1">
        <v>1227</v>
      </c>
      <c r="K4">
        <v>2001</v>
      </c>
      <c r="L4">
        <f t="shared" ref="L4:L23" si="0">B4*1000</f>
        <v>208647000</v>
      </c>
    </row>
    <row r="5" spans="1:12" x14ac:dyDescent="0.25">
      <c r="A5">
        <v>2002</v>
      </c>
      <c r="B5" s="1">
        <v>212003</v>
      </c>
      <c r="C5" s="1">
        <v>99564</v>
      </c>
      <c r="D5" s="1">
        <v>55041</v>
      </c>
      <c r="E5" s="1">
        <v>9132</v>
      </c>
      <c r="F5">
        <v>9.1999999999999993</v>
      </c>
      <c r="G5">
        <v>672</v>
      </c>
      <c r="H5">
        <v>651</v>
      </c>
      <c r="I5" s="1">
        <v>1406</v>
      </c>
      <c r="K5">
        <v>2002</v>
      </c>
      <c r="L5">
        <f t="shared" si="0"/>
        <v>212003000</v>
      </c>
    </row>
    <row r="6" spans="1:12" x14ac:dyDescent="0.25">
      <c r="A6">
        <v>2003</v>
      </c>
      <c r="B6" s="1">
        <v>215276</v>
      </c>
      <c r="C6" s="1">
        <v>100316</v>
      </c>
      <c r="D6" s="1">
        <v>56623</v>
      </c>
      <c r="E6" s="1">
        <v>9531</v>
      </c>
      <c r="F6">
        <v>9.5</v>
      </c>
      <c r="G6">
        <v>713</v>
      </c>
      <c r="H6">
        <v>581</v>
      </c>
      <c r="I6" s="1">
        <v>2117</v>
      </c>
      <c r="K6">
        <v>2003</v>
      </c>
      <c r="L6">
        <f t="shared" si="0"/>
        <v>215276000</v>
      </c>
    </row>
    <row r="7" spans="1:12" x14ac:dyDescent="0.25">
      <c r="A7">
        <v>2004</v>
      </c>
      <c r="B7" s="1">
        <v>217854</v>
      </c>
      <c r="C7" s="1">
        <v>103973</v>
      </c>
      <c r="D7" s="1">
        <v>58253</v>
      </c>
      <c r="E7" s="1">
        <v>10251</v>
      </c>
      <c r="F7">
        <v>9.9</v>
      </c>
      <c r="G7">
        <v>852</v>
      </c>
      <c r="H7">
        <v>801</v>
      </c>
      <c r="I7" s="1">
        <v>1368</v>
      </c>
      <c r="K7">
        <v>2004</v>
      </c>
      <c r="L7">
        <f t="shared" si="0"/>
        <v>217854000</v>
      </c>
    </row>
    <row r="8" spans="1:12" x14ac:dyDescent="0.25">
      <c r="A8">
        <v>2005</v>
      </c>
      <c r="B8" s="1">
        <v>218869</v>
      </c>
      <c r="C8" s="1">
        <v>105802</v>
      </c>
      <c r="D8" s="1">
        <v>55119</v>
      </c>
      <c r="E8" s="1">
        <v>10854</v>
      </c>
      <c r="F8">
        <v>10.3</v>
      </c>
      <c r="G8">
        <v>870</v>
      </c>
      <c r="H8">
        <v>788</v>
      </c>
      <c r="I8" s="1">
        <v>2114</v>
      </c>
      <c r="K8">
        <v>2005</v>
      </c>
      <c r="L8">
        <f t="shared" si="0"/>
        <v>218869000</v>
      </c>
    </row>
    <row r="9" spans="1:12" x14ac:dyDescent="0.25">
      <c r="A9">
        <v>2006</v>
      </c>
      <c r="B9" s="1">
        <v>222192</v>
      </c>
      <c r="C9" s="1">
        <v>106389</v>
      </c>
      <c r="D9" s="1">
        <v>55942</v>
      </c>
      <c r="E9" s="1">
        <v>10932</v>
      </c>
      <c r="F9">
        <v>10.3</v>
      </c>
      <c r="G9">
        <v>972</v>
      </c>
      <c r="H9">
        <v>918</v>
      </c>
      <c r="I9" s="1">
        <v>2733</v>
      </c>
      <c r="K9">
        <v>2006</v>
      </c>
      <c r="L9">
        <f t="shared" si="0"/>
        <v>222192000</v>
      </c>
    </row>
    <row r="10" spans="1:12" x14ac:dyDescent="0.25">
      <c r="A10">
        <v>2007</v>
      </c>
      <c r="B10" s="1">
        <v>225642</v>
      </c>
      <c r="C10" s="1">
        <v>109941</v>
      </c>
      <c r="D10" s="1">
        <v>56411</v>
      </c>
      <c r="E10" s="1">
        <v>10011</v>
      </c>
      <c r="F10">
        <v>9.1</v>
      </c>
      <c r="G10" s="1">
        <v>1050</v>
      </c>
      <c r="H10" s="1">
        <v>1042</v>
      </c>
      <c r="I10" s="1">
        <v>3890</v>
      </c>
      <c r="K10">
        <v>2007</v>
      </c>
      <c r="L10">
        <f t="shared" si="0"/>
        <v>225642000</v>
      </c>
    </row>
    <row r="11" spans="1:12" x14ac:dyDescent="0.25">
      <c r="A11">
        <v>2008</v>
      </c>
      <c r="B11" s="1">
        <v>228523</v>
      </c>
      <c r="C11" s="1">
        <v>111947</v>
      </c>
      <c r="D11" s="1">
        <v>57131</v>
      </c>
      <c r="E11" s="1">
        <v>9395</v>
      </c>
      <c r="F11">
        <v>8.4</v>
      </c>
      <c r="G11" s="1">
        <v>1105</v>
      </c>
      <c r="H11" s="1">
        <v>1069</v>
      </c>
      <c r="I11" s="1">
        <v>4064</v>
      </c>
      <c r="K11">
        <v>2008</v>
      </c>
      <c r="L11">
        <f t="shared" si="0"/>
        <v>228523000</v>
      </c>
    </row>
    <row r="12" spans="1:12" x14ac:dyDescent="0.25">
      <c r="A12">
        <v>2009</v>
      </c>
      <c r="B12" s="1">
        <v>234757</v>
      </c>
      <c r="C12" s="1">
        <v>113833</v>
      </c>
      <c r="D12" s="1">
        <v>60249</v>
      </c>
      <c r="E12" s="1">
        <v>8963</v>
      </c>
      <c r="F12">
        <v>7.9</v>
      </c>
      <c r="G12" s="1">
        <v>1173</v>
      </c>
      <c r="H12" s="1">
        <v>1110</v>
      </c>
      <c r="I12" s="1">
        <v>3322</v>
      </c>
      <c r="K12">
        <v>2009</v>
      </c>
      <c r="L12">
        <f t="shared" si="0"/>
        <v>234757000</v>
      </c>
    </row>
    <row r="13" spans="1:12" x14ac:dyDescent="0.25">
      <c r="A13">
        <v>2010</v>
      </c>
      <c r="B13" s="1">
        <v>237641</v>
      </c>
      <c r="C13" s="1">
        <v>116528</v>
      </c>
      <c r="D13" s="1">
        <v>61165</v>
      </c>
      <c r="E13" s="1">
        <v>8320</v>
      </c>
      <c r="F13">
        <v>7.1</v>
      </c>
      <c r="G13" s="1">
        <v>1388</v>
      </c>
      <c r="H13" s="1">
        <v>1194</v>
      </c>
      <c r="I13" s="1">
        <v>3942</v>
      </c>
      <c r="K13">
        <v>2010</v>
      </c>
      <c r="L13">
        <f t="shared" si="0"/>
        <v>237641000</v>
      </c>
    </row>
    <row r="14" spans="1:12" x14ac:dyDescent="0.25">
      <c r="A14">
        <v>2011</v>
      </c>
      <c r="B14" s="1">
        <v>238519</v>
      </c>
      <c r="C14" s="1">
        <v>117370</v>
      </c>
      <c r="D14" s="1">
        <v>62630</v>
      </c>
      <c r="E14" s="1">
        <v>7700</v>
      </c>
      <c r="F14">
        <v>6.6</v>
      </c>
      <c r="G14" s="1">
        <v>1346</v>
      </c>
      <c r="H14" s="1">
        <v>1256</v>
      </c>
      <c r="I14" s="1">
        <v>3881</v>
      </c>
      <c r="K14">
        <v>2011</v>
      </c>
      <c r="L14">
        <f t="shared" si="0"/>
        <v>238519000</v>
      </c>
    </row>
    <row r="15" spans="1:12" x14ac:dyDescent="0.25">
      <c r="A15">
        <v>2012</v>
      </c>
      <c r="B15" s="1">
        <v>245425</v>
      </c>
      <c r="C15" s="1">
        <v>118053</v>
      </c>
      <c r="D15" s="1">
        <v>63097</v>
      </c>
      <c r="E15" s="1">
        <v>7245</v>
      </c>
      <c r="F15">
        <v>6.1</v>
      </c>
      <c r="G15" s="1">
        <v>1620</v>
      </c>
      <c r="H15" s="1">
        <v>1337</v>
      </c>
      <c r="I15" s="1">
        <v>4521</v>
      </c>
      <c r="K15">
        <v>2012</v>
      </c>
      <c r="L15">
        <f t="shared" si="0"/>
        <v>245425000</v>
      </c>
    </row>
    <row r="16" spans="1:12" x14ac:dyDescent="0.25">
      <c r="A16">
        <v>2013</v>
      </c>
      <c r="B16" s="1">
        <v>248818</v>
      </c>
      <c r="C16" s="1">
        <v>118193</v>
      </c>
      <c r="D16" s="1">
        <v>63938</v>
      </c>
      <c r="E16" s="1">
        <v>7389</v>
      </c>
      <c r="F16">
        <v>6.3</v>
      </c>
      <c r="G16" s="1">
        <v>1816</v>
      </c>
      <c r="H16" s="1">
        <v>1500</v>
      </c>
      <c r="I16" s="1">
        <v>4740</v>
      </c>
      <c r="K16">
        <v>2013</v>
      </c>
      <c r="L16">
        <f t="shared" si="0"/>
        <v>248818000</v>
      </c>
    </row>
    <row r="17" spans="1:12" x14ac:dyDescent="0.25">
      <c r="A17">
        <v>2014</v>
      </c>
      <c r="B17" s="1">
        <v>252165</v>
      </c>
      <c r="C17" s="1">
        <v>121873</v>
      </c>
      <c r="D17" s="1">
        <v>63097</v>
      </c>
      <c r="E17" s="1">
        <v>7245</v>
      </c>
      <c r="F17">
        <v>5.9</v>
      </c>
      <c r="G17" s="1">
        <v>2175</v>
      </c>
      <c r="H17" s="1">
        <v>1840</v>
      </c>
      <c r="I17" s="1">
        <v>5653</v>
      </c>
      <c r="K17">
        <v>2014</v>
      </c>
      <c r="L17">
        <f t="shared" si="0"/>
        <v>252165000</v>
      </c>
    </row>
    <row r="18" spans="1:12" x14ac:dyDescent="0.25">
      <c r="A18">
        <v>2015</v>
      </c>
      <c r="B18" s="1">
        <v>255462</v>
      </c>
      <c r="K18">
        <v>2015</v>
      </c>
      <c r="L18">
        <f t="shared" si="0"/>
        <v>255462000</v>
      </c>
    </row>
    <row r="19" spans="1:12" x14ac:dyDescent="0.25">
      <c r="A19">
        <v>2016</v>
      </c>
      <c r="B19" s="33">
        <v>258705</v>
      </c>
      <c r="K19">
        <v>2016</v>
      </c>
      <c r="L19">
        <f t="shared" si="0"/>
        <v>258705000</v>
      </c>
    </row>
    <row r="20" spans="1:12" x14ac:dyDescent="0.25">
      <c r="A20">
        <v>2017</v>
      </c>
      <c r="B20" s="33">
        <v>261891</v>
      </c>
      <c r="K20">
        <v>2017</v>
      </c>
      <c r="L20">
        <f t="shared" si="0"/>
        <v>261891000</v>
      </c>
    </row>
    <row r="21" spans="1:12" x14ac:dyDescent="0.25">
      <c r="A21">
        <v>2018</v>
      </c>
      <c r="B21" s="33">
        <v>265015</v>
      </c>
      <c r="K21">
        <v>2018</v>
      </c>
      <c r="L21">
        <f t="shared" si="0"/>
        <v>265015000</v>
      </c>
    </row>
    <row r="22" spans="1:12" x14ac:dyDescent="0.25">
      <c r="A22">
        <v>2019</v>
      </c>
      <c r="K22">
        <v>2019</v>
      </c>
      <c r="L22">
        <f t="shared" si="0"/>
        <v>0</v>
      </c>
    </row>
    <row r="23" spans="1:12" x14ac:dyDescent="0.25">
      <c r="A23">
        <v>2020</v>
      </c>
      <c r="K23">
        <v>2020</v>
      </c>
      <c r="L23">
        <f t="shared" si="0"/>
        <v>0</v>
      </c>
    </row>
  </sheetData>
  <mergeCells count="6">
    <mergeCell ref="G1:I1"/>
    <mergeCell ref="F1:F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4"/>
  <sheetViews>
    <sheetView topLeftCell="A12" zoomScale="70" zoomScaleNormal="70" workbookViewId="0">
      <selection activeCell="Z30" sqref="Z30:Z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3" width="12.42578125" bestFit="1" customWidth="1"/>
    <col min="24" max="24" width="16.8554687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  <col min="35" max="35" width="14.85546875" bestFit="1" customWidth="1"/>
  </cols>
  <sheetData>
    <row r="2" spans="1:13" x14ac:dyDescent="0.25">
      <c r="A2" s="73" t="s">
        <v>18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3" ht="15" customHeight="1" x14ac:dyDescent="0.25">
      <c r="A3" s="74" t="s">
        <v>0</v>
      </c>
      <c r="B3" s="74" t="s">
        <v>1</v>
      </c>
      <c r="C3" s="74" t="s">
        <v>2</v>
      </c>
      <c r="D3" s="74" t="s">
        <v>3</v>
      </c>
      <c r="E3" s="74" t="s">
        <v>4</v>
      </c>
      <c r="F3" s="74" t="s">
        <v>5</v>
      </c>
      <c r="G3" s="74"/>
      <c r="H3" s="74"/>
      <c r="I3" s="74"/>
      <c r="J3" s="74"/>
      <c r="K3" s="81" t="s">
        <v>90</v>
      </c>
      <c r="L3" s="85" t="s">
        <v>11</v>
      </c>
      <c r="M3" s="74" t="s">
        <v>12</v>
      </c>
    </row>
    <row r="4" spans="1:13" x14ac:dyDescent="0.25">
      <c r="A4" s="74"/>
      <c r="B4" s="74"/>
      <c r="C4" s="74"/>
      <c r="D4" s="74"/>
      <c r="E4" s="74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81"/>
      <c r="L4" s="86"/>
      <c r="M4" s="74"/>
    </row>
    <row r="5" spans="1:13" x14ac:dyDescent="0.25">
      <c r="A5" s="74"/>
      <c r="B5" s="73" t="s">
        <v>13</v>
      </c>
      <c r="C5" s="73"/>
      <c r="D5" s="73"/>
      <c r="E5" s="3" t="s">
        <v>14</v>
      </c>
      <c r="F5" s="78" t="s">
        <v>15</v>
      </c>
      <c r="G5" s="79"/>
      <c r="H5" s="79"/>
      <c r="I5" s="79"/>
      <c r="J5" s="79"/>
      <c r="K5" s="84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8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8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8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8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8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8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8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8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8" x14ac:dyDescent="0.25">
      <c r="A26" s="73" t="s">
        <v>18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3"/>
      <c r="AC26" t="s">
        <v>101</v>
      </c>
    </row>
    <row r="27" spans="1:38" ht="45" x14ac:dyDescent="0.25">
      <c r="A27" s="74" t="s">
        <v>0</v>
      </c>
      <c r="B27" s="74" t="s">
        <v>1</v>
      </c>
      <c r="C27" s="74" t="s">
        <v>2</v>
      </c>
      <c r="D27" s="74" t="s">
        <v>3</v>
      </c>
      <c r="E27" s="74" t="s">
        <v>4</v>
      </c>
      <c r="F27" s="74" t="s">
        <v>5</v>
      </c>
      <c r="G27" s="74"/>
      <c r="H27" s="74"/>
      <c r="I27" s="74"/>
      <c r="J27" s="74"/>
      <c r="K27" s="87" t="s">
        <v>91</v>
      </c>
      <c r="L27" s="85" t="s">
        <v>11</v>
      </c>
      <c r="M27" s="85" t="s">
        <v>12</v>
      </c>
      <c r="N27" s="85" t="s">
        <v>20</v>
      </c>
      <c r="P27" s="81" t="s">
        <v>2</v>
      </c>
      <c r="Q27" s="81" t="s">
        <v>92</v>
      </c>
      <c r="R27" s="81" t="s">
        <v>93</v>
      </c>
      <c r="S27" s="81" t="s">
        <v>12</v>
      </c>
      <c r="T27" s="81" t="s">
        <v>94</v>
      </c>
      <c r="U27" s="74" t="s">
        <v>20</v>
      </c>
      <c r="V27" s="82" t="s">
        <v>2</v>
      </c>
      <c r="W27" s="82" t="s">
        <v>92</v>
      </c>
      <c r="X27" s="82" t="s">
        <v>93</v>
      </c>
      <c r="Y27" s="82" t="s">
        <v>12</v>
      </c>
      <c r="Z27" s="82" t="s">
        <v>94</v>
      </c>
      <c r="AA27" s="83" t="s">
        <v>20</v>
      </c>
      <c r="AC27" s="81" t="s">
        <v>2</v>
      </c>
      <c r="AE27" s="20" t="s">
        <v>92</v>
      </c>
      <c r="AG27" s="20" t="s">
        <v>93</v>
      </c>
      <c r="AI27" s="20" t="s">
        <v>12</v>
      </c>
      <c r="AK27" s="20" t="s">
        <v>94</v>
      </c>
      <c r="AL27" s="2" t="s">
        <v>20</v>
      </c>
    </row>
    <row r="28" spans="1:38" x14ac:dyDescent="0.25">
      <c r="A28" s="74"/>
      <c r="B28" s="74"/>
      <c r="C28" s="74"/>
      <c r="D28" s="74"/>
      <c r="E28" s="74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88"/>
      <c r="L28" s="86"/>
      <c r="M28" s="86"/>
      <c r="N28" s="86"/>
      <c r="P28" s="81"/>
      <c r="Q28" s="81"/>
      <c r="R28" s="81"/>
      <c r="S28" s="81"/>
      <c r="T28" s="81"/>
      <c r="U28" s="74"/>
      <c r="V28" s="82"/>
      <c r="W28" s="82"/>
      <c r="X28" s="82"/>
      <c r="Y28" s="82"/>
      <c r="Z28" s="82"/>
      <c r="AA28" s="83"/>
      <c r="AC28" s="81"/>
      <c r="AE28" s="20"/>
      <c r="AG28" s="20"/>
      <c r="AI28" s="20"/>
      <c r="AK28" s="20"/>
      <c r="AL28" s="2"/>
    </row>
    <row r="29" spans="1:38" x14ac:dyDescent="0.25">
      <c r="A29" s="74"/>
      <c r="B29" s="81" t="s">
        <v>19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P29" s="74" t="s">
        <v>19</v>
      </c>
      <c r="Q29" s="74"/>
      <c r="R29" s="74"/>
      <c r="S29" s="74"/>
      <c r="T29" s="74"/>
      <c r="U29" s="74"/>
      <c r="V29" s="83" t="s">
        <v>95</v>
      </c>
      <c r="W29" s="83"/>
      <c r="X29" s="83"/>
      <c r="Y29" s="83"/>
      <c r="Z29" s="83"/>
      <c r="AA29" s="83"/>
    </row>
    <row r="30" spans="1:38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f>SUM(F30:I30)</f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25">
        <f>P30*1000</f>
        <v>36145000</v>
      </c>
      <c r="W30" s="25">
        <f t="shared" ref="W30:AA30" si="0">Q30*1000</f>
        <v>88414000</v>
      </c>
      <c r="X30" s="31">
        <f t="shared" si="0"/>
        <v>87899000</v>
      </c>
      <c r="Y30" s="25">
        <f t="shared" si="0"/>
        <v>20850000</v>
      </c>
      <c r="Z30" s="25">
        <f t="shared" si="0"/>
        <v>58981000</v>
      </c>
      <c r="AA30" s="25">
        <f t="shared" si="0"/>
        <v>292289000</v>
      </c>
      <c r="AB30">
        <v>2000</v>
      </c>
      <c r="AC30">
        <f>V30/$AA30</f>
        <v>0.12366185521863635</v>
      </c>
      <c r="AD30">
        <v>2000</v>
      </c>
      <c r="AE30">
        <f t="shared" ref="AE30:AE48" si="1">W30/$AA30</f>
        <v>0.3024882906985894</v>
      </c>
      <c r="AF30">
        <v>2000</v>
      </c>
      <c r="AG30">
        <f t="shared" ref="AG30:AG48" si="2">X30/$AA30</f>
        <v>0.30072633592095493</v>
      </c>
      <c r="AH30">
        <v>2000</v>
      </c>
      <c r="AI30">
        <f t="shared" ref="AI30:AI48" si="3">Y30/$AA30</f>
        <v>7.133350895859919E-2</v>
      </c>
      <c r="AJ30">
        <v>2000</v>
      </c>
      <c r="AK30">
        <f>Z30/$AA30</f>
        <v>0.2017900092032201</v>
      </c>
      <c r="AL30">
        <f>AA30/$AA30</f>
        <v>1</v>
      </c>
    </row>
    <row r="31" spans="1:38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f t="shared" ref="J31:J48" si="4">SUM(F31:I31)</f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5">C31+D31</f>
        <v>37099</v>
      </c>
      <c r="Q31" s="4">
        <f t="shared" ref="Q31:Q48" si="6">K31+J31</f>
        <v>103745</v>
      </c>
      <c r="R31" s="4">
        <f t="shared" ref="R31:R48" si="7">L31+E31</f>
        <v>82833</v>
      </c>
      <c r="S31" s="4">
        <f t="shared" ref="S31:S48" si="8">+M31</f>
        <v>21819</v>
      </c>
      <c r="T31" s="4">
        <f t="shared" ref="T31:T48" si="9">B31</f>
        <v>55186</v>
      </c>
      <c r="U31" s="4">
        <f t="shared" ref="U31:U48" si="10">SUM(P31:T31)</f>
        <v>300682</v>
      </c>
      <c r="V31" s="25">
        <f t="shared" ref="V31:V48" si="11">P31*1000</f>
        <v>37099000</v>
      </c>
      <c r="W31" s="25">
        <f t="shared" ref="W31:W48" si="12">Q31*1000</f>
        <v>103745000</v>
      </c>
      <c r="X31" s="31">
        <f t="shared" ref="X31:X48" si="13">R31*1000</f>
        <v>82833000</v>
      </c>
      <c r="Y31" s="25">
        <f t="shared" ref="Y31:Y48" si="14">S31*1000</f>
        <v>21819000</v>
      </c>
      <c r="Z31" s="25">
        <f t="shared" ref="Z31:Z48" si="15">T31*1000</f>
        <v>55186000</v>
      </c>
      <c r="AA31" s="25">
        <f t="shared" ref="AA31:AA48" si="16">U31*1000</f>
        <v>300682000</v>
      </c>
      <c r="AB31">
        <v>2001</v>
      </c>
      <c r="AC31">
        <f t="shared" ref="AC31:AC48" si="17">V31/$AA31</f>
        <v>0.12338284300357188</v>
      </c>
      <c r="AD31">
        <v>2001</v>
      </c>
      <c r="AE31">
        <f t="shared" si="1"/>
        <v>0.3450322932533374</v>
      </c>
      <c r="AF31">
        <v>2001</v>
      </c>
      <c r="AG31">
        <f t="shared" si="2"/>
        <v>0.27548373364551254</v>
      </c>
      <c r="AH31">
        <v>2001</v>
      </c>
      <c r="AI31">
        <f t="shared" si="3"/>
        <v>7.2565035485995175E-2</v>
      </c>
      <c r="AJ31">
        <v>2001</v>
      </c>
      <c r="AK31">
        <f t="shared" ref="AK31:AK48" si="18">Z31/$AA31</f>
        <v>0.18353609461158299</v>
      </c>
    </row>
    <row r="32" spans="1:38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f t="shared" si="4"/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5"/>
        <v>38781</v>
      </c>
      <c r="Q32" s="4">
        <f t="shared" si="6"/>
        <v>98378</v>
      </c>
      <c r="R32" s="4">
        <f t="shared" si="7"/>
        <v>81601</v>
      </c>
      <c r="S32" s="4">
        <f t="shared" si="8"/>
        <v>22578</v>
      </c>
      <c r="T32" s="4">
        <f t="shared" si="9"/>
        <v>52305</v>
      </c>
      <c r="U32" s="4">
        <f t="shared" si="10"/>
        <v>293643</v>
      </c>
      <c r="V32" s="25">
        <f t="shared" si="11"/>
        <v>38781000</v>
      </c>
      <c r="W32" s="25">
        <f t="shared" si="12"/>
        <v>98378000</v>
      </c>
      <c r="X32" s="31">
        <f t="shared" si="13"/>
        <v>81601000</v>
      </c>
      <c r="Y32" s="25">
        <f t="shared" si="14"/>
        <v>22578000</v>
      </c>
      <c r="Z32" s="25">
        <f t="shared" si="15"/>
        <v>52305000</v>
      </c>
      <c r="AA32" s="25">
        <f t="shared" si="16"/>
        <v>293643000</v>
      </c>
      <c r="AB32">
        <v>2002</v>
      </c>
      <c r="AC32">
        <f t="shared" si="17"/>
        <v>0.13206853219725995</v>
      </c>
      <c r="AD32">
        <v>2002</v>
      </c>
      <c r="AE32">
        <f t="shared" si="1"/>
        <v>0.33502586474051826</v>
      </c>
      <c r="AF32">
        <v>2002</v>
      </c>
      <c r="AG32">
        <f t="shared" si="2"/>
        <v>0.27789186188671278</v>
      </c>
      <c r="AH32">
        <v>2002</v>
      </c>
      <c r="AI32">
        <f t="shared" si="3"/>
        <v>7.6889283926400431E-2</v>
      </c>
      <c r="AJ32">
        <v>2002</v>
      </c>
      <c r="AK32">
        <f t="shared" si="18"/>
        <v>0.17812445724910861</v>
      </c>
    </row>
    <row r="33" spans="1:3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f t="shared" si="4"/>
        <v>68492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5"/>
        <v>68341</v>
      </c>
      <c r="Q33" s="4">
        <f t="shared" si="6"/>
        <v>92025</v>
      </c>
      <c r="R33" s="4">
        <f t="shared" si="7"/>
        <v>90720</v>
      </c>
      <c r="S33" s="4">
        <f t="shared" si="8"/>
        <v>22373</v>
      </c>
      <c r="T33" s="4">
        <f t="shared" si="9"/>
        <v>50167</v>
      </c>
      <c r="U33" s="4">
        <f t="shared" si="10"/>
        <v>323626</v>
      </c>
      <c r="V33" s="25">
        <f t="shared" si="11"/>
        <v>68341000</v>
      </c>
      <c r="W33" s="25">
        <f t="shared" si="12"/>
        <v>92025000</v>
      </c>
      <c r="X33" s="31">
        <f t="shared" si="13"/>
        <v>90720000</v>
      </c>
      <c r="Y33" s="25">
        <f t="shared" si="14"/>
        <v>22373000</v>
      </c>
      <c r="Z33" s="25">
        <f t="shared" si="15"/>
        <v>50167000</v>
      </c>
      <c r="AA33" s="25">
        <f t="shared" si="16"/>
        <v>323626000</v>
      </c>
      <c r="AB33">
        <v>2003</v>
      </c>
      <c r="AC33">
        <f t="shared" si="17"/>
        <v>0.21117277351016298</v>
      </c>
      <c r="AD33">
        <v>2003</v>
      </c>
      <c r="AE33">
        <f t="shared" si="1"/>
        <v>0.28435601589489101</v>
      </c>
      <c r="AF33">
        <v>2003</v>
      </c>
      <c r="AG33">
        <f t="shared" si="2"/>
        <v>0.28032358339564806</v>
      </c>
      <c r="AH33">
        <v>2003</v>
      </c>
      <c r="AI33">
        <f t="shared" si="3"/>
        <v>6.9132269965948345E-2</v>
      </c>
      <c r="AJ33">
        <v>2003</v>
      </c>
      <c r="AK33">
        <f t="shared" si="18"/>
        <v>0.15501535723334961</v>
      </c>
    </row>
    <row r="34" spans="1:3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f t="shared" si="4"/>
        <v>74719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5"/>
        <v>55424</v>
      </c>
      <c r="Q34" s="4">
        <f t="shared" si="6"/>
        <v>112435</v>
      </c>
      <c r="R34" s="4">
        <f t="shared" si="7"/>
        <v>86177</v>
      </c>
      <c r="S34" s="4">
        <f t="shared" si="8"/>
        <v>24719</v>
      </c>
      <c r="T34" s="4">
        <f t="shared" si="9"/>
        <v>46917</v>
      </c>
      <c r="U34" s="4">
        <f t="shared" si="10"/>
        <v>325672</v>
      </c>
      <c r="V34" s="25">
        <f t="shared" si="11"/>
        <v>55424000</v>
      </c>
      <c r="W34" s="25">
        <f t="shared" si="12"/>
        <v>112435000</v>
      </c>
      <c r="X34" s="31">
        <f t="shared" si="13"/>
        <v>86177000</v>
      </c>
      <c r="Y34" s="25">
        <f t="shared" si="14"/>
        <v>24719000</v>
      </c>
      <c r="Z34" s="25">
        <f t="shared" si="15"/>
        <v>46917000</v>
      </c>
      <c r="AA34" s="25">
        <f t="shared" si="16"/>
        <v>325672000</v>
      </c>
      <c r="AB34">
        <v>2004</v>
      </c>
      <c r="AC34">
        <f t="shared" si="17"/>
        <v>0.17018349750669384</v>
      </c>
      <c r="AD34">
        <v>2004</v>
      </c>
      <c r="AE34">
        <f t="shared" si="1"/>
        <v>0.34523999606966521</v>
      </c>
      <c r="AF34">
        <v>2004</v>
      </c>
      <c r="AG34">
        <f t="shared" si="2"/>
        <v>0.2646128620206834</v>
      </c>
      <c r="AH34">
        <v>2004</v>
      </c>
      <c r="AI34">
        <f t="shared" si="3"/>
        <v>7.5901520548281712E-2</v>
      </c>
      <c r="AJ34">
        <v>2004</v>
      </c>
      <c r="AK34">
        <f t="shared" si="18"/>
        <v>0.14406212385467587</v>
      </c>
    </row>
    <row r="35" spans="1:3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f t="shared" si="4"/>
        <v>64240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5"/>
        <v>65838</v>
      </c>
      <c r="Q35" s="4">
        <f t="shared" si="6"/>
        <v>93854</v>
      </c>
      <c r="R35" s="4">
        <f t="shared" si="7"/>
        <v>87408</v>
      </c>
      <c r="S35" s="4">
        <f t="shared" si="8"/>
        <v>26021</v>
      </c>
      <c r="T35" s="4">
        <f t="shared" si="9"/>
        <v>43920</v>
      </c>
      <c r="U35" s="4">
        <f t="shared" si="10"/>
        <v>317041</v>
      </c>
      <c r="V35" s="25">
        <f t="shared" si="11"/>
        <v>65838000</v>
      </c>
      <c r="W35" s="25">
        <f t="shared" si="12"/>
        <v>93854000</v>
      </c>
      <c r="X35" s="31">
        <f t="shared" si="13"/>
        <v>87408000</v>
      </c>
      <c r="Y35" s="25">
        <f t="shared" si="14"/>
        <v>26021000</v>
      </c>
      <c r="Z35" s="25">
        <f t="shared" si="15"/>
        <v>43920000</v>
      </c>
      <c r="AA35" s="25">
        <f t="shared" si="16"/>
        <v>317041000</v>
      </c>
      <c r="AB35">
        <v>2005</v>
      </c>
      <c r="AC35">
        <f t="shared" si="17"/>
        <v>0.20766399298513441</v>
      </c>
      <c r="AD35">
        <v>2005</v>
      </c>
      <c r="AE35">
        <f t="shared" si="1"/>
        <v>0.29603111269520344</v>
      </c>
      <c r="AF35">
        <v>2005</v>
      </c>
      <c r="AG35">
        <f t="shared" si="2"/>
        <v>0.27569935749634905</v>
      </c>
      <c r="AH35">
        <v>2005</v>
      </c>
      <c r="AI35">
        <f t="shared" si="3"/>
        <v>8.2074558180172286E-2</v>
      </c>
      <c r="AJ35">
        <v>2005</v>
      </c>
      <c r="AK35">
        <f t="shared" si="18"/>
        <v>0.13853097864314079</v>
      </c>
    </row>
    <row r="36" spans="1:3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f t="shared" si="4"/>
        <v>57202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5"/>
        <v>89137</v>
      </c>
      <c r="Q36" s="4">
        <f t="shared" si="6"/>
        <v>98328</v>
      </c>
      <c r="R36" s="4">
        <f t="shared" si="7"/>
        <v>84298</v>
      </c>
      <c r="S36" s="4">
        <f t="shared" si="8"/>
        <v>26736</v>
      </c>
      <c r="T36" s="4">
        <f t="shared" si="9"/>
        <v>46676</v>
      </c>
      <c r="U36" s="4">
        <f t="shared" si="10"/>
        <v>345175</v>
      </c>
      <c r="V36" s="25">
        <f t="shared" si="11"/>
        <v>89137000</v>
      </c>
      <c r="W36" s="25">
        <f t="shared" si="12"/>
        <v>98328000</v>
      </c>
      <c r="X36" s="31">
        <f t="shared" si="13"/>
        <v>84298000</v>
      </c>
      <c r="Y36" s="25">
        <f t="shared" si="14"/>
        <v>26736000</v>
      </c>
      <c r="Z36" s="25">
        <f t="shared" si="15"/>
        <v>46676000</v>
      </c>
      <c r="AA36" s="25">
        <f t="shared" si="16"/>
        <v>345175000</v>
      </c>
      <c r="AB36">
        <v>2006</v>
      </c>
      <c r="AC36">
        <f t="shared" si="17"/>
        <v>0.25823712609545885</v>
      </c>
      <c r="AD36">
        <v>2006</v>
      </c>
      <c r="AE36">
        <f t="shared" si="1"/>
        <v>0.28486419931918594</v>
      </c>
      <c r="AF36">
        <v>2006</v>
      </c>
      <c r="AG36">
        <f t="shared" si="2"/>
        <v>0.24421815021365975</v>
      </c>
      <c r="AH36">
        <v>2006</v>
      </c>
      <c r="AI36">
        <f t="shared" si="3"/>
        <v>7.7456362714565075E-2</v>
      </c>
      <c r="AJ36">
        <v>2006</v>
      </c>
      <c r="AK36">
        <f t="shared" si="18"/>
        <v>0.13522416165713044</v>
      </c>
    </row>
    <row r="37" spans="1:3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f t="shared" si="4"/>
        <v>52417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5"/>
        <v>121993</v>
      </c>
      <c r="Q37" s="4">
        <f t="shared" si="6"/>
        <v>92290</v>
      </c>
      <c r="R37" s="4">
        <f t="shared" si="7"/>
        <v>80965</v>
      </c>
      <c r="S37" s="4">
        <f t="shared" si="8"/>
        <v>28077</v>
      </c>
      <c r="T37" s="4">
        <f t="shared" si="9"/>
        <v>42108</v>
      </c>
      <c r="U37" s="4">
        <f t="shared" si="10"/>
        <v>365433</v>
      </c>
      <c r="V37" s="25">
        <f t="shared" si="11"/>
        <v>121993000</v>
      </c>
      <c r="W37" s="25">
        <f t="shared" si="12"/>
        <v>92290000</v>
      </c>
      <c r="X37" s="31">
        <f t="shared" si="13"/>
        <v>80965000</v>
      </c>
      <c r="Y37" s="25">
        <f t="shared" si="14"/>
        <v>28077000</v>
      </c>
      <c r="Z37" s="25">
        <f t="shared" si="15"/>
        <v>42108000</v>
      </c>
      <c r="AA37" s="25">
        <f t="shared" si="16"/>
        <v>365433000</v>
      </c>
      <c r="AB37">
        <v>2007</v>
      </c>
      <c r="AC37">
        <f t="shared" si="17"/>
        <v>0.33383137264560125</v>
      </c>
      <c r="AD37">
        <v>2007</v>
      </c>
      <c r="AE37">
        <f t="shared" si="1"/>
        <v>0.25254971499563533</v>
      </c>
      <c r="AF37">
        <v>2007</v>
      </c>
      <c r="AG37">
        <f t="shared" si="2"/>
        <v>0.22155908196577759</v>
      </c>
      <c r="AH37">
        <v>2007</v>
      </c>
      <c r="AI37">
        <f t="shared" si="3"/>
        <v>7.6832141596407555E-2</v>
      </c>
      <c r="AJ37">
        <v>2007</v>
      </c>
      <c r="AK37">
        <f t="shared" si="18"/>
        <v>0.11522768879657831</v>
      </c>
    </row>
    <row r="38" spans="1:3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f t="shared" si="4"/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5"/>
        <v>94190</v>
      </c>
      <c r="Q38" s="4">
        <f t="shared" si="6"/>
        <v>77776</v>
      </c>
      <c r="R38" s="4">
        <f t="shared" si="7"/>
        <v>91354</v>
      </c>
      <c r="S38" s="4">
        <f>M38</f>
        <v>29405</v>
      </c>
      <c r="T38" s="4">
        <f t="shared" si="9"/>
        <v>44235</v>
      </c>
      <c r="U38" s="4">
        <f t="shared" si="10"/>
        <v>336960</v>
      </c>
      <c r="V38" s="25">
        <f t="shared" si="11"/>
        <v>94190000</v>
      </c>
      <c r="W38" s="25">
        <f t="shared" si="12"/>
        <v>77776000</v>
      </c>
      <c r="X38" s="31">
        <f t="shared" si="13"/>
        <v>91354000</v>
      </c>
      <c r="Y38" s="25">
        <f t="shared" si="14"/>
        <v>29405000</v>
      </c>
      <c r="Z38" s="25">
        <f t="shared" si="15"/>
        <v>44235000</v>
      </c>
      <c r="AA38" s="25">
        <f t="shared" si="16"/>
        <v>336960000</v>
      </c>
      <c r="AB38">
        <v>2008</v>
      </c>
      <c r="AC38">
        <f t="shared" si="17"/>
        <v>0.27952872744539409</v>
      </c>
      <c r="AD38">
        <v>2008</v>
      </c>
      <c r="AE38">
        <f t="shared" si="1"/>
        <v>0.23081671415004748</v>
      </c>
      <c r="AF38">
        <v>2008</v>
      </c>
      <c r="AG38">
        <f t="shared" si="2"/>
        <v>0.27111229819563154</v>
      </c>
      <c r="AH38">
        <v>2008</v>
      </c>
      <c r="AI38">
        <f t="shared" si="3"/>
        <v>8.7265550807217471E-2</v>
      </c>
      <c r="AJ38">
        <v>2008</v>
      </c>
      <c r="AK38">
        <f t="shared" si="18"/>
        <v>0.13127670940170941</v>
      </c>
    </row>
    <row r="39" spans="1:3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f t="shared" si="4"/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5"/>
        <v>82807</v>
      </c>
      <c r="Q39" s="4">
        <f t="shared" si="6"/>
        <v>115114</v>
      </c>
      <c r="R39" s="4">
        <f t="shared" si="7"/>
        <v>89689</v>
      </c>
      <c r="S39" s="4">
        <f t="shared" si="8"/>
        <v>28323</v>
      </c>
      <c r="T39" s="4">
        <f t="shared" si="9"/>
        <v>44521</v>
      </c>
      <c r="U39" s="4">
        <f t="shared" si="10"/>
        <v>360454</v>
      </c>
      <c r="V39" s="25">
        <f t="shared" si="11"/>
        <v>82807000</v>
      </c>
      <c r="W39" s="25">
        <f t="shared" si="12"/>
        <v>115114000</v>
      </c>
      <c r="X39" s="31">
        <f t="shared" si="13"/>
        <v>89689000</v>
      </c>
      <c r="Y39" s="25">
        <f t="shared" si="14"/>
        <v>28323000</v>
      </c>
      <c r="Z39" s="25">
        <f t="shared" si="15"/>
        <v>44521000</v>
      </c>
      <c r="AA39" s="25">
        <f t="shared" si="16"/>
        <v>360454000</v>
      </c>
      <c r="AB39">
        <v>2009</v>
      </c>
      <c r="AC39">
        <f t="shared" si="17"/>
        <v>0.22972972972972974</v>
      </c>
      <c r="AD39">
        <v>2009</v>
      </c>
      <c r="AE39">
        <f t="shared" si="1"/>
        <v>0.3193583647289252</v>
      </c>
      <c r="AF39">
        <v>2009</v>
      </c>
      <c r="AG39">
        <f t="shared" si="2"/>
        <v>0.24882231852053244</v>
      </c>
      <c r="AH39">
        <v>2009</v>
      </c>
      <c r="AI39">
        <f t="shared" si="3"/>
        <v>7.8575907050552909E-2</v>
      </c>
      <c r="AJ39">
        <v>2009</v>
      </c>
      <c r="AK39">
        <f t="shared" si="18"/>
        <v>0.12351367997025973</v>
      </c>
    </row>
    <row r="40" spans="1:3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f t="shared" si="4"/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5"/>
        <v>137612</v>
      </c>
      <c r="Q40" s="4">
        <f t="shared" si="6"/>
        <v>106238</v>
      </c>
      <c r="R40" s="4">
        <f t="shared" si="7"/>
        <v>86384</v>
      </c>
      <c r="S40" s="4">
        <f t="shared" si="8"/>
        <v>31254</v>
      </c>
      <c r="T40" s="4">
        <f t="shared" si="9"/>
        <v>43317</v>
      </c>
      <c r="U40" s="4">
        <f t="shared" si="10"/>
        <v>404805</v>
      </c>
      <c r="V40" s="25">
        <f t="shared" si="11"/>
        <v>137612000</v>
      </c>
      <c r="W40" s="25">
        <f t="shared" si="12"/>
        <v>106238000</v>
      </c>
      <c r="X40" s="31">
        <f t="shared" si="13"/>
        <v>86384000</v>
      </c>
      <c r="Y40" s="25">
        <f t="shared" si="14"/>
        <v>31254000</v>
      </c>
      <c r="Z40" s="25">
        <f t="shared" si="15"/>
        <v>43317000</v>
      </c>
      <c r="AA40" s="25">
        <f t="shared" si="16"/>
        <v>404805000</v>
      </c>
      <c r="AB40">
        <v>2010</v>
      </c>
      <c r="AC40">
        <f t="shared" si="17"/>
        <v>0.33994639394276255</v>
      </c>
      <c r="AD40">
        <v>2010</v>
      </c>
      <c r="AE40">
        <f t="shared" si="1"/>
        <v>0.26244241054334805</v>
      </c>
      <c r="AF40">
        <v>2010</v>
      </c>
      <c r="AG40">
        <f t="shared" si="2"/>
        <v>0.2133965736589222</v>
      </c>
      <c r="AH40">
        <v>2010</v>
      </c>
      <c r="AI40">
        <f t="shared" si="3"/>
        <v>7.7207544373216738E-2</v>
      </c>
      <c r="AJ40">
        <v>2010</v>
      </c>
      <c r="AK40">
        <f t="shared" si="18"/>
        <v>0.10700707748175048</v>
      </c>
    </row>
    <row r="41" spans="1:3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f t="shared" si="4"/>
        <v>60088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5"/>
        <v>144623</v>
      </c>
      <c r="Q41" s="4">
        <f t="shared" si="6"/>
        <v>130066</v>
      </c>
      <c r="R41" s="4">
        <f t="shared" si="7"/>
        <v>91965</v>
      </c>
      <c r="S41" s="4">
        <f t="shared" si="8"/>
        <v>33547</v>
      </c>
      <c r="T41" s="4">
        <f t="shared" si="9"/>
        <v>43724</v>
      </c>
      <c r="U41" s="4">
        <f t="shared" si="10"/>
        <v>443925</v>
      </c>
      <c r="V41" s="25">
        <f t="shared" si="11"/>
        <v>144623000</v>
      </c>
      <c r="W41" s="25">
        <f t="shared" si="12"/>
        <v>130066000</v>
      </c>
      <c r="X41" s="31">
        <f t="shared" si="13"/>
        <v>91965000</v>
      </c>
      <c r="Y41" s="25">
        <f t="shared" si="14"/>
        <v>33547000</v>
      </c>
      <c r="Z41" s="25">
        <f t="shared" si="15"/>
        <v>43724000</v>
      </c>
      <c r="AA41" s="25">
        <f t="shared" si="16"/>
        <v>443925000</v>
      </c>
      <c r="AB41">
        <v>2011</v>
      </c>
      <c r="AC41">
        <f t="shared" si="17"/>
        <v>0.32578250830658334</v>
      </c>
      <c r="AD41">
        <v>2011</v>
      </c>
      <c r="AE41">
        <f t="shared" si="1"/>
        <v>0.29299093315312269</v>
      </c>
      <c r="AF41">
        <v>2011</v>
      </c>
      <c r="AG41">
        <f t="shared" si="2"/>
        <v>0.20716337219124853</v>
      </c>
      <c r="AH41">
        <v>2011</v>
      </c>
      <c r="AI41">
        <f t="shared" si="3"/>
        <v>7.5569071352142816E-2</v>
      </c>
      <c r="AJ41">
        <v>2011</v>
      </c>
      <c r="AK41">
        <f t="shared" si="18"/>
        <v>9.8494114996902624E-2</v>
      </c>
    </row>
    <row r="42" spans="1:3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f t="shared" si="4"/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5"/>
        <v>123152</v>
      </c>
      <c r="Q42" s="4">
        <f t="shared" si="6"/>
        <v>152647</v>
      </c>
      <c r="R42" s="4">
        <f t="shared" si="7"/>
        <v>94634</v>
      </c>
      <c r="S42" s="4">
        <f t="shared" si="8"/>
        <v>36888</v>
      </c>
      <c r="T42" s="4">
        <f t="shared" si="9"/>
        <v>42732</v>
      </c>
      <c r="U42" s="4">
        <f t="shared" si="10"/>
        <v>450053</v>
      </c>
      <c r="V42" s="25">
        <f t="shared" si="11"/>
        <v>123152000</v>
      </c>
      <c r="W42" s="25">
        <f t="shared" si="12"/>
        <v>152647000</v>
      </c>
      <c r="X42" s="31">
        <f t="shared" si="13"/>
        <v>94634000</v>
      </c>
      <c r="Y42" s="25">
        <f t="shared" si="14"/>
        <v>36888000</v>
      </c>
      <c r="Z42" s="25">
        <f t="shared" si="15"/>
        <v>42732000</v>
      </c>
      <c r="AA42" s="25">
        <f t="shared" si="16"/>
        <v>450053000</v>
      </c>
      <c r="AB42">
        <v>2012</v>
      </c>
      <c r="AC42">
        <f t="shared" si="17"/>
        <v>0.27363888253161295</v>
      </c>
      <c r="AD42">
        <v>2012</v>
      </c>
      <c r="AE42">
        <f t="shared" si="1"/>
        <v>0.33917560820614462</v>
      </c>
      <c r="AF42">
        <v>2012</v>
      </c>
      <c r="AG42">
        <f t="shared" si="2"/>
        <v>0.21027301228966366</v>
      </c>
      <c r="AH42">
        <v>2012</v>
      </c>
      <c r="AI42">
        <f t="shared" si="3"/>
        <v>8.196367983326408E-2</v>
      </c>
      <c r="AJ42">
        <v>2012</v>
      </c>
      <c r="AK42">
        <f t="shared" si="18"/>
        <v>9.4948817139314703E-2</v>
      </c>
    </row>
    <row r="43" spans="1:3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f t="shared" si="4"/>
        <v>59329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5"/>
        <v>42859</v>
      </c>
      <c r="Q43" s="4">
        <f t="shared" si="6"/>
        <v>125490</v>
      </c>
      <c r="R43" s="4">
        <f t="shared" si="7"/>
        <v>96124</v>
      </c>
      <c r="S43" s="4">
        <f t="shared" si="8"/>
        <v>39466</v>
      </c>
      <c r="T43" s="4">
        <f t="shared" si="9"/>
        <v>44399</v>
      </c>
      <c r="U43" s="4">
        <f t="shared" si="10"/>
        <v>348338</v>
      </c>
      <c r="V43" s="25">
        <f t="shared" si="11"/>
        <v>42859000</v>
      </c>
      <c r="W43" s="25">
        <f t="shared" si="12"/>
        <v>125490000</v>
      </c>
      <c r="X43" s="31">
        <f t="shared" si="13"/>
        <v>96124000</v>
      </c>
      <c r="Y43" s="25">
        <f t="shared" si="14"/>
        <v>39466000</v>
      </c>
      <c r="Z43" s="25">
        <f t="shared" si="15"/>
        <v>44399000</v>
      </c>
      <c r="AA43" s="25">
        <f t="shared" si="16"/>
        <v>348338000</v>
      </c>
      <c r="AB43">
        <v>2013</v>
      </c>
      <c r="AC43">
        <f t="shared" si="17"/>
        <v>0.12303854302430398</v>
      </c>
      <c r="AD43">
        <v>2013</v>
      </c>
      <c r="AE43">
        <f t="shared" si="1"/>
        <v>0.36025354684243466</v>
      </c>
      <c r="AF43">
        <v>2013</v>
      </c>
      <c r="AG43">
        <f t="shared" si="2"/>
        <v>0.27595037004288936</v>
      </c>
      <c r="AH43">
        <v>2013</v>
      </c>
      <c r="AI43">
        <f t="shared" si="3"/>
        <v>0.11329800366310883</v>
      </c>
      <c r="AJ43">
        <v>2013</v>
      </c>
      <c r="AK43">
        <f t="shared" si="18"/>
        <v>0.12745953642726318</v>
      </c>
    </row>
    <row r="44" spans="1:3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f t="shared" si="4"/>
        <v>54108</v>
      </c>
      <c r="K44" s="4">
        <v>70277</v>
      </c>
      <c r="L44" s="3">
        <v>753</v>
      </c>
      <c r="M44" s="4">
        <v>40402</v>
      </c>
      <c r="N44" s="4">
        <v>291221</v>
      </c>
      <c r="P44" s="4">
        <f t="shared" si="5"/>
        <v>55122</v>
      </c>
      <c r="Q44" s="4">
        <f t="shared" si="6"/>
        <v>124385</v>
      </c>
      <c r="R44" s="4">
        <f t="shared" si="7"/>
        <v>94983</v>
      </c>
      <c r="S44" s="4">
        <f t="shared" si="8"/>
        <v>40402</v>
      </c>
      <c r="T44" s="4">
        <f t="shared" si="9"/>
        <v>45188</v>
      </c>
      <c r="U44" s="4">
        <f t="shared" si="10"/>
        <v>360080</v>
      </c>
      <c r="V44" s="25">
        <f t="shared" si="11"/>
        <v>55122000</v>
      </c>
      <c r="W44" s="25">
        <f t="shared" si="12"/>
        <v>124385000</v>
      </c>
      <c r="X44" s="31">
        <f t="shared" si="13"/>
        <v>94983000</v>
      </c>
      <c r="Y44" s="25">
        <f t="shared" si="14"/>
        <v>40402000</v>
      </c>
      <c r="Z44" s="25">
        <f t="shared" si="15"/>
        <v>45188000</v>
      </c>
      <c r="AA44" s="25">
        <f t="shared" si="16"/>
        <v>360080000</v>
      </c>
      <c r="AB44">
        <v>2014</v>
      </c>
      <c r="AC44">
        <f t="shared" si="17"/>
        <v>0.15308264830037768</v>
      </c>
      <c r="AD44">
        <v>2014</v>
      </c>
      <c r="AE44">
        <f t="shared" si="1"/>
        <v>0.34543712508331481</v>
      </c>
      <c r="AF44">
        <v>2014</v>
      </c>
      <c r="AG44">
        <f t="shared" si="2"/>
        <v>0.26378304821150855</v>
      </c>
      <c r="AH44">
        <v>2014</v>
      </c>
      <c r="AI44">
        <f t="shared" si="3"/>
        <v>0.11220284381248612</v>
      </c>
      <c r="AJ44">
        <v>2014</v>
      </c>
      <c r="AK44">
        <f t="shared" si="18"/>
        <v>0.12549433459231282</v>
      </c>
    </row>
    <row r="45" spans="1:3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f t="shared" si="4"/>
        <v>61861</v>
      </c>
      <c r="K45" s="4">
        <v>47514</v>
      </c>
      <c r="L45" s="3">
        <v>788</v>
      </c>
      <c r="M45" s="4">
        <v>39281</v>
      </c>
      <c r="N45" s="4">
        <v>310592</v>
      </c>
      <c r="P45" s="4">
        <f t="shared" si="5"/>
        <v>70278</v>
      </c>
      <c r="Q45" s="4">
        <f t="shared" si="6"/>
        <v>109375</v>
      </c>
      <c r="R45" s="4">
        <f t="shared" si="7"/>
        <v>92938</v>
      </c>
      <c r="S45" s="4">
        <f t="shared" si="8"/>
        <v>39281</v>
      </c>
      <c r="T45" s="4">
        <f t="shared" si="9"/>
        <v>44828</v>
      </c>
      <c r="U45" s="4">
        <f t="shared" si="10"/>
        <v>356700</v>
      </c>
      <c r="V45" s="25">
        <f t="shared" si="11"/>
        <v>70278000</v>
      </c>
      <c r="W45" s="25">
        <f t="shared" si="12"/>
        <v>109375000</v>
      </c>
      <c r="X45" s="31">
        <f t="shared" si="13"/>
        <v>92938000</v>
      </c>
      <c r="Y45" s="25">
        <f t="shared" si="14"/>
        <v>39281000</v>
      </c>
      <c r="Z45" s="25">
        <f t="shared" si="15"/>
        <v>44828000</v>
      </c>
      <c r="AA45" s="25">
        <f t="shared" si="16"/>
        <v>356700000</v>
      </c>
      <c r="AB45">
        <v>2015</v>
      </c>
      <c r="AC45">
        <f t="shared" si="17"/>
        <v>0.19702270815811607</v>
      </c>
      <c r="AD45">
        <v>2015</v>
      </c>
      <c r="AE45">
        <f t="shared" si="1"/>
        <v>0.30663022147462854</v>
      </c>
      <c r="AF45">
        <v>2015</v>
      </c>
      <c r="AG45">
        <f t="shared" si="2"/>
        <v>0.26054948135688255</v>
      </c>
      <c r="AH45">
        <v>2015</v>
      </c>
      <c r="AI45">
        <f t="shared" si="3"/>
        <v>0.11012335295766751</v>
      </c>
      <c r="AJ45">
        <v>2015</v>
      </c>
      <c r="AK45">
        <f t="shared" si="18"/>
        <v>0.12567423605270536</v>
      </c>
    </row>
    <row r="46" spans="1:3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f t="shared" si="4"/>
        <v>40938</v>
      </c>
      <c r="K46" s="4">
        <v>70277</v>
      </c>
      <c r="L46" s="3">
        <v>821</v>
      </c>
      <c r="M46" s="4">
        <v>41773</v>
      </c>
      <c r="N46" s="4">
        <v>266940</v>
      </c>
      <c r="P46" s="4">
        <f t="shared" si="5"/>
        <v>63611</v>
      </c>
      <c r="Q46" s="4">
        <f t="shared" si="6"/>
        <v>111215</v>
      </c>
      <c r="R46" s="4">
        <f t="shared" si="7"/>
        <v>76641</v>
      </c>
      <c r="S46" s="4">
        <f t="shared" si="8"/>
        <v>41773</v>
      </c>
      <c r="T46" s="4">
        <f t="shared" si="9"/>
        <v>43977</v>
      </c>
      <c r="U46" s="4">
        <f t="shared" si="10"/>
        <v>337217</v>
      </c>
      <c r="V46" s="25">
        <f t="shared" si="11"/>
        <v>63611000</v>
      </c>
      <c r="W46" s="25">
        <f t="shared" si="12"/>
        <v>111215000</v>
      </c>
      <c r="X46" s="31">
        <f t="shared" si="13"/>
        <v>76641000</v>
      </c>
      <c r="Y46" s="25">
        <f t="shared" si="14"/>
        <v>41773000</v>
      </c>
      <c r="Z46" s="25">
        <f t="shared" si="15"/>
        <v>43977000</v>
      </c>
      <c r="AA46" s="25">
        <f t="shared" si="16"/>
        <v>337217000</v>
      </c>
      <c r="AB46">
        <v>2016</v>
      </c>
      <c r="AC46">
        <f t="shared" si="17"/>
        <v>0.18863521115483503</v>
      </c>
      <c r="AD46">
        <v>2016</v>
      </c>
      <c r="AE46">
        <f t="shared" si="1"/>
        <v>0.32980247140565272</v>
      </c>
      <c r="AF46">
        <v>2016</v>
      </c>
      <c r="AG46">
        <f t="shared" si="2"/>
        <v>0.22727501875646838</v>
      </c>
      <c r="AH46">
        <v>2016</v>
      </c>
      <c r="AI46">
        <f t="shared" si="3"/>
        <v>0.12387572394037075</v>
      </c>
      <c r="AJ46">
        <v>2016</v>
      </c>
      <c r="AK46">
        <f t="shared" si="18"/>
        <v>0.13041157474267312</v>
      </c>
    </row>
    <row r="47" spans="1:3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f t="shared" si="4"/>
        <v>45492</v>
      </c>
      <c r="K47" s="3"/>
      <c r="L47" s="3">
        <v>888</v>
      </c>
      <c r="M47" s="4">
        <v>44282</v>
      </c>
      <c r="N47" s="4">
        <v>281461</v>
      </c>
      <c r="P47" s="4">
        <f t="shared" si="5"/>
        <v>58907</v>
      </c>
      <c r="Q47" s="4">
        <f t="shared" si="6"/>
        <v>45492</v>
      </c>
      <c r="R47" s="4">
        <f t="shared" si="7"/>
        <v>88444</v>
      </c>
      <c r="S47" s="4">
        <f t="shared" si="8"/>
        <v>44282</v>
      </c>
      <c r="T47" s="4">
        <f t="shared" si="9"/>
        <v>44337</v>
      </c>
      <c r="U47" s="4">
        <f t="shared" si="10"/>
        <v>281462</v>
      </c>
      <c r="V47" s="25">
        <f t="shared" si="11"/>
        <v>58907000</v>
      </c>
      <c r="W47" s="25">
        <f t="shared" si="12"/>
        <v>45492000</v>
      </c>
      <c r="X47" s="31">
        <f t="shared" si="13"/>
        <v>88444000</v>
      </c>
      <c r="Y47" s="25">
        <f t="shared" si="14"/>
        <v>44282000</v>
      </c>
      <c r="Z47" s="25">
        <f t="shared" si="15"/>
        <v>44337000</v>
      </c>
      <c r="AA47" s="25">
        <f t="shared" si="16"/>
        <v>281462000</v>
      </c>
      <c r="AB47">
        <v>2017</v>
      </c>
      <c r="AC47">
        <f t="shared" si="17"/>
        <v>0.20928935344735702</v>
      </c>
      <c r="AD47">
        <v>2017</v>
      </c>
      <c r="AE47">
        <f t="shared" si="1"/>
        <v>0.1616275021139621</v>
      </c>
      <c r="AF47">
        <v>2017</v>
      </c>
      <c r="AG47">
        <f t="shared" si="2"/>
        <v>0.31423069544023707</v>
      </c>
      <c r="AH47">
        <v>2017</v>
      </c>
      <c r="AI47">
        <f t="shared" si="3"/>
        <v>0.15732852036864656</v>
      </c>
      <c r="AJ47">
        <v>2017</v>
      </c>
      <c r="AK47">
        <f t="shared" si="18"/>
        <v>0.15752392862979728</v>
      </c>
    </row>
    <row r="48" spans="1:3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f t="shared" si="4"/>
        <v>37072</v>
      </c>
      <c r="K48" s="3"/>
      <c r="L48" s="3">
        <v>934</v>
      </c>
      <c r="M48" s="4">
        <v>57337</v>
      </c>
      <c r="N48" s="4">
        <v>334467</v>
      </c>
      <c r="P48" s="4">
        <f t="shared" si="5"/>
        <v>100542</v>
      </c>
      <c r="Q48" s="4">
        <f t="shared" si="6"/>
        <v>37072</v>
      </c>
      <c r="R48" s="4">
        <f t="shared" si="7"/>
        <v>96111</v>
      </c>
      <c r="S48" s="4">
        <f t="shared" si="8"/>
        <v>57337</v>
      </c>
      <c r="T48" s="4">
        <f t="shared" si="9"/>
        <v>43405</v>
      </c>
      <c r="U48" s="4">
        <f t="shared" si="10"/>
        <v>334467</v>
      </c>
      <c r="V48" s="25">
        <f t="shared" si="11"/>
        <v>100542000</v>
      </c>
      <c r="W48" s="25">
        <f t="shared" si="12"/>
        <v>37072000</v>
      </c>
      <c r="X48" s="31">
        <f t="shared" si="13"/>
        <v>96111000</v>
      </c>
      <c r="Y48" s="25">
        <f t="shared" si="14"/>
        <v>57337000</v>
      </c>
      <c r="Z48" s="25">
        <f t="shared" si="15"/>
        <v>43405000</v>
      </c>
      <c r="AA48" s="25">
        <f t="shared" si="16"/>
        <v>334467000</v>
      </c>
      <c r="AB48">
        <v>2018</v>
      </c>
      <c r="AC48">
        <f t="shared" si="17"/>
        <v>0.30060364699656467</v>
      </c>
      <c r="AD48">
        <v>2018</v>
      </c>
      <c r="AE48">
        <f t="shared" si="1"/>
        <v>0.1108390364370775</v>
      </c>
      <c r="AF48">
        <v>2018</v>
      </c>
      <c r="AG48">
        <f t="shared" si="2"/>
        <v>0.28735570325323573</v>
      </c>
      <c r="AH48">
        <v>2018</v>
      </c>
      <c r="AI48">
        <f t="shared" si="3"/>
        <v>0.17142797346225488</v>
      </c>
      <c r="AJ48">
        <v>2018</v>
      </c>
      <c r="AK48">
        <f t="shared" si="18"/>
        <v>0.12977363985086721</v>
      </c>
    </row>
    <row r="51" spans="1:13" x14ac:dyDescent="0.25">
      <c r="A51" s="73" t="s">
        <v>23</v>
      </c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</row>
    <row r="52" spans="1:13" x14ac:dyDescent="0.25">
      <c r="A52" s="74" t="s">
        <v>0</v>
      </c>
      <c r="B52" s="74" t="s">
        <v>2</v>
      </c>
      <c r="C52" s="74" t="s">
        <v>3</v>
      </c>
      <c r="D52" s="74" t="s">
        <v>4</v>
      </c>
      <c r="E52" s="89" t="s">
        <v>5</v>
      </c>
      <c r="F52" s="90"/>
      <c r="G52" s="90"/>
      <c r="H52" s="91"/>
      <c r="I52" s="74" t="s">
        <v>11</v>
      </c>
      <c r="J52" s="74" t="s">
        <v>12</v>
      </c>
      <c r="K52" s="3"/>
      <c r="L52" s="3"/>
      <c r="M52" s="3"/>
    </row>
    <row r="53" spans="1:13" x14ac:dyDescent="0.25">
      <c r="A53" s="74"/>
      <c r="B53" s="74"/>
      <c r="C53" s="74"/>
      <c r="D53" s="74"/>
      <c r="E53" s="2" t="s">
        <v>6</v>
      </c>
      <c r="F53" s="2" t="s">
        <v>22</v>
      </c>
      <c r="G53" s="2" t="s">
        <v>8</v>
      </c>
      <c r="H53" s="2" t="s">
        <v>9</v>
      </c>
      <c r="I53" s="74"/>
      <c r="J53" s="74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7">
    <mergeCell ref="A2:L2"/>
    <mergeCell ref="F3:J3"/>
    <mergeCell ref="B3:B4"/>
    <mergeCell ref="C3:C4"/>
    <mergeCell ref="D3:D4"/>
    <mergeCell ref="E3:E4"/>
    <mergeCell ref="L3:L4"/>
    <mergeCell ref="K3:K4"/>
    <mergeCell ref="A3:A5"/>
    <mergeCell ref="C52:C53"/>
    <mergeCell ref="E52:H52"/>
    <mergeCell ref="A51:M51"/>
    <mergeCell ref="A52:A53"/>
    <mergeCell ref="B52:B53"/>
    <mergeCell ref="J52:J53"/>
    <mergeCell ref="I52:I53"/>
    <mergeCell ref="D52:D53"/>
    <mergeCell ref="M3:M4"/>
    <mergeCell ref="F5:K5"/>
    <mergeCell ref="M27:M28"/>
    <mergeCell ref="N27:N28"/>
    <mergeCell ref="B29:N29"/>
    <mergeCell ref="B5:D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AC27:AC28"/>
    <mergeCell ref="X27:X28"/>
    <mergeCell ref="Y27:Y28"/>
    <mergeCell ref="Z27:Z28"/>
    <mergeCell ref="AA27:A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HEESI</vt:lpstr>
      <vt:lpstr>Macro dari HEESI</vt:lpstr>
      <vt:lpstr>Konsumsi Energi Nasional</vt:lpstr>
      <vt:lpstr>Energi Primer Nasional</vt:lpstr>
      <vt:lpstr>Eksploitasi Batubara</vt:lpstr>
      <vt:lpstr>Eksploitasi Minyak Bumi</vt:lpstr>
      <vt:lpstr>Eksploitasi Gas Bumi</vt:lpstr>
      <vt:lpstr>Population</vt:lpstr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  <vt:lpstr>Final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2020-08-19T16:01:12Z</dcterms:modified>
</cp:coreProperties>
</file>