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988ED026-F367-4E68-806A-7B9B5236A127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HEESI" sheetId="14" r:id="rId1"/>
    <sheet name="Macro dari HEESI" sheetId="10" r:id="rId2"/>
    <sheet name="Konsumsi Energi Nasional" sheetId="11" r:id="rId3"/>
    <sheet name="Energi Primer Nasional" sheetId="13" r:id="rId4"/>
    <sheet name="Eksploitasi Batubara" sheetId="15" r:id="rId5"/>
    <sheet name="Eksploitasi Minyak Bumi" sheetId="16" r:id="rId6"/>
    <sheet name="Eksploitasi Gas Bumi" sheetId="17" r:id="rId7"/>
    <sheet name="Population" sheetId="12" r:id="rId8"/>
    <sheet name="Industry" sheetId="1" r:id="rId9"/>
    <sheet name="Household" sheetId="2" r:id="rId10"/>
    <sheet name="Commercial" sheetId="7" r:id="rId11"/>
    <sheet name="Transportation" sheetId="3" r:id="rId12"/>
    <sheet name="Others" sheetId="8" r:id="rId13"/>
    <sheet name="Refinery" sheetId="4" r:id="rId14"/>
    <sheet name="Natural Gas" sheetId="5" r:id="rId15"/>
    <sheet name="Power Plant" sheetId="6" r:id="rId16"/>
    <sheet name="Final Energy" sheetId="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4" l="1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B28" i="14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4" i="17"/>
  <c r="C27" i="14" l="1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B27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B26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B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B25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9" i="2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B23" i="14"/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AB4" i="17"/>
  <c r="AC4" i="17"/>
  <c r="AD4" i="17"/>
  <c r="AB5" i="17"/>
  <c r="AC5" i="17"/>
  <c r="AD5" i="17"/>
  <c r="AB6" i="17"/>
  <c r="AC6" i="17"/>
  <c r="AD6" i="17"/>
  <c r="AB7" i="17"/>
  <c r="AC7" i="17"/>
  <c r="AD7" i="17"/>
  <c r="AB8" i="17"/>
  <c r="AC8" i="17"/>
  <c r="AD8" i="17"/>
  <c r="AB9" i="17"/>
  <c r="AC9" i="17"/>
  <c r="AD9" i="17"/>
  <c r="AB10" i="17"/>
  <c r="AC10" i="17"/>
  <c r="AD10" i="17"/>
  <c r="AB11" i="17"/>
  <c r="AC11" i="17"/>
  <c r="AD11" i="17"/>
  <c r="AB12" i="17"/>
  <c r="AC12" i="17"/>
  <c r="AD12" i="17"/>
  <c r="AB13" i="17"/>
  <c r="AC13" i="17"/>
  <c r="AD13" i="17"/>
  <c r="AB14" i="17"/>
  <c r="AC14" i="17"/>
  <c r="AD14" i="17"/>
  <c r="AB15" i="17"/>
  <c r="AC15" i="17"/>
  <c r="AD15" i="17"/>
  <c r="AB16" i="17"/>
  <c r="AC16" i="17"/>
  <c r="AD16" i="17"/>
  <c r="AB17" i="17"/>
  <c r="AC17" i="17"/>
  <c r="AD17" i="17"/>
  <c r="AB18" i="17"/>
  <c r="AC18" i="17"/>
  <c r="AD18" i="17"/>
  <c r="AB19" i="17"/>
  <c r="AC19" i="17"/>
  <c r="AD19" i="17"/>
  <c r="AB20" i="17"/>
  <c r="AC20" i="17"/>
  <c r="AD20" i="17"/>
  <c r="AB21" i="17"/>
  <c r="AC21" i="17"/>
  <c r="AD21" i="17"/>
  <c r="AB22" i="17"/>
  <c r="AC22" i="17"/>
  <c r="AD22" i="17"/>
  <c r="AB23" i="17"/>
  <c r="AC23" i="17"/>
  <c r="AD23" i="17"/>
  <c r="AC3" i="17"/>
  <c r="AD3" i="17"/>
  <c r="AB3" i="17"/>
  <c r="Y3" i="17"/>
  <c r="Z3" i="17"/>
  <c r="Y4" i="17"/>
  <c r="Z4" i="17"/>
  <c r="Y5" i="17"/>
  <c r="Z5" i="17"/>
  <c r="Y6" i="17"/>
  <c r="Z6" i="17"/>
  <c r="Y7" i="17"/>
  <c r="Z7" i="17"/>
  <c r="Y8" i="17"/>
  <c r="Z8" i="17"/>
  <c r="Y9" i="17"/>
  <c r="Z9" i="17"/>
  <c r="Y10" i="17"/>
  <c r="Z10" i="17"/>
  <c r="Y11" i="17"/>
  <c r="Z11" i="17"/>
  <c r="Y12" i="17"/>
  <c r="Z12" i="17"/>
  <c r="Y13" i="17"/>
  <c r="Z13" i="17"/>
  <c r="Y14" i="17"/>
  <c r="Z14" i="17"/>
  <c r="Y15" i="17"/>
  <c r="Z15" i="17"/>
  <c r="Y16" i="17"/>
  <c r="Z16" i="17"/>
  <c r="Y17" i="17"/>
  <c r="Z17" i="17"/>
  <c r="Y18" i="17"/>
  <c r="Z18" i="17"/>
  <c r="Y19" i="17"/>
  <c r="Z19" i="17"/>
  <c r="Y20" i="17"/>
  <c r="Z20" i="17"/>
  <c r="Y21" i="17"/>
  <c r="Z21" i="17"/>
  <c r="Y22" i="17"/>
  <c r="Z22" i="17"/>
  <c r="Y23" i="17"/>
  <c r="Z2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3" i="17"/>
  <c r="B20" i="14"/>
  <c r="N4" i="17"/>
  <c r="O4" i="17"/>
  <c r="P4" i="17"/>
  <c r="N5" i="17"/>
  <c r="O5" i="17"/>
  <c r="P5" i="17"/>
  <c r="N6" i="17"/>
  <c r="O6" i="17"/>
  <c r="P6" i="17"/>
  <c r="N7" i="17"/>
  <c r="O7" i="17"/>
  <c r="P7" i="17"/>
  <c r="N8" i="17"/>
  <c r="O8" i="17"/>
  <c r="P8" i="17"/>
  <c r="N9" i="17"/>
  <c r="O9" i="17"/>
  <c r="P9" i="17"/>
  <c r="N10" i="17"/>
  <c r="O10" i="17"/>
  <c r="P10" i="17"/>
  <c r="N11" i="17"/>
  <c r="O11" i="17"/>
  <c r="P11" i="17"/>
  <c r="N12" i="17"/>
  <c r="O12" i="17"/>
  <c r="P12" i="17"/>
  <c r="N13" i="17"/>
  <c r="O13" i="17"/>
  <c r="P13" i="17"/>
  <c r="N14" i="17"/>
  <c r="O14" i="17"/>
  <c r="P14" i="17"/>
  <c r="N15" i="17"/>
  <c r="O15" i="17"/>
  <c r="P15" i="17"/>
  <c r="N16" i="17"/>
  <c r="O16" i="17"/>
  <c r="P16" i="17"/>
  <c r="N17" i="17"/>
  <c r="O17" i="17"/>
  <c r="P17" i="17"/>
  <c r="N18" i="17"/>
  <c r="O18" i="17"/>
  <c r="P18" i="17"/>
  <c r="N19" i="17"/>
  <c r="O19" i="17"/>
  <c r="P19" i="17"/>
  <c r="N20" i="17"/>
  <c r="O20" i="17"/>
  <c r="P20" i="17"/>
  <c r="N21" i="17"/>
  <c r="O21" i="17"/>
  <c r="P21" i="17"/>
  <c r="O3" i="17"/>
  <c r="P3" i="17"/>
  <c r="N3" i="17"/>
  <c r="E4" i="17"/>
  <c r="F4" i="17"/>
  <c r="G4" i="17"/>
  <c r="E5" i="17"/>
  <c r="F5" i="17"/>
  <c r="G5" i="17"/>
  <c r="E6" i="17"/>
  <c r="F6" i="17"/>
  <c r="G6" i="17"/>
  <c r="E7" i="17"/>
  <c r="F7" i="17"/>
  <c r="G7" i="17"/>
  <c r="E8" i="17"/>
  <c r="F8" i="17"/>
  <c r="G8" i="17"/>
  <c r="E9" i="17"/>
  <c r="F9" i="17"/>
  <c r="G9" i="17"/>
  <c r="E10" i="17"/>
  <c r="F10" i="17"/>
  <c r="G10" i="17"/>
  <c r="E11" i="17"/>
  <c r="F11" i="17"/>
  <c r="G11" i="17"/>
  <c r="E12" i="17"/>
  <c r="F12" i="17"/>
  <c r="G12" i="17"/>
  <c r="E13" i="17"/>
  <c r="F13" i="17"/>
  <c r="G13" i="17"/>
  <c r="E14" i="17"/>
  <c r="F14" i="17"/>
  <c r="G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F3" i="17"/>
  <c r="G3" i="17"/>
  <c r="E3" i="17"/>
  <c r="H1" i="17"/>
  <c r="Q14" i="14" l="1"/>
  <c r="R14" i="14"/>
  <c r="S14" i="14"/>
  <c r="T14" i="14"/>
  <c r="Q15" i="14"/>
  <c r="R15" i="14"/>
  <c r="S15" i="14"/>
  <c r="T15" i="14"/>
  <c r="Q16" i="14"/>
  <c r="R16" i="14"/>
  <c r="S16" i="14"/>
  <c r="T16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C18" i="14" l="1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B19" i="14"/>
  <c r="B1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B17" i="14"/>
  <c r="H18" i="16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I3" i="16"/>
  <c r="J3" i="16"/>
  <c r="H3" i="16"/>
  <c r="P14" i="14" l="1"/>
  <c r="P15" i="14"/>
  <c r="P1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6" i="14"/>
  <c r="B14" i="14"/>
  <c r="B15" i="14"/>
  <c r="Q17" i="15"/>
  <c r="R17" i="15" s="1"/>
  <c r="I17" i="15"/>
  <c r="J17" i="15"/>
  <c r="K17" i="15"/>
  <c r="H17" i="15"/>
  <c r="L17" i="15" s="1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8" i="13" l="1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C11" i="14" l="1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3" i="14"/>
  <c r="B11" i="14"/>
  <c r="B12" i="14"/>
  <c r="AA3" i="13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19" i="2"/>
  <c r="S37" i="2"/>
  <c r="R37" i="2"/>
  <c r="Q37" i="2"/>
  <c r="P37" i="2"/>
  <c r="E4" i="14"/>
  <c r="F4" i="14"/>
  <c r="H4" i="14"/>
  <c r="I4" i="14"/>
  <c r="J4" i="14"/>
  <c r="L4" i="14"/>
  <c r="M4" i="14"/>
  <c r="N4" i="14"/>
  <c r="P4" i="14"/>
  <c r="R4" i="14"/>
  <c r="B4" i="14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N4" i="13"/>
  <c r="D4" i="14" s="1"/>
  <c r="N5" i="13"/>
  <c r="N6" i="13"/>
  <c r="N7" i="13"/>
  <c r="G4" i="14" s="1"/>
  <c r="N8" i="13"/>
  <c r="N9" i="13"/>
  <c r="N10" i="13"/>
  <c r="N11" i="13"/>
  <c r="K4" i="14" s="1"/>
  <c r="N12" i="13"/>
  <c r="N13" i="13"/>
  <c r="N14" i="13"/>
  <c r="U14" i="13" s="1"/>
  <c r="N15" i="13"/>
  <c r="O4" i="14" s="1"/>
  <c r="N16" i="13"/>
  <c r="N17" i="13"/>
  <c r="Q4" i="14" s="1"/>
  <c r="N18" i="13"/>
  <c r="N19" i="13"/>
  <c r="S4" i="14" s="1"/>
  <c r="N20" i="13"/>
  <c r="T4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R9" i="14" l="1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<sst xmlns="http://schemas.openxmlformats.org/spreadsheetml/2006/main" count="582" uniqueCount="225">
  <si>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</si>
  <si>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</si>
  <si>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</si>
  <si>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</si>
  <si>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</si>
  <si>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</si>
  <si>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</si>
  <si>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</si>
  <si>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</si>
  <si>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</si>
  <si>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</si>
  <si>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</si>
  <si>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</si>
  <si>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</si>
  <si>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</si>
  <si>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</si>
  <si>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</si>
  <si>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</si>
  <si>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</si>
  <si>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</si>
  <si>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</si>
  <si>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</si>
  <si>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</si>
  <si>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</si>
  <si>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</si>
  <si>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</si>
  <si>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</si>
  <si>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</si>
  <si>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</si>
  <si>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</si>
  <si>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</si>
  <si>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</si>
  <si>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</si>
  <si>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</si>
  <si>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</si>
  <si>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</si>
  <si>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</si>
  <si>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</si>
  <si>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</si>
  <si>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</si>
  <si>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</si>
  <si>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</si>
  <si>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</si>
  <si>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</si>
  <si>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</si>
  <si>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</si>
  <si>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</si>
  <si>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</si>
  <si>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</si>
  <si>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</si>
  <si>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</si>
  <si>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</si>
  <si>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</si>
  <si>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</si>
  <si>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</si>
  <si>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</si>
  <si>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</si>
  <si>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</si>
  <si>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</si>
  <si>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</si>
  <si>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</si>
  <si>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</si>
  <si>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</si>
  <si>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</si>
  <si>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</si>
  <si>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</si>
  <si>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</si>
  <si>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</si>
  <si>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</si>
  <si>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</si>
  <si>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</si>
  <si>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</si>
  <si>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</si>
  <si>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</si>
  <si>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</si>
  <si>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</si>
  <si>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</si>
  <si>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</si>
  <si>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</si>
  <si>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</si>
  <si>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</si>
  <si>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</si>
  <si>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</si>
  <si>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</si>
  <si>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</si>
  <si>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</si>
  <si>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</si>
  <si>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</si>
  <si>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</si>
  <si>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</si>
  <si>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</si>
  <si>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</si>
  <si>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</si>
  <si>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</si>
  <si>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</si>
  <si>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</si>
  <si>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</si>
  <si>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</si>
  <si>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</si>
  <si>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</si>
  <si>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</si>
  <si>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</si>
  <si>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</si>
  <si>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</si>
  <si>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</si>
  <si>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</si>
  <si>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</si>
  <si>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</si>
  <si>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</si>
  <si>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</si>
  <si>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</si>
  <si>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</si>
  <si>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</si>
  <si>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</si>
  <si>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</si>
  <si>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</si>
  <si>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</si>
  <si>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</si>
  <si>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</si>
  <si>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</si>
  <si>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</si>
  <si>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</si>
  <si>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</si>
  <si>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</si>
  <si>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</si>
  <si>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</si>
  <si>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</si>
  <si>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</si>
  <si>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</si>
  <si>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</si>
  <si>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</si>
  <si>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</si>
  <si>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</si>
  <si>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</si>
  <si>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</si>
  <si>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</si>
  <si>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</si>
  <si>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</si>
  <si>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</si>
  <si>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</si>
  <si>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</si>
  <si>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</si>
  <si>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</si>
  <si>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</si>
  <si>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</si>
  <si>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</si>
  <si>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</si>
  <si>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</si>
  <si>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</si>
  <si>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</si>
  <si>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</si>
  <si>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</si>
  <si>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</si>
  <si>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</si>
  <si>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</si>
  <si>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</si>
  <si>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</si>
  <si>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</si>
  <si>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</si>
  <si>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</si>
  <si>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</si>
  <si>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</si>
  <si>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</si>
  <si>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</si>
  <si>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</si>
  <si>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</si>
  <si>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</si>
  <si>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</si>
  <si>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</si>
  <si>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</si>
  <si>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</si>
  <si>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</si>
  <si>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</si>
  <si>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</si>
  <si>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</si>
  <si>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</si>
  <si>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</si>
  <si>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</si>
  <si>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</si>
  <si>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</si>
  <si>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</si>
  <si>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</si>
  <si>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</si>
  <si>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</si>
  <si>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</si>
  <si>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</si>
  <si>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</si>
  <si>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</si>
  <si>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</si>
  <si>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</si>
  <si>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</si>
  <si>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</si>
  <si>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</si>
  <si>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</si>
  <si>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</si>
  <si>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</si>
  <si>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</si>
  <si>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</si>
  <si>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</si>
  <si>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</si>
  <si>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</si>
  <si>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</si>
  <si>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</si>
  <si>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</si>
  <si>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</si>
  <si>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</si>
  <si>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Natural Gas Reserves (SCF)</t>
  </si>
  <si>
    <t>Non Associated</t>
  </si>
  <si>
    <t>Natural Gas Production (SCF)</t>
  </si>
  <si>
    <t>Natural Gas (Energy Balance) (Thousand BOE)</t>
  </si>
  <si>
    <t>Natural Gas (Energy Balance) (BOE)</t>
  </si>
  <si>
    <t>Natural Gas (Energy Balance) (SCF)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</si>
  <si>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</si>
  <si>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</si>
  <si>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</si>
  <si>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</si>
  <si>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</si>
  <si>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</si>
  <si>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</si>
  <si>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Reserve - Eksploitasi</t>
  </si>
  <si>
    <t>SHARE Primary Energy Supply by Sources</t>
  </si>
  <si>
    <t>Primary Energy Supply by Sources (BOE)</t>
  </si>
  <si>
    <t>Permintaan Gas Bumi (SCF)</t>
  </si>
  <si>
    <t>Tahun</t>
  </si>
  <si>
    <t>Permintaan Gas Bumi 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</si>
</sst>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3" fontId="0" fillId="2" borderId="0" xfId="0" applyNumberFormat="1" applyFont="1" applyFill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'Eksploitasi Gas Bumi'!$P$3:$P$21</c:f>
              <c:numCache>
                <c:formatCode>General</c:formatCode>
                <c:ptCount val="19"/>
                <c:pt idx="0">
                  <c:v>2901302000000</c:v>
                </c:pt>
                <c:pt idx="1">
                  <c:v>2806084000000</c:v>
                </c:pt>
                <c:pt idx="2">
                  <c:v>3036355000000</c:v>
                </c:pt>
                <c:pt idx="3">
                  <c:v>3155243000000</c:v>
                </c:pt>
                <c:pt idx="4">
                  <c:v>3003945000000</c:v>
                </c:pt>
                <c:pt idx="5">
                  <c:v>2985341000000</c:v>
                </c:pt>
                <c:pt idx="6">
                  <c:v>2953997000000</c:v>
                </c:pt>
                <c:pt idx="7">
                  <c:v>2805540000000</c:v>
                </c:pt>
                <c:pt idx="8">
                  <c:v>2885328000000</c:v>
                </c:pt>
                <c:pt idx="9">
                  <c:v>3060897000000</c:v>
                </c:pt>
                <c:pt idx="10">
                  <c:v>3407592000000</c:v>
                </c:pt>
                <c:pt idx="11">
                  <c:v>3256379000000</c:v>
                </c:pt>
                <c:pt idx="12">
                  <c:v>3174639000000</c:v>
                </c:pt>
                <c:pt idx="13">
                  <c:v>3120838000000</c:v>
                </c:pt>
                <c:pt idx="14">
                  <c:v>3175791000000</c:v>
                </c:pt>
                <c:pt idx="15">
                  <c:v>3116142000000</c:v>
                </c:pt>
                <c:pt idx="16">
                  <c:v>3070239000000</c:v>
                </c:pt>
                <c:pt idx="17">
                  <c:v>2963184000000</c:v>
                </c:pt>
                <c:pt idx="18">
                  <c:v>2996802000000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FCB-A85D-AAE41531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00271"/>
        <c:axId val="1545735199"/>
      </c:lineChart>
      <c:catAx>
        <c:axId val="165250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35199"/>
        <c:crosses val="autoZero"/>
        <c:auto val="1"/>
        <c:lblAlgn val="ctr"/>
        <c:lblOffset val="100"/>
        <c:noMultiLvlLbl val="0"/>
      </c:catAx>
      <c:valAx>
        <c:axId val="15457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1400175</xdr:colOff>
      <xdr:row>23</xdr:row>
      <xdr:rowOff>80962</xdr:rowOff>
    </xdr:from>
    <xdr:to>
      <xdr:col>14</xdr:col>
      <xdr:colOff>781050</xdr:colOff>
      <xdr:row>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2D723-2020-436A-B3E3-4B5D3B8F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:T28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t="s">
        <v>172</v>
      </c>
      <c r="B11">
        <f>VLOOKUP(B1,'Energi Primer Nasional'!$Z$1:$AJ$16,3)</f>
        <v>9.4200000000000006E-2</v>
      </c>
      <c r="C11">
        <f>VLOOKUP(C1,'Energi Primer Nasional'!$Z$1:$AJ$16,3)</f>
        <v>0.1144</v>
      </c>
      <c r="D11">
        <f>VLOOKUP(D1,'Energi Primer Nasional'!$Z$1:$AJ$16,3)</f>
        <v>0.1148</v>
      </c>
      <c r="E11">
        <f>VLOOKUP(E1,'Energi Primer Nasional'!$Z$1:$AJ$16,3)</f>
        <v>0.14580000000000001</v>
      </c>
      <c r="F11">
        <f>VLOOKUP(F1,'Energi Primer Nasional'!$Z$1:$AJ$16,3)</f>
        <v>0.13239999999999999</v>
      </c>
      <c r="G11">
        <f>VLOOKUP(G1,'Energi Primer Nasional'!$Z$1:$AJ$16,3)</f>
        <v>0.1489</v>
      </c>
      <c r="H11">
        <f>VLOOKUP(H1,'Energi Primer Nasional'!$Z$1:$AJ$16,3)</f>
        <v>0.17510000000000001</v>
      </c>
      <c r="I11">
        <f>VLOOKUP(I1,'Energi Primer Nasional'!$Z$1:$AJ$16,3)</f>
        <v>0.2097</v>
      </c>
      <c r="J11">
        <f>VLOOKUP(J1,'Energi Primer Nasional'!$Z$1:$AJ$16,3)</f>
        <v>0.17800000000000002</v>
      </c>
      <c r="K11">
        <f>VLOOKUP(K1,'Energi Primer Nasional'!$Z$1:$AJ$16,3)</f>
        <v>0.18179999999999999</v>
      </c>
      <c r="L11">
        <f>VLOOKUP(L1,'Energi Primer Nasional'!$Z$1:$AJ$16,3)</f>
        <v>0.19839999999999999</v>
      </c>
      <c r="M11">
        <f>VLOOKUP(M1,'Energi Primer Nasional'!$Z$1:$AJ$16,3)</f>
        <v>0.22</v>
      </c>
      <c r="N11">
        <f>VLOOKUP(N1,'Energi Primer Nasional'!$Z$1:$AJ$16,3)</f>
        <v>0.23920000000000002</v>
      </c>
      <c r="O11">
        <f>VLOOKUP(O1,'Energi Primer Nasional'!$Z$1:$AJ$16,3)</f>
        <v>0.25459999999999999</v>
      </c>
      <c r="P11">
        <f>VLOOKUP(P1,'Energi Primer Nasional'!$Z$1:$AJ$16,3)</f>
        <v>0.28170000000000001</v>
      </c>
      <c r="Q11">
        <f>VLOOKUP(Q1,'Energi Primer Nasional'!$Z$1:$AJ$16,3)</f>
        <v>0.28170000000000001</v>
      </c>
      <c r="R11">
        <f>VLOOKUP(R1,'Energi Primer Nasional'!$Z$1:$AJ$16,3)</f>
        <v>0.28170000000000001</v>
      </c>
      <c r="S11">
        <f>VLOOKUP(S1,'Energi Primer Nasional'!$Z$1:$AJ$16,3)</f>
        <v>0.28170000000000001</v>
      </c>
      <c r="T11">
        <f>VLOOKUP(T1,'Energi Primer Nasional'!$Z$1:$AJ$16,3)</f>
        <v>0.28170000000000001</v>
      </c>
    </row>
    <row r="12" spans="1:22" x14ac:dyDescent="0.25">
      <c r="A12" t="s">
        <v>173</v>
      </c>
      <c r="B12">
        <f>VLOOKUP(B1,'Energi Primer Nasional'!$Z$1:$AJ$16,2)</f>
        <v>0.41739999999999999</v>
      </c>
      <c r="C12">
        <f>VLOOKUP(C1,'Energi Primer Nasional'!$Z$1:$AJ$16,2)</f>
        <v>0.42420000000000002</v>
      </c>
      <c r="D12">
        <f>VLOOKUP(D1,'Energi Primer Nasional'!$Z$1:$AJ$16,2)</f>
        <v>0.42320000000000002</v>
      </c>
      <c r="E12">
        <f>VLOOKUP(E1,'Energi Primer Nasional'!$Z$1:$AJ$16,2)</f>
        <v>0.40369999999999995</v>
      </c>
      <c r="F12">
        <f>VLOOKUP(F1,'Energi Primer Nasional'!$Z$1:$AJ$16,2)</f>
        <v>0.43520000000000003</v>
      </c>
      <c r="G12">
        <f>VLOOKUP(G1,'Energi Primer Nasional'!$Z$1:$AJ$16,2)</f>
        <v>0.42320000000000002</v>
      </c>
      <c r="H12">
        <f>VLOOKUP(H1,'Energi Primer Nasional'!$Z$1:$AJ$16,2)</f>
        <v>0.39240000000000003</v>
      </c>
      <c r="I12">
        <f>VLOOKUP(I1,'Energi Primer Nasional'!$Z$1:$AJ$16,2)</f>
        <v>0.38500000000000001</v>
      </c>
      <c r="J12">
        <f>VLOOKUP(J1,'Energi Primer Nasional'!$Z$1:$AJ$16,2)</f>
        <v>0.38079999999999997</v>
      </c>
      <c r="K12">
        <f>VLOOKUP(K1,'Energi Primer Nasional'!$Z$1:$AJ$16,2)</f>
        <v>0.37280000000000002</v>
      </c>
      <c r="L12">
        <f>VLOOKUP(L1,'Energi Primer Nasional'!$Z$1:$AJ$16,2)</f>
        <v>0.37569999999999998</v>
      </c>
      <c r="M12">
        <f>VLOOKUP(M1,'Energi Primer Nasional'!$Z$1:$AJ$16,2)</f>
        <v>0.38909999999999995</v>
      </c>
      <c r="N12">
        <f>VLOOKUP(N1,'Energi Primer Nasional'!$Z$1:$AJ$16,2)</f>
        <v>0.37319999999999998</v>
      </c>
      <c r="O12">
        <f>VLOOKUP(O1,'Energi Primer Nasional'!$Z$1:$AJ$16,2)</f>
        <v>0.3775</v>
      </c>
      <c r="P12">
        <f>VLOOKUP(P1,'Energi Primer Nasional'!$Z$1:$AJ$16,2)</f>
        <v>0.35479999999999995</v>
      </c>
      <c r="Q12">
        <f>VLOOKUP(Q1,'Energi Primer Nasional'!$Z$1:$AJ$16,2)</f>
        <v>0.35479999999999995</v>
      </c>
      <c r="R12">
        <f>VLOOKUP(R1,'Energi Primer Nasional'!$Z$1:$AJ$16,2)</f>
        <v>0.35479999999999995</v>
      </c>
      <c r="S12">
        <f>VLOOKUP(S1,'Energi Primer Nasional'!$Z$1:$AJ$16,2)</f>
        <v>0.35479999999999995</v>
      </c>
      <c r="T12">
        <f>VLOOKUP(T1,'Energi Primer Nasional'!$Z$1:$AJ$16,2)</f>
        <v>0.35479999999999995</v>
      </c>
    </row>
    <row r="13" spans="1:22" x14ac:dyDescent="0.25">
      <c r="A13" t="s">
        <v>174</v>
      </c>
      <c r="B13">
        <f>VLOOKUP(B1,'Energi Primer Nasional'!$Z$1:$AJ$16,4)</f>
        <v>0.16539999999999999</v>
      </c>
      <c r="C13">
        <f>VLOOKUP(C1,'Energi Primer Nasional'!$Z$1:$AJ$16,4)</f>
        <v>0.1653</v>
      </c>
      <c r="D13">
        <f>VLOOKUP(D1,'Energi Primer Nasional'!$Z$1:$AJ$16,4)</f>
        <v>0.17649999999999999</v>
      </c>
      <c r="E13">
        <f>VLOOKUP(E1,'Energi Primer Nasional'!$Z$1:$AJ$16,4)</f>
        <v>0.18049999999999999</v>
      </c>
      <c r="F13">
        <f>VLOOKUP(F1,'Energi Primer Nasional'!$Z$1:$AJ$16,4)</f>
        <v>0.16390000000000002</v>
      </c>
      <c r="G13">
        <f>VLOOKUP(G1,'Energi Primer Nasional'!$Z$1:$AJ$16,4)</f>
        <v>0.16390000000000002</v>
      </c>
      <c r="H13">
        <f>VLOOKUP(H1,'Energi Primer Nasional'!$Z$1:$AJ$16,4)</f>
        <v>0.16719999999999999</v>
      </c>
      <c r="I13">
        <f>VLOOKUP(I1,'Energi Primer Nasional'!$Z$1:$AJ$16,4)</f>
        <v>0.1492</v>
      </c>
      <c r="J13">
        <f>VLOOKUP(J1,'Energi Primer Nasional'!$Z$1:$AJ$16,4)</f>
        <v>0.187</v>
      </c>
      <c r="K13">
        <f>VLOOKUP(K1,'Energi Primer Nasional'!$Z$1:$AJ$16,4)</f>
        <v>0.193</v>
      </c>
      <c r="L13">
        <f>VLOOKUP(L1,'Energi Primer Nasional'!$Z$1:$AJ$16,4)</f>
        <v>0.19030000000000002</v>
      </c>
      <c r="M13">
        <f>VLOOKUP(M1,'Energi Primer Nasional'!$Z$1:$AJ$16,4)</f>
        <v>0.17230000000000001</v>
      </c>
      <c r="N13">
        <f>VLOOKUP(N1,'Energi Primer Nasional'!$Z$1:$AJ$16,4)</f>
        <v>0.1643</v>
      </c>
      <c r="O13">
        <f>VLOOKUP(O1,'Energi Primer Nasional'!$Z$1:$AJ$16,4)</f>
        <v>0.14410000000000001</v>
      </c>
      <c r="P13">
        <f>VLOOKUP(P1,'Energi Primer Nasional'!$Z$1:$AJ$16,4)</f>
        <v>0.15359999999999999</v>
      </c>
      <c r="Q13">
        <f>VLOOKUP(Q1,'Energi Primer Nasional'!$Z$1:$AJ$16,4)</f>
        <v>0.15359999999999999</v>
      </c>
      <c r="R13">
        <f>VLOOKUP(R1,'Energi Primer Nasional'!$Z$1:$AJ$16,4)</f>
        <v>0.15359999999999999</v>
      </c>
      <c r="S13">
        <f>VLOOKUP(S1,'Energi Primer Nasional'!$Z$1:$AJ$16,4)</f>
        <v>0.15359999999999999</v>
      </c>
      <c r="T13">
        <f>VLOOKUP(T1,'Energi Primer Nasional'!$Z$1:$AJ$16,4)</f>
        <v>0.15359999999999999</v>
      </c>
    </row>
    <row r="14" spans="1:22" x14ac:dyDescent="0.25">
      <c r="A14" t="s">
        <v>192</v>
      </c>
      <c r="B14">
        <f>VLOOKUP(B1,'Eksploitasi Batubara'!$A$3:$D$21,2)</f>
        <v>77040185</v>
      </c>
      <c r="C14">
        <f>VLOOKUP(C1,'Eksploitasi Batubara'!$A$3:$D$21,2)</f>
        <v>92540460</v>
      </c>
      <c r="D14">
        <f>VLOOKUP(D1,'Eksploitasi Batubara'!$A$3:$D$21,2)</f>
        <v>103329093</v>
      </c>
      <c r="E14">
        <f>VLOOKUP(E1,'Eksploitasi Batubara'!$A$3:$D$21,2)</f>
        <v>114278000</v>
      </c>
      <c r="F14">
        <f>VLOOKUP(F1,'Eksploitasi Batubara'!$A$3:$D$21,2)</f>
        <v>132352025</v>
      </c>
      <c r="G14">
        <f>VLOOKUP(G1,'Eksploitasi Batubara'!$A$3:$D$21,2)</f>
        <v>152722438</v>
      </c>
      <c r="H14">
        <f>VLOOKUP(H1,'Eksploitasi Batubara'!$A$3:$D$21,2)</f>
        <v>193761311</v>
      </c>
      <c r="I14">
        <f>VLOOKUP(I1,'Eksploitasi Batubara'!$A$3:$D$21,2)</f>
        <v>216946699</v>
      </c>
      <c r="J14">
        <f>VLOOKUP(J1,'Eksploitasi Batubara'!$A$3:$D$21,2)</f>
        <v>240249968</v>
      </c>
      <c r="K14">
        <f>VLOOKUP(K1,'Eksploitasi Batubara'!$A$3:$D$21,2)</f>
        <v>256181000</v>
      </c>
      <c r="L14">
        <f>VLOOKUP(L1,'Eksploitasi Batubara'!$A$3:$D$21,2)</f>
        <v>275164196</v>
      </c>
      <c r="M14">
        <f>VLOOKUP(M1,'Eksploitasi Batubara'!$A$3:$D$21,2)</f>
        <v>353270937</v>
      </c>
      <c r="N14">
        <f>VLOOKUP(N1,'Eksploitasi Batubara'!$A$3:$D$21,2)</f>
        <v>386077357</v>
      </c>
      <c r="O14">
        <f>VLOOKUP(O1,'Eksploitasi Batubara'!$A$3:$D$21,2)</f>
        <v>474371369</v>
      </c>
      <c r="P14">
        <f>VLOOKUP(P1,'Eksploitasi Batubara'!$A$3:$D$21,2)</f>
        <v>458096707</v>
      </c>
      <c r="Q14">
        <f>VLOOKUP(Q1,'Eksploitasi Batubara'!$A$3:$D$21,2)</f>
        <v>461566080</v>
      </c>
      <c r="R14">
        <f>VLOOKUP(R1,'Eksploitasi Batubara'!$A$3:$D$21,2)</f>
        <v>456197775</v>
      </c>
      <c r="S14">
        <f>VLOOKUP(S1,'Eksploitasi Batubara'!$A$3:$D$21,2)</f>
        <v>461248184</v>
      </c>
      <c r="T14">
        <f>VLOOKUP(T1,'Eksploitasi Batubara'!$A$3:$D$21,2)</f>
        <v>557772940</v>
      </c>
    </row>
    <row r="15" spans="1:22" x14ac:dyDescent="0.25">
      <c r="A15" t="s">
        <v>191</v>
      </c>
      <c r="B15">
        <f>VLOOKUP(B1,'Eksploitasi Batubara'!$A$3:$D$21,3)</f>
        <v>58460492</v>
      </c>
      <c r="C15">
        <f>VLOOKUP(C1,'Eksploitasi Batubara'!$A$3:$D$21,3)</f>
        <v>65281086</v>
      </c>
      <c r="D15">
        <f>VLOOKUP(D1,'Eksploitasi Batubara'!$A$3:$D$21,3)</f>
        <v>74177926</v>
      </c>
      <c r="E15">
        <f>VLOOKUP(E1,'Eksploitasi Batubara'!$A$3:$D$21,3)</f>
        <v>85680621</v>
      </c>
      <c r="F15">
        <f>VLOOKUP(F1,'Eksploitasi Batubara'!$A$3:$D$21,3)</f>
        <v>93758806</v>
      </c>
      <c r="G15">
        <f>VLOOKUP(G1,'Eksploitasi Batubara'!$A$3:$D$21,3)</f>
        <v>110789700</v>
      </c>
      <c r="H15">
        <f>VLOOKUP(H1,'Eksploitasi Batubara'!$A$3:$D$21,3)</f>
        <v>143632865</v>
      </c>
      <c r="I15">
        <f>VLOOKUP(I1,'Eksploitasi Batubara'!$A$3:$D$21,3)</f>
        <v>163000000</v>
      </c>
      <c r="J15">
        <f>VLOOKUP(J1,'Eksploitasi Batubara'!$A$3:$D$21,3)</f>
        <v>191430218</v>
      </c>
      <c r="K15">
        <f>VLOOKUP(K1,'Eksploitasi Batubara'!$A$3:$D$21,3)</f>
        <v>198366000</v>
      </c>
      <c r="L15">
        <f>VLOOKUP(L1,'Eksploitasi Batubara'!$A$3:$D$21,3)</f>
        <v>208000000</v>
      </c>
      <c r="M15">
        <f>VLOOKUP(M1,'Eksploitasi Batubara'!$A$3:$D$21,3)</f>
        <v>272671351</v>
      </c>
      <c r="N15">
        <f>VLOOKUP(N1,'Eksploitasi Batubara'!$A$3:$D$21,3)</f>
        <v>304051216</v>
      </c>
      <c r="O15">
        <f>VLOOKUP(O1,'Eksploitasi Batubara'!$A$3:$D$21,3)</f>
        <v>356357973</v>
      </c>
      <c r="P15">
        <f>VLOOKUP(P1,'Eksploitasi Batubara'!$A$3:$D$21,3)</f>
        <v>381972830</v>
      </c>
      <c r="Q15">
        <f>VLOOKUP(Q1,'Eksploitasi Batubara'!$A$3:$D$21,3)</f>
        <v>365849610</v>
      </c>
      <c r="R15">
        <f>VLOOKUP(R1,'Eksploitasi Batubara'!$A$3:$D$21,3)</f>
        <v>331128438</v>
      </c>
      <c r="S15">
        <f>VLOOKUP(S1,'Eksploitasi Batubara'!$A$3:$D$21,3)</f>
        <v>297741135</v>
      </c>
      <c r="T15">
        <f>VLOOKUP(T1,'Eksploitasi Batubara'!$A$3:$D$21,3)</f>
        <v>356394687</v>
      </c>
    </row>
    <row r="16" spans="1:22" x14ac:dyDescent="0.25">
      <c r="A16" t="s">
        <v>193</v>
      </c>
      <c r="B16">
        <f>VLOOKUP(B1,'Eksploitasi Batubara'!$A$3:$D$21,4)</f>
        <v>140116</v>
      </c>
      <c r="C16">
        <f>VLOOKUP(C1,'Eksploitasi Batubara'!$A$3:$D$21,4)</f>
        <v>30466</v>
      </c>
      <c r="D16">
        <f>VLOOKUP(D1,'Eksploitasi Batubara'!$A$3:$D$21,4)</f>
        <v>20026</v>
      </c>
      <c r="E16">
        <f>VLOOKUP(E1,'Eksploitasi Batubara'!$A$3:$D$21,4)</f>
        <v>38228</v>
      </c>
      <c r="F16">
        <f>VLOOKUP(F1,'Eksploitasi Batubara'!$A$3:$D$21,4)</f>
        <v>97183</v>
      </c>
      <c r="G16">
        <f>VLOOKUP(G1,'Eksploitasi Batubara'!$A$3:$D$21,4)</f>
        <v>98179</v>
      </c>
      <c r="H16">
        <f>VLOOKUP(H1,'Eksploitasi Batubara'!$A$3:$D$21,4)</f>
        <v>110683</v>
      </c>
      <c r="I16">
        <f>VLOOKUP(I1,'Eksploitasi Batubara'!$A$3:$D$21,4)</f>
        <v>67534</v>
      </c>
      <c r="J16">
        <f>VLOOKUP(J1,'Eksploitasi Batubara'!$A$3:$D$21,4)</f>
        <v>106931</v>
      </c>
      <c r="K16">
        <f>VLOOKUP(K1,'Eksploitasi Batubara'!$A$3:$D$21,4)</f>
        <v>68804</v>
      </c>
      <c r="L16">
        <f>VLOOKUP(L1,'Eksploitasi Batubara'!$A$3:$D$21,4)</f>
        <v>55230</v>
      </c>
      <c r="M16">
        <f>VLOOKUP(M1,'Eksploitasi Batubara'!$A$3:$D$21,4)</f>
        <v>42449</v>
      </c>
      <c r="N16">
        <f>VLOOKUP(N1,'Eksploitasi Batubara'!$A$3:$D$21,4)</f>
        <v>77786</v>
      </c>
      <c r="O16">
        <f>VLOOKUP(O1,'Eksploitasi Batubara'!$A$3:$D$21,4)</f>
        <v>609875</v>
      </c>
      <c r="P16">
        <f>VLOOKUP(P1,'Eksploitasi Batubara'!$A$3:$D$21,4)</f>
        <v>2442319</v>
      </c>
      <c r="Q16">
        <f>VLOOKUP(Q1,'Eksploitasi Batubara'!$A$3:$D$21,4)</f>
        <v>3007934</v>
      </c>
      <c r="R16">
        <f>VLOOKUP(R1,'Eksploitasi Batubara'!$A$3:$D$21,4)</f>
        <v>3898932</v>
      </c>
      <c r="S16">
        <f>VLOOKUP(S1,'Eksploitasi Batubara'!$A$3:$D$21,4)</f>
        <v>4532308</v>
      </c>
      <c r="T16">
        <f>VLOOKUP(T1,'Eksploitasi Batubara'!$A$3:$D$21,4)</f>
        <v>5468706</v>
      </c>
    </row>
    <row r="17" spans="1:20" x14ac:dyDescent="0.25">
      <c r="A17" t="s">
        <v>204</v>
      </c>
      <c r="B17">
        <f>VLOOKUP(B1,'Eksploitasi Minyak Bumi'!$A$3:$J$23,8)</f>
        <v>517489000</v>
      </c>
      <c r="C17">
        <f>VLOOKUP(C1,'Eksploitasi Minyak Bumi'!$A$3:$J$23,8)</f>
        <v>489306000</v>
      </c>
      <c r="D17">
        <f>VLOOKUP(D1,'Eksploitasi Minyak Bumi'!$A$3:$J$23,8)</f>
        <v>456026000</v>
      </c>
      <c r="E17">
        <f>VLOOKUP(E1,'Eksploitasi Minyak Bumi'!$A$3:$J$23,8)</f>
        <v>419255000</v>
      </c>
      <c r="F17">
        <f>VLOOKUP(F1,'Eksploitasi Minyak Bumi'!$A$3:$J$23,8)</f>
        <v>400554000</v>
      </c>
      <c r="G17">
        <f>VLOOKUP(G1,'Eksploitasi Minyak Bumi'!$A$3:$J$23,8)</f>
        <v>386483000</v>
      </c>
      <c r="H17">
        <f>VLOOKUP(H1,'Eksploitasi Minyak Bumi'!$A$3:$J$23,8)</f>
        <v>367049000</v>
      </c>
      <c r="I17">
        <f>VLOOKUP(I1,'Eksploitasi Minyak Bumi'!$A$3:$J$23,8)</f>
        <v>348348000</v>
      </c>
      <c r="J17">
        <f>VLOOKUP(J1,'Eksploitasi Minyak Bumi'!$A$3:$J$23,8)</f>
        <v>357501000</v>
      </c>
      <c r="K17">
        <f>VLOOKUP(K1,'Eksploitasi Minyak Bumi'!$A$3:$J$23,8)</f>
        <v>346313000</v>
      </c>
      <c r="L17">
        <f>VLOOKUP(L1,'Eksploitasi Minyak Bumi'!$A$3:$J$23,8)</f>
        <v>344888000</v>
      </c>
      <c r="M17">
        <f>VLOOKUP(M1,'Eksploitasi Minyak Bumi'!$A$3:$J$23,8)</f>
        <v>329265000</v>
      </c>
      <c r="N17">
        <f>VLOOKUP(N1,'Eksploitasi Minyak Bumi'!$A$3:$J$23,8)</f>
        <v>314666000</v>
      </c>
      <c r="O17">
        <f>VLOOKUP(O1,'Eksploitasi Minyak Bumi'!$A$3:$J$23,8)</f>
        <v>300830000</v>
      </c>
      <c r="P17">
        <f>VLOOKUP(P1,'Eksploitasi Minyak Bumi'!$A$3:$J$23,8)</f>
        <v>287902000</v>
      </c>
      <c r="Q17">
        <f>VLOOKUP(Q1,'Eksploitasi Minyak Bumi'!$A$3:$J$23,8)</f>
        <v>286814000</v>
      </c>
      <c r="R17">
        <f>VLOOKUP(R1,'Eksploitasi Minyak Bumi'!$A$3:$J$23,8)</f>
        <v>304167000</v>
      </c>
      <c r="S17">
        <f>VLOOKUP(S1,'Eksploitasi Minyak Bumi'!$A$3:$J$23,8)</f>
        <v>292374000</v>
      </c>
      <c r="T17">
        <f>VLOOKUP(T1,'Eksploitasi Minyak Bumi'!$A$3:$J$23,8)</f>
        <v>281826000</v>
      </c>
    </row>
    <row r="18" spans="1:20" x14ac:dyDescent="0.25">
      <c r="A18" t="s">
        <v>202</v>
      </c>
      <c r="B18">
        <f>VLOOKUP(B1,'Eksploitasi Minyak Bumi'!$A$3:$J$23,9)</f>
        <v>223500000</v>
      </c>
      <c r="C18">
        <f>VLOOKUP(C1,'Eksploitasi Minyak Bumi'!$A$3:$J$23,9)</f>
        <v>241612000</v>
      </c>
      <c r="D18">
        <f>VLOOKUP(D1,'Eksploitasi Minyak Bumi'!$A$3:$J$23,9)</f>
        <v>218115000</v>
      </c>
      <c r="E18">
        <f>VLOOKUP(E1,'Eksploitasi Minyak Bumi'!$A$3:$J$23,9)</f>
        <v>189095000</v>
      </c>
      <c r="F18">
        <f>VLOOKUP(F1,'Eksploitasi Minyak Bumi'!$A$3:$J$23,9)</f>
        <v>178869000</v>
      </c>
      <c r="G18">
        <f>VLOOKUP(G1,'Eksploitasi Minyak Bumi'!$A$3:$J$23,9)</f>
        <v>159703000</v>
      </c>
      <c r="H18">
        <f>VLOOKUP(H1,'Eksploitasi Minyak Bumi'!$A$3:$J$23,9)</f>
        <v>134960000</v>
      </c>
      <c r="I18">
        <f>VLOOKUP(I1,'Eksploitasi Minyak Bumi'!$A$3:$J$23,9)</f>
        <v>135267000</v>
      </c>
      <c r="J18">
        <f>VLOOKUP(J1,'Eksploitasi Minyak Bumi'!$A$3:$J$23,9)</f>
        <v>134872000</v>
      </c>
      <c r="K18">
        <f>VLOOKUP(K1,'Eksploitasi Minyak Bumi'!$A$3:$J$23,9)</f>
        <v>132223000</v>
      </c>
      <c r="L18">
        <f>VLOOKUP(L1,'Eksploitasi Minyak Bumi'!$A$3:$J$23,9)</f>
        <v>134473000</v>
      </c>
      <c r="M18">
        <f>VLOOKUP(M1,'Eksploitasi Minyak Bumi'!$A$3:$J$23,9)</f>
        <v>135572000</v>
      </c>
      <c r="N18">
        <f>VLOOKUP(N1,'Eksploitasi Minyak Bumi'!$A$3:$J$23,9)</f>
        <v>106485000</v>
      </c>
      <c r="O18">
        <f>VLOOKUP(O1,'Eksploitasi Minyak Bumi'!$A$3:$J$23,9)</f>
        <v>104791000</v>
      </c>
      <c r="P18">
        <f>VLOOKUP(P1,'Eksploitasi Minyak Bumi'!$A$3:$J$23,9)</f>
        <v>93080000</v>
      </c>
      <c r="Q18">
        <f>VLOOKUP(Q1,'Eksploitasi Minyak Bumi'!$A$3:$J$23,9)</f>
        <v>115017000</v>
      </c>
      <c r="R18">
        <f>VLOOKUP(R1,'Eksploitasi Minyak Bumi'!$A$3:$J$23,9)</f>
        <v>125516000</v>
      </c>
      <c r="S18">
        <f>VLOOKUP(S1,'Eksploitasi Minyak Bumi'!$A$3:$J$23,9)</f>
        <v>102678000</v>
      </c>
      <c r="T18">
        <f>VLOOKUP(T1,'Eksploitasi Minyak Bumi'!$A$3:$J$23,9)</f>
        <v>74449000</v>
      </c>
    </row>
    <row r="19" spans="1:20" x14ac:dyDescent="0.25">
      <c r="A19" t="s">
        <v>203</v>
      </c>
      <c r="B19">
        <f>VLOOKUP(B1,'Eksploitasi Minyak Bumi'!$A$3:$J$23,10)</f>
        <v>78615000</v>
      </c>
      <c r="C19">
        <f>VLOOKUP(C1,'Eksploitasi Minyak Bumi'!$A$3:$J$23,10)</f>
        <v>117168000</v>
      </c>
      <c r="D19">
        <f>VLOOKUP(D1,'Eksploitasi Minyak Bumi'!$A$3:$J$23,10)</f>
        <v>124148000</v>
      </c>
      <c r="E19">
        <f>VLOOKUP(E1,'Eksploitasi Minyak Bumi'!$A$3:$J$23,10)</f>
        <v>137127000</v>
      </c>
      <c r="F19">
        <f>VLOOKUP(F1,'Eksploitasi Minyak Bumi'!$A$3:$J$23,10)</f>
        <v>148490000</v>
      </c>
      <c r="G19">
        <f>VLOOKUP(G1,'Eksploitasi Minyak Bumi'!$A$3:$J$23,10)</f>
        <v>164007000</v>
      </c>
      <c r="H19">
        <f>VLOOKUP(H1,'Eksploitasi Minyak Bumi'!$A$3:$J$23,10)</f>
        <v>116232000</v>
      </c>
      <c r="I19">
        <f>VLOOKUP(I1,'Eksploitasi Minyak Bumi'!$A$3:$J$23,10)</f>
        <v>115812000</v>
      </c>
      <c r="J19">
        <f>VLOOKUP(J1,'Eksploitasi Minyak Bumi'!$A$3:$J$23,10)</f>
        <v>97006000</v>
      </c>
      <c r="K19">
        <f>VLOOKUP(K1,'Eksploitasi Minyak Bumi'!$A$3:$J$23,10)</f>
        <v>120119000</v>
      </c>
      <c r="L19">
        <f>VLOOKUP(L1,'Eksploitasi Minyak Bumi'!$A$3:$J$23,10)</f>
        <v>101093000</v>
      </c>
      <c r="M19">
        <f>VLOOKUP(M1,'Eksploitasi Minyak Bumi'!$A$3:$J$23,10)</f>
        <v>96862000</v>
      </c>
      <c r="N19">
        <f>VLOOKUP(N1,'Eksploitasi Minyak Bumi'!$A$3:$J$23,10)</f>
        <v>95968000</v>
      </c>
      <c r="O19">
        <f>VLOOKUP(O1,'Eksploitasi Minyak Bumi'!$A$3:$J$23,10)</f>
        <v>118334000</v>
      </c>
      <c r="P19">
        <f>VLOOKUP(P1,'Eksploitasi Minyak Bumi'!$A$3:$J$23,10)</f>
        <v>121993000</v>
      </c>
      <c r="Q19">
        <f>VLOOKUP(Q1,'Eksploitasi Minyak Bumi'!$A$3:$J$23,10)</f>
        <v>136666000</v>
      </c>
      <c r="R19">
        <f>VLOOKUP(R1,'Eksploitasi Minyak Bumi'!$A$3:$J$23,10)</f>
        <v>148361000</v>
      </c>
      <c r="S19">
        <f>VLOOKUP(S1,'Eksploitasi Minyak Bumi'!$A$3:$J$23,10)</f>
        <v>141616000</v>
      </c>
      <c r="T19">
        <f>VLOOKUP(T1,'Eksploitasi Minyak Bumi'!$A$3:$J$23,10)</f>
        <v>113055000</v>
      </c>
    </row>
    <row r="20" spans="1:20" x14ac:dyDescent="0.25">
      <c r="A20" t="s">
        <v>205</v>
      </c>
      <c r="B20">
        <f>VLOOKUP(B1,'Eksploitasi Gas Bumi'!$J$3:$P$23,7)</f>
        <v>2901302000000</v>
      </c>
      <c r="C20">
        <f>VLOOKUP(C1,'Eksploitasi Gas Bumi'!$J$3:$P$23,7)</f>
        <v>2806084000000</v>
      </c>
      <c r="D20">
        <f>VLOOKUP(D1,'Eksploitasi Gas Bumi'!$J$3:$P$23,7)</f>
        <v>3036355000000</v>
      </c>
      <c r="E20">
        <f>VLOOKUP(E1,'Eksploitasi Gas Bumi'!$J$3:$P$23,7)</f>
        <v>3155243000000</v>
      </c>
      <c r="F20">
        <f>VLOOKUP(F1,'Eksploitasi Gas Bumi'!$J$3:$P$23,7)</f>
        <v>3003945000000</v>
      </c>
      <c r="G20">
        <f>VLOOKUP(G1,'Eksploitasi Gas Bumi'!$J$3:$P$23,7)</f>
        <v>2985341000000</v>
      </c>
      <c r="H20">
        <f>VLOOKUP(H1,'Eksploitasi Gas Bumi'!$J$3:$P$23,7)</f>
        <v>2953997000000</v>
      </c>
      <c r="I20">
        <f>VLOOKUP(I1,'Eksploitasi Gas Bumi'!$J$3:$P$23,7)</f>
        <v>2805540000000</v>
      </c>
      <c r="J20">
        <f>VLOOKUP(J1,'Eksploitasi Gas Bumi'!$J$3:$P$23,7)</f>
        <v>2885328000000</v>
      </c>
      <c r="K20">
        <f>VLOOKUP(K1,'Eksploitasi Gas Bumi'!$J$3:$P$23,7)</f>
        <v>3060897000000</v>
      </c>
      <c r="L20">
        <f>VLOOKUP(L1,'Eksploitasi Gas Bumi'!$J$3:$P$23,7)</f>
        <v>3407592000000</v>
      </c>
      <c r="M20">
        <f>VLOOKUP(M1,'Eksploitasi Gas Bumi'!$J$3:$P$23,7)</f>
        <v>3256379000000</v>
      </c>
      <c r="N20">
        <f>VLOOKUP(N1,'Eksploitasi Gas Bumi'!$J$3:$P$23,7)</f>
        <v>3174639000000</v>
      </c>
      <c r="O20">
        <f>VLOOKUP(O1,'Eksploitasi Gas Bumi'!$J$3:$P$23,7)</f>
        <v>3120838000000</v>
      </c>
      <c r="P20">
        <f>VLOOKUP(P1,'Eksploitasi Gas Bumi'!$J$3:$P$23,7)</f>
        <v>3175791000000</v>
      </c>
      <c r="Q20">
        <f>VLOOKUP(Q1,'Eksploitasi Gas Bumi'!$J$3:$P$23,7)</f>
        <v>3116142000000</v>
      </c>
      <c r="R20">
        <f>VLOOKUP(R1,'Eksploitasi Gas Bumi'!$J$3:$P$23,7)</f>
        <v>3070239000000</v>
      </c>
      <c r="S20">
        <f>VLOOKUP(S1,'Eksploitasi Gas Bumi'!$J$3:$P$23,7)</f>
        <v>2963184000000</v>
      </c>
      <c r="T20">
        <f>VLOOKUP(T1,'Eksploitasi Gas Bumi'!$J$3:$P$23,7)</f>
        <v>2996802000000</v>
      </c>
    </row>
    <row r="21" spans="1:20" x14ac:dyDescent="0.25">
      <c r="A21" t="s">
        <v>202</v>
      </c>
    </row>
    <row r="22" spans="1:20" x14ac:dyDescent="0.25">
      <c r="A22" t="s">
        <v>203</v>
      </c>
    </row>
    <row r="23" spans="1:20" x14ac:dyDescent="0.25">
      <c r="A23" t="s">
        <v>213</v>
      </c>
      <c r="B23">
        <f>VLOOKUP(B1,'Eksploitasi Gas Bumi'!$A$3:$G$23,7)</f>
        <v>170310000000000</v>
      </c>
      <c r="C23">
        <f>VLOOKUP(C1,'Eksploitasi Gas Bumi'!$A$3:$G$23,7)</f>
        <v>168150000000000</v>
      </c>
      <c r="D23">
        <f>VLOOKUP(D1,'Eksploitasi Gas Bumi'!$A$3:$G$23,7)</f>
        <v>176590000000000</v>
      </c>
      <c r="E23">
        <f>VLOOKUP(E1,'Eksploitasi Gas Bumi'!$A$3:$G$23,7)</f>
        <v>178130000000000</v>
      </c>
      <c r="F23">
        <f>VLOOKUP(F1,'Eksploitasi Gas Bumi'!$A$3:$G$23,7)</f>
        <v>188340000000000</v>
      </c>
      <c r="G23">
        <f>VLOOKUP(G1,'Eksploitasi Gas Bumi'!$A$3:$G$23,7)</f>
        <v>185800000000000</v>
      </c>
      <c r="H23">
        <f>VLOOKUP(H1,'Eksploitasi Gas Bumi'!$A$3:$G$23,7)</f>
        <v>187100000000000</v>
      </c>
      <c r="I23">
        <f>VLOOKUP(I1,'Eksploitasi Gas Bumi'!$A$3:$G$23,7)</f>
        <v>165000000000000</v>
      </c>
      <c r="J23">
        <f>VLOOKUP(J1,'Eksploitasi Gas Bumi'!$A$3:$G$23,7)</f>
        <v>170100000000000</v>
      </c>
      <c r="K23">
        <f>VLOOKUP(K1,'Eksploitasi Gas Bumi'!$A$3:$G$23,7)</f>
        <v>159630000000000</v>
      </c>
      <c r="L23">
        <f>VLOOKUP(L1,'Eksploitasi Gas Bumi'!$A$3:$G$23,7)</f>
        <v>157140000000000</v>
      </c>
      <c r="M23">
        <f>VLOOKUP(M1,'Eksploitasi Gas Bumi'!$A$3:$G$23,7)</f>
        <v>152890000000000</v>
      </c>
      <c r="N23">
        <f>VLOOKUP(N1,'Eksploitasi Gas Bumi'!$A$3:$G$23,7)</f>
        <v>150700000000000</v>
      </c>
      <c r="O23">
        <f>VLOOKUP(O1,'Eksploitasi Gas Bumi'!$A$3:$G$23,7)</f>
        <v>150390000000000</v>
      </c>
      <c r="P23">
        <f>VLOOKUP(P1,'Eksploitasi Gas Bumi'!$A$3:$G$23,7)</f>
        <v>149300000000000</v>
      </c>
      <c r="Q23">
        <f>VLOOKUP(Q1,'Eksploitasi Gas Bumi'!$A$3:$G$23,7)</f>
        <v>151330000000000</v>
      </c>
      <c r="R23">
        <f>VLOOKUP(R1,'Eksploitasi Gas Bumi'!$A$3:$G$23,7)</f>
        <v>144060000000000</v>
      </c>
      <c r="S23">
        <f>VLOOKUP(S1,'Eksploitasi Gas Bumi'!$A$3:$G$23,7)</f>
        <v>142720000000000</v>
      </c>
      <c r="T23">
        <f>VLOOKUP(T1,'Eksploitasi Gas Bumi'!$A$3:$G$23,7)</f>
        <v>135550000000000.02</v>
      </c>
    </row>
    <row r="24" spans="1:20" x14ac:dyDescent="0.25">
      <c r="A24" t="s">
        <v>214</v>
      </c>
      <c r="B24">
        <f>B4-B25</f>
        <v>699167610</v>
      </c>
      <c r="C24">
        <f t="shared" ref="C24:T24" si="0">C4-C25</f>
        <v>739906219</v>
      </c>
      <c r="D24">
        <f t="shared" si="0"/>
        <v>767002892</v>
      </c>
      <c r="E24">
        <f t="shared" si="0"/>
        <v>822012046</v>
      </c>
      <c r="F24">
        <f t="shared" si="0"/>
        <v>830369636</v>
      </c>
      <c r="G24">
        <f t="shared" si="0"/>
        <v>852716650</v>
      </c>
      <c r="H24">
        <f t="shared" si="0"/>
        <v>861367174</v>
      </c>
      <c r="I24">
        <f t="shared" si="0"/>
        <v>907610397</v>
      </c>
      <c r="J24">
        <f t="shared" si="0"/>
        <v>938857172</v>
      </c>
      <c r="K24">
        <f t="shared" si="0"/>
        <v>964983618</v>
      </c>
      <c r="L24">
        <f t="shared" si="0"/>
        <v>1093535109</v>
      </c>
      <c r="M24">
        <f t="shared" si="0"/>
        <v>1150989297</v>
      </c>
      <c r="N24">
        <f t="shared" si="0"/>
        <v>1174631215</v>
      </c>
      <c r="O24">
        <f t="shared" si="0"/>
        <v>1188072123</v>
      </c>
      <c r="P24">
        <f t="shared" si="0"/>
        <v>1312541520</v>
      </c>
      <c r="Q24">
        <f t="shared" si="0"/>
        <v>1244735072.7176569</v>
      </c>
      <c r="R24">
        <f t="shared" si="0"/>
        <v>1212672836.976872</v>
      </c>
      <c r="S24">
        <f t="shared" si="0"/>
        <v>1505469935.6630902</v>
      </c>
      <c r="T24">
        <f t="shared" si="0"/>
        <v>1637863420.0291038</v>
      </c>
    </row>
    <row r="25" spans="1:20" x14ac:dyDescent="0.25">
      <c r="A25" t="s">
        <v>215</v>
      </c>
      <c r="B25">
        <f>VLOOKUP(B1,Household!$B$19:$K$37,10)</f>
        <v>296574000</v>
      </c>
      <c r="C25">
        <f>VLOOKUP(C1,Household!$B$19:$K$37,10)</f>
        <v>301346000</v>
      </c>
      <c r="D25">
        <f>VLOOKUP(D1,Household!$B$19:$K$37,10)</f>
        <v>303033000</v>
      </c>
      <c r="E25">
        <f>VLOOKUP(E1,Household!$B$19:$K$37,10)</f>
        <v>309046000</v>
      </c>
      <c r="F25">
        <f>VLOOKUP(F1,Household!$B$19:$K$37,10)</f>
        <v>314114000</v>
      </c>
      <c r="G25">
        <f>VLOOKUP(G1,Household!$B$19:$K$37,10)</f>
        <v>313771000</v>
      </c>
      <c r="H25">
        <f>VLOOKUP(H1,Household!$B$19:$K$37,10)</f>
        <v>312716000</v>
      </c>
      <c r="I25">
        <f>VLOOKUP(I1,Household!$B$19:$K$37,10)</f>
        <v>319332000</v>
      </c>
      <c r="J25">
        <f>VLOOKUP(J1,Household!$B$19:$K$37,10)</f>
        <v>316802000</v>
      </c>
      <c r="K25">
        <f>VLOOKUP(K1,Household!$B$19:$K$37,10)</f>
        <v>314095000</v>
      </c>
      <c r="L25">
        <f>VLOOKUP(L1,Household!$B$19:$K$37,10)</f>
        <v>310548000</v>
      </c>
      <c r="M25">
        <f>VLOOKUP(M1,Household!$B$19:$K$37,10)</f>
        <v>323355000</v>
      </c>
      <c r="N25">
        <f>VLOOKUP(N1,Household!$B$19:$K$37,10)</f>
        <v>349083000</v>
      </c>
      <c r="O25">
        <f>VLOOKUP(O1,Household!$B$19:$K$37,10)</f>
        <v>360015000</v>
      </c>
      <c r="P25">
        <f>VLOOKUP(P1,Household!$B$19:$K$37,10)</f>
        <v>369893000</v>
      </c>
      <c r="Q25">
        <f>VLOOKUP(Q1,Household!$B$19:$K$37,10)</f>
        <v>373786000</v>
      </c>
      <c r="R25">
        <f>VLOOKUP(R1,Household!$B$19:$K$37,10)</f>
        <v>378047000</v>
      </c>
      <c r="S25">
        <f>VLOOKUP(S1,Household!$B$19:$K$37,10)</f>
        <v>149026000</v>
      </c>
      <c r="T25">
        <f>VLOOKUP(T1,Household!$B$19:$K$37,10)</f>
        <v>151215000</v>
      </c>
    </row>
    <row r="26" spans="1:20" x14ac:dyDescent="0.25">
      <c r="A26" t="s">
        <v>217</v>
      </c>
      <c r="B26">
        <f>B24/B2</f>
        <v>503.08156047990394</v>
      </c>
      <c r="C26">
        <f t="shared" ref="C26:T26" si="1">C24/C2</f>
        <v>439.30106594477581</v>
      </c>
      <c r="D26">
        <f t="shared" si="1"/>
        <v>411.6424121467436</v>
      </c>
      <c r="E26">
        <f t="shared" si="1"/>
        <v>408.21493502475522</v>
      </c>
      <c r="F26">
        <f t="shared" si="1"/>
        <v>361.68662767242569</v>
      </c>
      <c r="G26">
        <f t="shared" si="1"/>
        <v>307.36490617335062</v>
      </c>
      <c r="H26">
        <f t="shared" si="1"/>
        <v>257.93455183855593</v>
      </c>
      <c r="I26">
        <f t="shared" si="1"/>
        <v>229.72283761049272</v>
      </c>
      <c r="J26">
        <f t="shared" si="1"/>
        <v>189.61614540919663</v>
      </c>
      <c r="K26">
        <f t="shared" si="1"/>
        <v>172.1278286121406</v>
      </c>
      <c r="L26">
        <f t="shared" si="1"/>
        <v>159.31146861519147</v>
      </c>
      <c r="M26">
        <f t="shared" si="1"/>
        <v>146.96495983133221</v>
      </c>
      <c r="N26">
        <f t="shared" si="1"/>
        <v>136.33606899679933</v>
      </c>
      <c r="O26">
        <f t="shared" si="1"/>
        <v>124.45583971479972</v>
      </c>
      <c r="P26">
        <f t="shared" si="1"/>
        <v>124.17957927870268</v>
      </c>
      <c r="Q26">
        <f t="shared" si="1"/>
        <v>107.99055282522697</v>
      </c>
      <c r="R26">
        <f t="shared" si="1"/>
        <v>97.742800584331746</v>
      </c>
      <c r="S26">
        <f t="shared" si="1"/>
        <v>110.8004957060061</v>
      </c>
      <c r="T26">
        <f t="shared" si="1"/>
        <v>110.38781502858654</v>
      </c>
    </row>
    <row r="27" spans="1:20" x14ac:dyDescent="0.25">
      <c r="A27" t="s">
        <v>218</v>
      </c>
      <c r="B27">
        <f>VLOOKUP(B1,Household!$B$19:$L$37,11)</f>
        <v>1.4407776800765633</v>
      </c>
      <c r="C27">
        <f>VLOOKUP(C1,Household!$B$19:$L$37,11)</f>
        <v>1.4442862825729581</v>
      </c>
      <c r="D27">
        <f>VLOOKUP(D1,Household!$B$19:$L$37,11)</f>
        <v>1.4293807163106182</v>
      </c>
      <c r="E27">
        <f>VLOOKUP(E1,Household!$B$19:$L$37,11)</f>
        <v>1.435580371244356</v>
      </c>
      <c r="F27">
        <f>VLOOKUP(F1,Household!$B$19:$L$37,11)</f>
        <v>1.4418555546375096</v>
      </c>
      <c r="G27">
        <f>VLOOKUP(G1,Household!$B$19:$L$37,11)</f>
        <v>1.4336018348875355</v>
      </c>
      <c r="H27">
        <f>VLOOKUP(H1,Household!$B$19:$L$37,11)</f>
        <v>1.4074134082235183</v>
      </c>
      <c r="I27">
        <f>VLOOKUP(I1,Household!$B$19:$L$37,11)</f>
        <v>1.4152152524795916</v>
      </c>
      <c r="J27">
        <f>VLOOKUP(J1,Household!$B$19:$L$37,11)</f>
        <v>1.3863024728364322</v>
      </c>
      <c r="K27">
        <f>VLOOKUP(K1,Household!$B$19:$L$37,11)</f>
        <v>1.3379579735641536</v>
      </c>
      <c r="L27">
        <f>VLOOKUP(L1,Household!$B$19:$L$37,11)</f>
        <v>1.3067947029342579</v>
      </c>
      <c r="M27">
        <f>VLOOKUP(M1,Household!$B$19:$L$37,11)</f>
        <v>1.3556781640037061</v>
      </c>
      <c r="N27">
        <f>VLOOKUP(N1,Household!$B$19:$L$37,11)</f>
        <v>1.4223612101456657</v>
      </c>
      <c r="O27">
        <f>VLOOKUP(O1,Household!$B$19:$L$37,11)</f>
        <v>1.446900947680634</v>
      </c>
      <c r="P27">
        <f>VLOOKUP(P1,Household!$B$19:$L$37,11)</f>
        <v>1.4668689151944163</v>
      </c>
      <c r="Q27">
        <f>VLOOKUP(Q1,Household!$B$19:$L$37,11)</f>
        <v>1.46317651940406</v>
      </c>
      <c r="R27">
        <f>VLOOKUP(R1,Household!$B$19:$L$37,11)</f>
        <v>1.4613053477899538</v>
      </c>
      <c r="S27">
        <f>VLOOKUP(S1,Household!$B$19:$L$37,11)</f>
        <v>0.56903826401059987</v>
      </c>
      <c r="T27">
        <f>VLOOKUP(T1,Household!$B$19:$L$37,11)</f>
        <v>0.57059034394279573</v>
      </c>
    </row>
    <row r="28" spans="1:20" x14ac:dyDescent="0.25">
      <c r="A28" t="s">
        <v>224</v>
      </c>
      <c r="B28">
        <f>VLOOKUP(B1,'Energi Primer Nasional'!$F$24:$G$43,2)</f>
        <v>351082699380756</v>
      </c>
      <c r="C28">
        <f>VLOOKUP(C1,'Energi Primer Nasional'!$F$24:$G$43,2)</f>
        <v>366934170728286</v>
      </c>
      <c r="D28">
        <f>VLOOKUP(D1,'Energi Primer Nasional'!$F$24:$G$43,2)</f>
        <v>402625442497572</v>
      </c>
      <c r="E28">
        <f>VLOOKUP(E1,'Energi Primer Nasional'!$F$24:$G$43,2)</f>
        <v>435291693460092</v>
      </c>
      <c r="F28">
        <f>VLOOKUP(F1,'Energi Primer Nasional'!$F$24:$G$43,2)</f>
        <v>399920541457248</v>
      </c>
      <c r="G28">
        <f>VLOOKUP(G1,'Energi Primer Nasional'!$F$24:$G$43,2)</f>
        <v>407672724066048</v>
      </c>
      <c r="H28">
        <f>VLOOKUP(H1,'Energi Primer Nasional'!$F$24:$G$43,2)</f>
        <v>419208477569028</v>
      </c>
      <c r="I28">
        <f>VLOOKUP(I1,'Energi Primer Nasional'!$F$24:$G$43,2)</f>
        <v>391540311795528</v>
      </c>
      <c r="J28">
        <f>VLOOKUP(J1,'Energi Primer Nasional'!$F$24:$G$43,2)</f>
        <v>503328017482668</v>
      </c>
      <c r="K28">
        <f>VLOOKUP(K1,'Energi Primer Nasional'!$F$24:$G$43,2)</f>
        <v>535281961504500</v>
      </c>
      <c r="L28">
        <f>VLOOKUP(L1,'Energi Primer Nasional'!$F$24:$G$43,2)</f>
        <v>575597181191130</v>
      </c>
      <c r="M28">
        <f>VLOOKUP(M1,'Energi Primer Nasional'!$F$24:$G$43,2)</f>
        <v>558040152906936</v>
      </c>
      <c r="N28">
        <f>VLOOKUP(N1,'Energi Primer Nasional'!$F$24:$G$43,2)</f>
        <v>553238392659372</v>
      </c>
      <c r="O28">
        <f>VLOOKUP(O1,'Energi Primer Nasional'!$F$24:$G$43,2)</f>
        <v>495545963511186</v>
      </c>
      <c r="P28">
        <f>VLOOKUP(P1,'Energi Primer Nasional'!$F$24:$G$43,2)</f>
        <v>578653160832558</v>
      </c>
      <c r="Q28">
        <f>VLOOKUP(Q1,'Energi Primer Nasional'!$F$24:$G$43,2)</f>
        <v>587374833240720</v>
      </c>
      <c r="R28">
        <f>VLOOKUP(R1,'Energi Primer Nasional'!$F$24:$G$43,2)</f>
        <v>591008518511586</v>
      </c>
      <c r="S28">
        <f>VLOOKUP(S1,'Energi Primer Nasional'!$F$24:$G$43,2)</f>
        <v>586685220347646</v>
      </c>
      <c r="T28">
        <f>VLOOKUP(T1,'Energi Primer Nasional'!$F$24:$G$43,2)</f>
        <v>614764574202870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F28" sqref="F28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76" t="s">
        <v>27</v>
      </c>
      <c r="C2" s="76"/>
      <c r="D2" s="76"/>
      <c r="E2" s="76"/>
      <c r="F2" s="76"/>
      <c r="G2" s="76"/>
      <c r="H2" s="76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76" t="s">
        <v>96</v>
      </c>
      <c r="C17" s="76"/>
      <c r="D17" s="76"/>
      <c r="E17" s="76"/>
      <c r="F17" s="76"/>
      <c r="G17" s="76"/>
      <c r="H17" s="76"/>
      <c r="I17" s="76"/>
      <c r="L17" t="s">
        <v>154</v>
      </c>
      <c r="N17" s="86" t="s">
        <v>2</v>
      </c>
      <c r="O17" s="86" t="s">
        <v>92</v>
      </c>
      <c r="P17" s="86" t="s">
        <v>93</v>
      </c>
      <c r="Q17" s="86" t="s">
        <v>12</v>
      </c>
      <c r="R17" s="86" t="s">
        <v>94</v>
      </c>
      <c r="S17" s="77" t="s">
        <v>20</v>
      </c>
      <c r="U17" s="86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3" t="s">
        <v>0</v>
      </c>
      <c r="C18" s="63" t="s">
        <v>1</v>
      </c>
      <c r="D18" s="63" t="s">
        <v>4</v>
      </c>
      <c r="E18" s="63" t="s">
        <v>6</v>
      </c>
      <c r="F18" s="63" t="s">
        <v>11</v>
      </c>
      <c r="G18" s="63" t="s">
        <v>24</v>
      </c>
      <c r="H18" s="63" t="s">
        <v>12</v>
      </c>
      <c r="I18" s="63" t="s">
        <v>20</v>
      </c>
      <c r="K18" s="3" t="s">
        <v>216</v>
      </c>
      <c r="N18" s="86"/>
      <c r="O18" s="86"/>
      <c r="P18" s="86"/>
      <c r="Q18" s="86"/>
      <c r="R18" s="86"/>
      <c r="S18" s="77"/>
      <c r="U18" s="86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7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8">
        <v>0</v>
      </c>
      <c r="H29" s="4">
        <v>36673</v>
      </c>
      <c r="I29" s="4">
        <v>310548</v>
      </c>
      <c r="J29" s="4">
        <f t="shared" si="4"/>
        <v>310548</v>
      </c>
      <c r="K29" s="4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8">
        <v>0</v>
      </c>
      <c r="H30" s="4">
        <v>39914</v>
      </c>
      <c r="I30" s="4">
        <v>323356</v>
      </c>
      <c r="J30" s="4">
        <f t="shared" si="4"/>
        <v>323355</v>
      </c>
      <c r="K30" s="4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3">
        <v>2012</v>
      </c>
      <c r="C31" s="4">
        <v>256594</v>
      </c>
      <c r="D31" s="3">
        <v>134</v>
      </c>
      <c r="E31" s="4">
        <v>7015</v>
      </c>
      <c r="F31" s="4">
        <v>41123</v>
      </c>
      <c r="G31" s="18">
        <v>0</v>
      </c>
      <c r="H31" s="4">
        <v>44217</v>
      </c>
      <c r="I31" s="4">
        <v>349084</v>
      </c>
      <c r="J31" s="4">
        <f t="shared" si="4"/>
        <v>349083</v>
      </c>
      <c r="K31" s="4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3">
        <v>2013</v>
      </c>
      <c r="C32" s="4">
        <v>260328</v>
      </c>
      <c r="D32" s="3">
        <v>122</v>
      </c>
      <c r="E32" s="4">
        <v>6396</v>
      </c>
      <c r="F32" s="4">
        <v>45839</v>
      </c>
      <c r="G32" s="18">
        <v>0</v>
      </c>
      <c r="H32" s="4">
        <v>47330</v>
      </c>
      <c r="I32" s="4">
        <v>360016</v>
      </c>
      <c r="J32" s="4">
        <f t="shared" si="4"/>
        <v>360015</v>
      </c>
      <c r="K32" s="4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8">
        <v>0</v>
      </c>
      <c r="H33" s="18">
        <v>51545</v>
      </c>
      <c r="I33" s="4">
        <v>369893</v>
      </c>
      <c r="J33" s="4">
        <f t="shared" si="4"/>
        <v>369893</v>
      </c>
      <c r="K33" s="4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8">
        <v>0</v>
      </c>
      <c r="H34" s="18">
        <v>54362</v>
      </c>
      <c r="I34" s="4">
        <v>373787</v>
      </c>
      <c r="J34" s="4">
        <f t="shared" si="4"/>
        <v>373786</v>
      </c>
      <c r="K34" s="4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8">
        <v>0</v>
      </c>
      <c r="H35" s="18">
        <v>57398</v>
      </c>
      <c r="I35" s="4">
        <v>378046</v>
      </c>
      <c r="J35" s="4">
        <f t="shared" si="4"/>
        <v>378047</v>
      </c>
      <c r="K35" s="4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4">
        <f>SUM(C36:H36)</f>
        <v>149026</v>
      </c>
      <c r="K36" s="4">
        <f t="shared" si="5"/>
        <v>149026000</v>
      </c>
      <c r="L36" s="39">
        <f>J36*1000/Population!L20</f>
        <v>0.56903826401059987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3">
        <v>2018</v>
      </c>
      <c r="C37" s="64">
        <v>23020</v>
      </c>
      <c r="D37" s="36">
        <v>203</v>
      </c>
      <c r="E37" s="64">
        <v>3043</v>
      </c>
      <c r="F37" s="64">
        <v>61819</v>
      </c>
      <c r="G37" s="36">
        <v>167</v>
      </c>
      <c r="H37" s="64">
        <v>62963</v>
      </c>
      <c r="I37" s="64">
        <v>151214</v>
      </c>
      <c r="J37" s="4">
        <f t="shared" si="4"/>
        <v>151215</v>
      </c>
      <c r="K37" s="4">
        <f t="shared" si="5"/>
        <v>151215000</v>
      </c>
      <c r="L37" s="39">
        <f>J37*1000/Population!L21</f>
        <v>0.57059034394279573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76" t="s">
        <v>28</v>
      </c>
      <c r="C39" s="76"/>
      <c r="D39" s="76"/>
      <c r="E39" s="76"/>
      <c r="F39" s="76"/>
      <c r="G39" s="76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74" t="s">
        <v>19</v>
      </c>
      <c r="D2" s="74"/>
      <c r="E2" s="74"/>
      <c r="F2" s="74"/>
      <c r="G2" s="74"/>
      <c r="H2" s="74"/>
      <c r="I2" s="74"/>
      <c r="J2" s="74"/>
      <c r="K2" s="74"/>
      <c r="M2" s="86" t="s">
        <v>2</v>
      </c>
      <c r="N2" s="86" t="s">
        <v>92</v>
      </c>
      <c r="O2" s="86" t="s">
        <v>93</v>
      </c>
      <c r="P2" s="86" t="s">
        <v>12</v>
      </c>
      <c r="Q2" s="86" t="s">
        <v>94</v>
      </c>
      <c r="R2" s="77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86"/>
      <c r="N3" s="86"/>
      <c r="O3" s="86"/>
      <c r="P3" s="86"/>
      <c r="Q3" s="86"/>
      <c r="R3" s="77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77" t="s">
        <v>40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3:19" x14ac:dyDescent="0.25">
      <c r="C3" s="77" t="s">
        <v>0</v>
      </c>
      <c r="D3" s="77" t="s">
        <v>4</v>
      </c>
      <c r="E3" s="77" t="s">
        <v>5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 t="s">
        <v>12</v>
      </c>
    </row>
    <row r="4" spans="3:19" x14ac:dyDescent="0.25">
      <c r="C4" s="77"/>
      <c r="D4" s="77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77"/>
    </row>
    <row r="5" spans="3:19" x14ac:dyDescent="0.25">
      <c r="C5" s="77"/>
      <c r="D5" s="2" t="s">
        <v>14</v>
      </c>
      <c r="E5" s="77" t="s">
        <v>15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76" t="s">
        <v>41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V18" s="86" t="s">
        <v>2</v>
      </c>
      <c r="W18" s="86" t="s">
        <v>92</v>
      </c>
      <c r="X18" s="86" t="s">
        <v>93</v>
      </c>
      <c r="Y18" s="86" t="s">
        <v>12</v>
      </c>
      <c r="Z18" s="86" t="s">
        <v>94</v>
      </c>
      <c r="AA18" s="77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77" t="s">
        <v>0</v>
      </c>
      <c r="D19" s="77" t="s">
        <v>4</v>
      </c>
      <c r="E19" s="77" t="s">
        <v>5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 t="s">
        <v>12</v>
      </c>
      <c r="T19" s="77" t="s">
        <v>20</v>
      </c>
      <c r="V19" s="86"/>
      <c r="W19" s="86"/>
      <c r="X19" s="86"/>
      <c r="Y19" s="86"/>
      <c r="Z19" s="86"/>
      <c r="AA19" s="77"/>
      <c r="AC19" s="20"/>
      <c r="AE19" s="20"/>
      <c r="AG19" s="20"/>
      <c r="AI19" s="20"/>
      <c r="AK19" s="20"/>
      <c r="AL19" s="2"/>
    </row>
    <row r="20" spans="3:38" x14ac:dyDescent="0.25">
      <c r="C20" s="77"/>
      <c r="D20" s="77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77"/>
      <c r="T20" s="77"/>
      <c r="V20" s="77" t="s">
        <v>95</v>
      </c>
      <c r="W20" s="77"/>
      <c r="X20" s="77"/>
      <c r="Y20" s="77"/>
      <c r="Z20" s="77"/>
      <c r="AA20" s="77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76" t="s">
        <v>42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77" t="s">
        <v>0</v>
      </c>
      <c r="D42" s="77" t="s">
        <v>4</v>
      </c>
      <c r="E42" s="77" t="s">
        <v>5</v>
      </c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 t="s">
        <v>12</v>
      </c>
      <c r="T42" s="77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77"/>
      <c r="D43" s="77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77"/>
      <c r="T43" s="77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AA18:AA19"/>
    <mergeCell ref="V20:AA20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86" t="s">
        <v>2</v>
      </c>
      <c r="K1" s="86" t="s">
        <v>92</v>
      </c>
      <c r="L1" s="86" t="s">
        <v>93</v>
      </c>
      <c r="M1" s="86" t="s">
        <v>12</v>
      </c>
      <c r="N1" s="86" t="s">
        <v>94</v>
      </c>
      <c r="O1" s="77" t="s">
        <v>20</v>
      </c>
      <c r="Q1" s="86" t="s">
        <v>2</v>
      </c>
      <c r="R1" s="86" t="s">
        <v>92</v>
      </c>
      <c r="S1" s="86" t="s">
        <v>93</v>
      </c>
      <c r="T1" s="86" t="s">
        <v>12</v>
      </c>
      <c r="U1" s="86" t="s">
        <v>94</v>
      </c>
      <c r="V1" s="77" t="s">
        <v>20</v>
      </c>
    </row>
    <row r="2" spans="2:22" x14ac:dyDescent="0.25">
      <c r="B2" s="82" t="s">
        <v>19</v>
      </c>
      <c r="C2" s="82"/>
      <c r="D2" s="82"/>
      <c r="E2" s="82"/>
      <c r="F2" s="82"/>
      <c r="G2" s="82"/>
      <c r="H2" s="82"/>
      <c r="J2" s="86"/>
      <c r="K2" s="86"/>
      <c r="L2" s="86"/>
      <c r="M2" s="86"/>
      <c r="N2" s="86"/>
      <c r="O2" s="77"/>
      <c r="Q2" s="86"/>
      <c r="R2" s="86"/>
      <c r="S2" s="86"/>
      <c r="T2" s="86"/>
      <c r="U2" s="86"/>
      <c r="V2" s="77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77" t="s">
        <v>95</v>
      </c>
      <c r="K3" s="77"/>
      <c r="L3" s="77"/>
      <c r="M3" s="77"/>
      <c r="N3" s="77"/>
      <c r="O3" s="77"/>
      <c r="Q3" s="77" t="s">
        <v>101</v>
      </c>
      <c r="R3" s="77"/>
      <c r="S3" s="77"/>
      <c r="T3" s="77"/>
      <c r="U3" s="77"/>
      <c r="V3" s="77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76" t="s">
        <v>45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3:23" x14ac:dyDescent="0.25">
      <c r="C3" s="77" t="s">
        <v>0</v>
      </c>
      <c r="D3" s="77" t="s">
        <v>32</v>
      </c>
      <c r="E3" s="77" t="s">
        <v>43</v>
      </c>
      <c r="F3" s="77" t="s">
        <v>30</v>
      </c>
      <c r="G3" s="77" t="s">
        <v>6</v>
      </c>
      <c r="H3" s="77" t="s">
        <v>7</v>
      </c>
      <c r="I3" s="77" t="s">
        <v>8</v>
      </c>
      <c r="J3" s="77" t="s">
        <v>9</v>
      </c>
      <c r="K3" s="77" t="s">
        <v>34</v>
      </c>
      <c r="L3" s="77" t="s">
        <v>33</v>
      </c>
      <c r="M3" s="77" t="s">
        <v>44</v>
      </c>
      <c r="N3" s="77" t="s">
        <v>29</v>
      </c>
      <c r="O3" s="77" t="s">
        <v>46</v>
      </c>
      <c r="P3" s="77"/>
      <c r="Q3" s="77"/>
      <c r="R3" s="77"/>
      <c r="S3" s="77" t="s">
        <v>50</v>
      </c>
      <c r="T3" s="77" t="s">
        <v>51</v>
      </c>
      <c r="U3" s="77" t="s">
        <v>11</v>
      </c>
      <c r="V3" s="77" t="s">
        <v>52</v>
      </c>
      <c r="W3" s="86" t="s">
        <v>53</v>
      </c>
    </row>
    <row r="4" spans="3:23" x14ac:dyDescent="0.25"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2" t="s">
        <v>47</v>
      </c>
      <c r="P4" s="2" t="s">
        <v>48</v>
      </c>
      <c r="Q4" s="2" t="s">
        <v>49</v>
      </c>
      <c r="R4" s="2" t="s">
        <v>20</v>
      </c>
      <c r="S4" s="77"/>
      <c r="T4" s="77"/>
      <c r="U4" s="77"/>
      <c r="V4" s="77"/>
      <c r="W4" s="86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76" t="s">
        <v>56</v>
      </c>
      <c r="D2" s="76"/>
      <c r="E2" s="76"/>
      <c r="F2" s="78"/>
      <c r="G2" s="76" t="s">
        <v>60</v>
      </c>
      <c r="H2" s="76"/>
      <c r="I2" s="76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78" t="s">
        <v>59</v>
      </c>
      <c r="D16" s="79"/>
      <c r="E16" s="79"/>
      <c r="F16" s="80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77" t="s">
        <v>0</v>
      </c>
      <c r="B2" s="77" t="s">
        <v>69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S2" s="87" t="s">
        <v>69</v>
      </c>
      <c r="T2" s="88"/>
      <c r="U2" s="88"/>
      <c r="V2" s="89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77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77"/>
      <c r="B4" s="77" t="s">
        <v>75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S4" s="77" t="s">
        <v>75</v>
      </c>
      <c r="T4" s="77"/>
      <c r="U4" s="77"/>
      <c r="V4" s="77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77" t="s">
        <v>0</v>
      </c>
      <c r="B25" s="77" t="s">
        <v>81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1:22" x14ac:dyDescent="0.25">
      <c r="A26" s="77"/>
      <c r="B26" s="77" t="s">
        <v>64</v>
      </c>
      <c r="C26" s="77" t="s">
        <v>63</v>
      </c>
      <c r="D26" s="77" t="s">
        <v>66</v>
      </c>
      <c r="E26" s="77" t="s">
        <v>78</v>
      </c>
      <c r="F26" s="77" t="s">
        <v>61</v>
      </c>
      <c r="G26" s="77"/>
      <c r="H26" s="77"/>
      <c r="I26" s="77"/>
      <c r="J26" s="77" t="s">
        <v>79</v>
      </c>
      <c r="K26" s="77" t="s">
        <v>62</v>
      </c>
      <c r="L26" s="77" t="s">
        <v>80</v>
      </c>
      <c r="M26" s="77" t="s">
        <v>77</v>
      </c>
      <c r="N26" s="77" t="s">
        <v>68</v>
      </c>
      <c r="P26" s="77" t="s">
        <v>82</v>
      </c>
      <c r="Q26" s="77" t="s">
        <v>4</v>
      </c>
      <c r="R26" s="77" t="s">
        <v>21</v>
      </c>
      <c r="S26" s="77" t="s">
        <v>83</v>
      </c>
      <c r="T26" s="86" t="s">
        <v>84</v>
      </c>
    </row>
    <row r="27" spans="1:22" x14ac:dyDescent="0.25">
      <c r="A27" s="77"/>
      <c r="B27" s="77"/>
      <c r="C27" s="77"/>
      <c r="D27" s="77"/>
      <c r="E27" s="77"/>
      <c r="F27" s="2" t="s">
        <v>2</v>
      </c>
      <c r="G27" s="2" t="s">
        <v>21</v>
      </c>
      <c r="H27" s="2" t="s">
        <v>4</v>
      </c>
      <c r="I27" s="2" t="s">
        <v>20</v>
      </c>
      <c r="J27" s="77"/>
      <c r="K27" s="77"/>
      <c r="L27" s="77"/>
      <c r="M27" s="77"/>
      <c r="N27" s="77"/>
      <c r="P27" s="77"/>
      <c r="Q27" s="77"/>
      <c r="R27" s="77"/>
      <c r="S27" s="77"/>
      <c r="T27" s="86"/>
    </row>
    <row r="28" spans="1:22" x14ac:dyDescent="0.25">
      <c r="A28" s="77"/>
      <c r="B28" s="77" t="s">
        <v>26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10"/>
      <c r="P28" s="77" t="s">
        <v>26</v>
      </c>
      <c r="Q28" s="77"/>
      <c r="R28" s="77"/>
      <c r="S28" s="77"/>
      <c r="T28" s="77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95" t="s">
        <v>0</v>
      </c>
      <c r="B50" s="77" t="s">
        <v>85</v>
      </c>
      <c r="C50" s="77"/>
      <c r="D50" s="77" t="s">
        <v>87</v>
      </c>
      <c r="E50" s="77"/>
      <c r="F50" s="77"/>
      <c r="G50" s="77"/>
      <c r="H50" s="77"/>
      <c r="I50" s="77"/>
    </row>
    <row r="51" spans="1:9" x14ac:dyDescent="0.25">
      <c r="A51" s="95"/>
      <c r="B51" s="77" t="s">
        <v>26</v>
      </c>
      <c r="C51" s="77" t="s">
        <v>86</v>
      </c>
      <c r="D51" s="2" t="s">
        <v>88</v>
      </c>
      <c r="E51" s="2"/>
      <c r="F51" s="77" t="s">
        <v>89</v>
      </c>
      <c r="G51" s="77"/>
      <c r="H51" s="77" t="s">
        <v>20</v>
      </c>
      <c r="I51" s="77"/>
    </row>
    <row r="52" spans="1:9" x14ac:dyDescent="0.25">
      <c r="A52" s="96"/>
      <c r="B52" s="77"/>
      <c r="C52" s="77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76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76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78" t="s">
        <v>95</v>
      </c>
      <c r="I75" s="79"/>
      <c r="J75" s="79"/>
      <c r="K75" s="79"/>
      <c r="L75" s="80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N26:N27"/>
    <mergeCell ref="S4:V4"/>
    <mergeCell ref="S2:V2"/>
    <mergeCell ref="P26:P27"/>
    <mergeCell ref="Q26:Q27"/>
    <mergeCell ref="R26:R27"/>
    <mergeCell ref="S26:S27"/>
    <mergeCell ref="T26:T27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77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77"/>
      <c r="C2" s="77" t="s">
        <v>19</v>
      </c>
      <c r="D2" s="77"/>
      <c r="E2" s="77"/>
      <c r="F2" s="77"/>
      <c r="G2" s="77"/>
      <c r="H2" s="77"/>
      <c r="I2" s="77"/>
      <c r="J2" s="77"/>
      <c r="K2" s="77"/>
      <c r="M2" s="76" t="s">
        <v>95</v>
      </c>
      <c r="N2" s="76"/>
      <c r="O2" s="76"/>
      <c r="P2" s="76"/>
      <c r="Q2" s="76"/>
      <c r="R2" s="76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2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2" sqref="V2:V20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28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19" sqref="E19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7" t="s">
        <v>221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3" t="s">
        <v>220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9">
        <v>2000</v>
      </c>
      <c r="B2" s="64">
        <v>93831548</v>
      </c>
      <c r="C2" s="64">
        <v>433360999</v>
      </c>
      <c r="D2" s="64">
        <v>164649922</v>
      </c>
      <c r="E2" s="64">
        <v>25248631</v>
      </c>
      <c r="F2" s="64">
        <v>9596400</v>
      </c>
      <c r="G2" s="64">
        <v>269054110</v>
      </c>
      <c r="H2" s="64">
        <v>0</v>
      </c>
      <c r="I2" s="64"/>
      <c r="J2" s="64"/>
      <c r="K2" s="64"/>
      <c r="L2" s="64"/>
      <c r="M2" s="64"/>
      <c r="N2" s="68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4">
        <v>119125379</v>
      </c>
      <c r="C3" s="64">
        <v>441731352</v>
      </c>
      <c r="D3" s="64">
        <v>172083907</v>
      </c>
      <c r="E3" s="64">
        <v>29380607</v>
      </c>
      <c r="F3" s="64">
        <v>9960940</v>
      </c>
      <c r="G3" s="64">
        <v>268970034</v>
      </c>
      <c r="H3" s="36">
        <v>0</v>
      </c>
      <c r="I3" s="36"/>
      <c r="J3" s="36"/>
      <c r="K3" s="36"/>
      <c r="L3" s="36"/>
      <c r="M3" s="36"/>
      <c r="N3" s="68">
        <f t="shared" ref="N3:N20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0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6" si="13">AF3/100</f>
        <v>0.42420000000000002</v>
      </c>
      <c r="AB3">
        <f t="shared" ref="AB3:AB16" si="14">AG3/100</f>
        <v>0.1144</v>
      </c>
      <c r="AC3">
        <f t="shared" ref="AC3:AC16" si="15">AH3/100</f>
        <v>0.1653</v>
      </c>
      <c r="AD3">
        <f t="shared" ref="AD3:AD16" si="16">AI3/100</f>
        <v>0.29609999999999997</v>
      </c>
      <c r="AE3">
        <f t="shared" ref="AE3:AE16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16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4">
        <v>122879411</v>
      </c>
      <c r="C4" s="64">
        <v>452817870</v>
      </c>
      <c r="D4" s="64">
        <v>188822314</v>
      </c>
      <c r="E4" s="64">
        <v>25038179</v>
      </c>
      <c r="F4" s="64">
        <v>10248040</v>
      </c>
      <c r="G4" s="64">
        <v>270230078</v>
      </c>
      <c r="H4" s="36">
        <v>0</v>
      </c>
      <c r="I4" s="36"/>
      <c r="J4" s="36"/>
      <c r="K4" s="36"/>
      <c r="L4" s="36"/>
      <c r="M4" s="36"/>
      <c r="N4" s="68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4">
        <v>164950173</v>
      </c>
      <c r="C5" s="64">
        <v>456647707</v>
      </c>
      <c r="D5" s="64">
        <v>204142054</v>
      </c>
      <c r="E5" s="64">
        <v>22937538</v>
      </c>
      <c r="F5" s="64">
        <v>10375200</v>
      </c>
      <c r="G5" s="64">
        <v>272005374</v>
      </c>
      <c r="H5" s="36">
        <v>0</v>
      </c>
      <c r="I5" s="36"/>
      <c r="J5" s="36"/>
      <c r="K5" s="36"/>
      <c r="L5" s="36"/>
      <c r="M5" s="36"/>
      <c r="N5" s="68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4">
        <v>151543284</v>
      </c>
      <c r="C6" s="64">
        <v>498117696</v>
      </c>
      <c r="D6" s="64">
        <v>187553776</v>
      </c>
      <c r="E6" s="64">
        <v>24385647</v>
      </c>
      <c r="F6" s="64">
        <v>11077000</v>
      </c>
      <c r="G6" s="64">
        <v>271806233</v>
      </c>
      <c r="H6" s="36">
        <v>0</v>
      </c>
      <c r="I6" s="36"/>
      <c r="J6" s="36"/>
      <c r="K6" s="36"/>
      <c r="L6" s="36"/>
      <c r="M6" s="36"/>
      <c r="N6" s="68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4">
        <v>173673093</v>
      </c>
      <c r="C7" s="64">
        <v>493636985</v>
      </c>
      <c r="D7" s="64">
        <v>191189376</v>
      </c>
      <c r="E7" s="64">
        <v>27034841</v>
      </c>
      <c r="F7" s="64">
        <v>10910460</v>
      </c>
      <c r="G7" s="64">
        <v>270042895</v>
      </c>
      <c r="H7" s="36">
        <v>0</v>
      </c>
      <c r="I7" s="36"/>
      <c r="J7" s="36"/>
      <c r="K7" s="36"/>
      <c r="L7" s="36"/>
      <c r="M7" s="36"/>
      <c r="N7" s="68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4">
        <v>205779290</v>
      </c>
      <c r="C8" s="64">
        <v>459929016</v>
      </c>
      <c r="D8" s="64">
        <v>196599386</v>
      </c>
      <c r="E8" s="64">
        <v>24256796</v>
      </c>
      <c r="F8" s="64">
        <v>11182742</v>
      </c>
      <c r="G8" s="64">
        <v>276335944</v>
      </c>
      <c r="H8" s="64">
        <v>0</v>
      </c>
      <c r="I8" s="64"/>
      <c r="J8" s="64"/>
      <c r="K8" s="64"/>
      <c r="L8" s="64"/>
      <c r="M8" s="64"/>
      <c r="N8" s="68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4">
        <v>258174000</v>
      </c>
      <c r="C9" s="64">
        <v>470036057</v>
      </c>
      <c r="D9" s="64">
        <v>183623636</v>
      </c>
      <c r="E9" s="64">
        <v>28450964</v>
      </c>
      <c r="F9" s="64">
        <v>11421759</v>
      </c>
      <c r="G9" s="64">
        <v>275199938</v>
      </c>
      <c r="H9" s="64">
        <v>36043</v>
      </c>
      <c r="I9" s="64"/>
      <c r="J9" s="64"/>
      <c r="K9" s="64"/>
      <c r="L9" s="64"/>
      <c r="M9" s="64"/>
      <c r="N9" s="68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4">
        <v>224587657</v>
      </c>
      <c r="C10" s="64">
        <v>474496098</v>
      </c>
      <c r="D10" s="64">
        <v>236049566</v>
      </c>
      <c r="E10" s="64">
        <v>29060413</v>
      </c>
      <c r="F10" s="64">
        <v>13423610</v>
      </c>
      <c r="G10" s="64">
        <v>277981421</v>
      </c>
      <c r="H10" s="64">
        <v>60407</v>
      </c>
      <c r="I10" s="64"/>
      <c r="J10" s="64"/>
      <c r="K10" s="64"/>
      <c r="L10" s="64"/>
      <c r="M10" s="64"/>
      <c r="N10" s="68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4">
        <v>236439000</v>
      </c>
      <c r="C11" s="64">
        <v>467883065</v>
      </c>
      <c r="D11" s="64">
        <v>251035250</v>
      </c>
      <c r="E11" s="64">
        <v>28662883</v>
      </c>
      <c r="F11" s="64">
        <v>14973198</v>
      </c>
      <c r="G11" s="64">
        <v>279313257</v>
      </c>
      <c r="H11" s="64">
        <v>771965</v>
      </c>
      <c r="I11" s="64"/>
      <c r="J11" s="64"/>
      <c r="K11" s="64"/>
      <c r="L11" s="64"/>
      <c r="M11" s="64"/>
      <c r="N11" s="68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4">
        <v>281400000</v>
      </c>
      <c r="C12" s="64">
        <v>518405561</v>
      </c>
      <c r="D12" s="64">
        <v>269942185</v>
      </c>
      <c r="E12" s="64">
        <v>43952237</v>
      </c>
      <c r="F12" s="64">
        <v>15266074</v>
      </c>
      <c r="G12" s="64">
        <v>273670429</v>
      </c>
      <c r="H12" s="64">
        <v>1446623</v>
      </c>
      <c r="I12" s="64"/>
      <c r="J12" s="64"/>
      <c r="K12" s="64"/>
      <c r="L12" s="64"/>
      <c r="M12" s="64"/>
      <c r="N12" s="68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4">
        <v>334142760</v>
      </c>
      <c r="C13" s="64">
        <v>546635311</v>
      </c>
      <c r="D13" s="64">
        <v>261708332</v>
      </c>
      <c r="E13" s="64">
        <v>31268976</v>
      </c>
      <c r="F13" s="64">
        <v>15119152</v>
      </c>
      <c r="G13" s="64">
        <v>283140897</v>
      </c>
      <c r="H13" s="64">
        <v>2328869</v>
      </c>
      <c r="I13" s="64"/>
      <c r="J13" s="64"/>
      <c r="K13" s="64"/>
      <c r="L13" s="64"/>
      <c r="M13" s="64"/>
      <c r="N13" s="68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4">
        <v>377892961</v>
      </c>
      <c r="C14" s="64">
        <v>533830676</v>
      </c>
      <c r="D14" s="64">
        <v>259456414</v>
      </c>
      <c r="E14" s="64">
        <v>32226297</v>
      </c>
      <c r="F14" s="64">
        <v>15129340</v>
      </c>
      <c r="G14" s="64">
        <v>300838657</v>
      </c>
      <c r="H14" s="64">
        <v>4339870</v>
      </c>
      <c r="I14" s="64"/>
      <c r="J14" s="64"/>
      <c r="K14" s="64"/>
      <c r="L14" s="64"/>
      <c r="M14" s="64"/>
      <c r="N14" s="68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4">
        <v>410566607</v>
      </c>
      <c r="C15" s="64">
        <v>542950370</v>
      </c>
      <c r="D15" s="64">
        <v>232399957</v>
      </c>
      <c r="E15" s="64">
        <v>38494094</v>
      </c>
      <c r="F15" s="64">
        <v>10644873</v>
      </c>
      <c r="G15" s="64">
        <v>306232741</v>
      </c>
      <c r="H15" s="64">
        <v>6798481</v>
      </c>
      <c r="I15" s="64"/>
      <c r="J15" s="64"/>
      <c r="K15" s="64"/>
      <c r="L15" s="64"/>
      <c r="M15" s="64"/>
      <c r="N15" s="68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4">
        <v>497804744</v>
      </c>
      <c r="C16" s="64">
        <v>544795076</v>
      </c>
      <c r="D16" s="64">
        <v>271375371</v>
      </c>
      <c r="E16" s="64">
        <v>30139213</v>
      </c>
      <c r="F16" s="64">
        <v>16191566</v>
      </c>
      <c r="G16" s="64">
        <v>310162037</v>
      </c>
      <c r="H16" s="64">
        <v>11966513</v>
      </c>
      <c r="I16" s="64"/>
      <c r="J16" s="64"/>
      <c r="K16" s="64"/>
      <c r="L16" s="64"/>
      <c r="M16" s="64"/>
      <c r="N16" s="68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25" x14ac:dyDescent="0.25">
      <c r="A17" s="36">
        <v>2015</v>
      </c>
      <c r="B17" s="64">
        <v>364619216</v>
      </c>
      <c r="C17" s="64">
        <v>607791169</v>
      </c>
      <c r="D17" s="64">
        <v>275465640</v>
      </c>
      <c r="E17" s="64">
        <v>35040466</v>
      </c>
      <c r="F17" s="64">
        <v>16337878</v>
      </c>
      <c r="G17" s="68">
        <f>B40</f>
        <v>313328055.71765685</v>
      </c>
      <c r="H17" s="64">
        <v>5938648</v>
      </c>
      <c r="I17" s="36"/>
      <c r="J17" s="36"/>
      <c r="K17" s="36"/>
      <c r="L17" s="36"/>
      <c r="M17" s="36"/>
      <c r="N17" s="68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0" si="19">Q17/$N17</f>
        <v>0.22527925162430434</v>
      </c>
      <c r="V17" s="36">
        <f t="shared" ref="V17:V20" si="20">R17/$N17</f>
        <v>0.37552255527909723</v>
      </c>
      <c r="W17" s="36">
        <f t="shared" ref="W17:W20" si="21">S17/$N17</f>
        <v>0.17019589342600647</v>
      </c>
      <c r="X17" s="36">
        <f t="shared" ref="X17:X20" si="22">T17/$N17</f>
        <v>0.22900229967059199</v>
      </c>
      <c r="Y17" s="35">
        <f t="shared" ref="Y17:Y20" si="23">SUM(U17:X17)</f>
        <v>1</v>
      </c>
    </row>
    <row r="18" spans="1:25" x14ac:dyDescent="0.25">
      <c r="A18" s="36">
        <v>2016</v>
      </c>
      <c r="B18" s="64">
        <v>380310000</v>
      </c>
      <c r="C18" s="64">
        <v>534207126</v>
      </c>
      <c r="D18" s="64">
        <v>277169757</v>
      </c>
      <c r="E18" s="64">
        <v>45452580</v>
      </c>
      <c r="F18" s="64">
        <v>17537710</v>
      </c>
      <c r="G18" s="68">
        <f t="shared" ref="G18:G20" si="24">B41</f>
        <v>316526391.97687203</v>
      </c>
      <c r="H18" s="64">
        <v>19516272</v>
      </c>
      <c r="I18" s="36"/>
      <c r="J18" s="36"/>
      <c r="K18" s="36"/>
      <c r="L18" s="36"/>
      <c r="M18" s="36"/>
      <c r="N18" s="68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</row>
    <row r="19" spans="1:25" x14ac:dyDescent="0.25">
      <c r="A19" s="36">
        <v>2017</v>
      </c>
      <c r="B19" s="64">
        <v>407526000</v>
      </c>
      <c r="C19" s="64">
        <v>567528788</v>
      </c>
      <c r="D19" s="64">
        <v>275142227</v>
      </c>
      <c r="E19" s="64">
        <v>47599892</v>
      </c>
      <c r="F19" s="64">
        <v>20259621</v>
      </c>
      <c r="G19" s="68">
        <f t="shared" si="24"/>
        <v>319757375.66309011</v>
      </c>
      <c r="H19" s="64">
        <v>16682032</v>
      </c>
      <c r="I19" s="36"/>
      <c r="J19" s="36"/>
      <c r="K19" s="36"/>
      <c r="L19" s="36"/>
      <c r="M19" s="36"/>
      <c r="N19" s="68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</row>
    <row r="20" spans="1:25" x14ac:dyDescent="0.25">
      <c r="A20" s="36">
        <v>2018</v>
      </c>
      <c r="B20" s="64">
        <v>483336000</v>
      </c>
      <c r="C20" s="64">
        <v>569024765</v>
      </c>
      <c r="D20" s="64">
        <v>288310815</v>
      </c>
      <c r="E20" s="64">
        <v>40204916</v>
      </c>
      <c r="F20" s="64">
        <v>26040932</v>
      </c>
      <c r="G20" s="68">
        <f t="shared" si="24"/>
        <v>323021340.02910364</v>
      </c>
      <c r="H20" s="64">
        <v>28381188</v>
      </c>
      <c r="I20" s="64">
        <v>359291</v>
      </c>
      <c r="J20" s="36">
        <v>466082</v>
      </c>
      <c r="K20" s="64">
        <v>29757578</v>
      </c>
      <c r="L20" s="64">
        <v>8795</v>
      </c>
      <c r="M20" s="64">
        <v>166718</v>
      </c>
      <c r="N20" s="68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</row>
    <row r="21" spans="1:25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25" ht="45" x14ac:dyDescent="0.25">
      <c r="B24" s="66" t="s">
        <v>178</v>
      </c>
      <c r="C24" s="65" t="s">
        <v>179</v>
      </c>
      <c r="D24" s="65" t="s">
        <v>180</v>
      </c>
      <c r="F24" s="20" t="s">
        <v>223</v>
      </c>
      <c r="G24" s="20" t="s">
        <v>222</v>
      </c>
      <c r="H24" s="70">
        <v>2132298</v>
      </c>
      <c r="I24" s="71" t="s">
        <v>212</v>
      </c>
    </row>
    <row r="25" spans="1:25" x14ac:dyDescent="0.25">
      <c r="A25">
        <v>2000</v>
      </c>
      <c r="B25" s="33">
        <v>269054110</v>
      </c>
      <c r="F25" s="3">
        <v>2000</v>
      </c>
      <c r="G25" s="3">
        <f>D2*$H$24</f>
        <v>351082699380756</v>
      </c>
      <c r="H25" s="70"/>
      <c r="I25" s="71"/>
    </row>
    <row r="26" spans="1:25" x14ac:dyDescent="0.25">
      <c r="A26">
        <v>2001</v>
      </c>
      <c r="B26" s="33">
        <v>268970034</v>
      </c>
      <c r="F26" s="3">
        <v>2001</v>
      </c>
      <c r="G26" s="3">
        <f t="shared" ref="G26:G43" si="25">D3*$H$24</f>
        <v>366934170728286</v>
      </c>
      <c r="H26" s="70"/>
      <c r="I26" s="71"/>
    </row>
    <row r="27" spans="1:25" x14ac:dyDescent="0.25">
      <c r="A27">
        <v>2002</v>
      </c>
      <c r="B27" s="33">
        <v>270230078</v>
      </c>
      <c r="F27" s="3">
        <v>2002</v>
      </c>
      <c r="G27" s="3">
        <f t="shared" si="25"/>
        <v>402625442497572</v>
      </c>
      <c r="H27" s="70"/>
      <c r="I27" s="71"/>
    </row>
    <row r="28" spans="1:25" x14ac:dyDescent="0.25">
      <c r="A28">
        <v>2003</v>
      </c>
      <c r="B28" s="33">
        <v>272005374</v>
      </c>
      <c r="F28" s="3">
        <v>2003</v>
      </c>
      <c r="G28" s="3">
        <f t="shared" si="25"/>
        <v>435291693460092</v>
      </c>
      <c r="H28" s="70"/>
      <c r="I28" s="71"/>
    </row>
    <row r="29" spans="1:25" x14ac:dyDescent="0.25">
      <c r="A29">
        <v>2004</v>
      </c>
      <c r="B29" s="33">
        <v>271806233</v>
      </c>
      <c r="F29" s="3">
        <v>2004</v>
      </c>
      <c r="G29" s="3">
        <f t="shared" si="25"/>
        <v>399920541457248</v>
      </c>
      <c r="H29" s="70"/>
      <c r="I29" s="71"/>
    </row>
    <row r="30" spans="1:25" x14ac:dyDescent="0.25">
      <c r="A30">
        <v>2005</v>
      </c>
      <c r="B30" s="33">
        <v>270042895</v>
      </c>
      <c r="F30" s="3">
        <v>2005</v>
      </c>
      <c r="G30" s="3">
        <f t="shared" si="25"/>
        <v>407672724066048</v>
      </c>
      <c r="H30" s="70"/>
      <c r="I30" s="71"/>
    </row>
    <row r="31" spans="1:25" x14ac:dyDescent="0.25">
      <c r="A31">
        <v>2006</v>
      </c>
      <c r="B31" s="33">
        <v>276335944</v>
      </c>
      <c r="F31" s="3">
        <v>2006</v>
      </c>
      <c r="G31" s="3">
        <f t="shared" si="25"/>
        <v>419208477569028</v>
      </c>
      <c r="H31" s="70"/>
      <c r="I31" s="71"/>
    </row>
    <row r="32" spans="1:25" x14ac:dyDescent="0.25">
      <c r="A32">
        <v>2007</v>
      </c>
      <c r="B32" s="33">
        <v>275199938</v>
      </c>
      <c r="F32" s="3">
        <v>2007</v>
      </c>
      <c r="G32" s="3">
        <f t="shared" si="25"/>
        <v>391540311795528</v>
      </c>
      <c r="H32" s="70"/>
      <c r="I32" s="71"/>
    </row>
    <row r="33" spans="1:9" x14ac:dyDescent="0.25">
      <c r="A33">
        <v>2008</v>
      </c>
      <c r="B33" s="33">
        <v>277981421</v>
      </c>
      <c r="C33" s="1">
        <v>114085558</v>
      </c>
      <c r="D33">
        <f>C33/B33</f>
        <v>0.41040713292849884</v>
      </c>
      <c r="F33" s="3">
        <v>2008</v>
      </c>
      <c r="G33" s="3">
        <f t="shared" si="25"/>
        <v>503328017482668</v>
      </c>
      <c r="H33" s="70"/>
      <c r="I33" s="71"/>
    </row>
    <row r="34" spans="1:9" x14ac:dyDescent="0.25">
      <c r="A34">
        <v>2009</v>
      </c>
      <c r="B34" s="33">
        <v>279313257</v>
      </c>
      <c r="C34" s="1">
        <v>109029170</v>
      </c>
      <c r="D34">
        <f t="shared" ref="D34:D39" si="26">C34/B34</f>
        <v>0.39034727950632148</v>
      </c>
      <c r="F34" s="3">
        <v>2009</v>
      </c>
      <c r="G34" s="3">
        <f t="shared" si="25"/>
        <v>535281961504500</v>
      </c>
      <c r="H34" s="70"/>
      <c r="I34" s="71"/>
    </row>
    <row r="35" spans="1:9" x14ac:dyDescent="0.25">
      <c r="A35">
        <v>2010</v>
      </c>
      <c r="B35" s="33">
        <v>273670429</v>
      </c>
      <c r="C35" s="1">
        <v>107822916</v>
      </c>
      <c r="D35">
        <f t="shared" si="26"/>
        <v>0.39398818642550526</v>
      </c>
      <c r="F35" s="3">
        <v>2010</v>
      </c>
      <c r="G35" s="3">
        <f t="shared" si="25"/>
        <v>575597181191130</v>
      </c>
      <c r="H35" s="70"/>
      <c r="I35" s="71"/>
    </row>
    <row r="36" spans="1:9" x14ac:dyDescent="0.25">
      <c r="A36">
        <v>2011</v>
      </c>
      <c r="B36" s="33">
        <v>283140897</v>
      </c>
      <c r="C36" s="1">
        <v>105354823</v>
      </c>
      <c r="D36">
        <f t="shared" si="26"/>
        <v>0.37209327270019915</v>
      </c>
      <c r="F36" s="3">
        <v>2011</v>
      </c>
      <c r="G36" s="3">
        <f t="shared" si="25"/>
        <v>558040152906936</v>
      </c>
      <c r="H36" s="70"/>
      <c r="I36" s="71"/>
    </row>
    <row r="37" spans="1:9" x14ac:dyDescent="0.25">
      <c r="A37">
        <v>2012</v>
      </c>
      <c r="B37" s="33">
        <v>300838657</v>
      </c>
      <c r="C37" s="1">
        <v>99383737</v>
      </c>
      <c r="D37">
        <f t="shared" si="26"/>
        <v>0.33035560652698964</v>
      </c>
      <c r="F37" s="3">
        <v>2012</v>
      </c>
      <c r="G37" s="3">
        <f t="shared" si="25"/>
        <v>553238392659372</v>
      </c>
      <c r="H37" s="70"/>
      <c r="I37" s="71"/>
    </row>
    <row r="38" spans="1:9" x14ac:dyDescent="0.25">
      <c r="A38">
        <v>2013</v>
      </c>
      <c r="B38" s="33">
        <v>306232741</v>
      </c>
      <c r="C38" s="1">
        <v>95374094</v>
      </c>
      <c r="D38">
        <f t="shared" si="26"/>
        <v>0.3114431647267919</v>
      </c>
      <c r="F38" s="3">
        <v>2013</v>
      </c>
      <c r="G38" s="3">
        <f t="shared" si="25"/>
        <v>495545963511186</v>
      </c>
      <c r="H38" s="70"/>
      <c r="I38" s="71"/>
    </row>
    <row r="39" spans="1:9" x14ac:dyDescent="0.25">
      <c r="A39">
        <v>2014</v>
      </c>
      <c r="B39" s="33">
        <v>310162037</v>
      </c>
      <c r="C39" s="1">
        <v>92873723</v>
      </c>
      <c r="D39">
        <f t="shared" si="26"/>
        <v>0.29943613956855719</v>
      </c>
      <c r="E39">
        <f>(D39/D33)^(1/6)-1</f>
        <v>-5.1184976955164219E-2</v>
      </c>
      <c r="F39" s="3">
        <v>2014</v>
      </c>
      <c r="G39" s="3">
        <f t="shared" si="25"/>
        <v>578653160832558</v>
      </c>
      <c r="H39" s="70"/>
      <c r="I39" s="71"/>
    </row>
    <row r="40" spans="1:9" x14ac:dyDescent="0.25">
      <c r="A40">
        <v>2015</v>
      </c>
      <c r="B40" s="45">
        <f>B39*(1+$E$40)</f>
        <v>313328055.71765685</v>
      </c>
      <c r="C40" s="33">
        <v>84768404</v>
      </c>
      <c r="D40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25"/>
        <v>587374833240720</v>
      </c>
      <c r="H40" s="70"/>
      <c r="I40" s="71"/>
    </row>
    <row r="41" spans="1:9" x14ac:dyDescent="0.25">
      <c r="A41">
        <v>2016</v>
      </c>
      <c r="B41" s="45">
        <f t="shared" ref="B41:B43" si="27">B40*(1+$E$40)</f>
        <v>316526391.97687203</v>
      </c>
      <c r="C41" s="33">
        <v>79987014</v>
      </c>
      <c r="D41">
        <f t="shared" ref="D41:D43" si="28">D40*(1+$E$39)</f>
        <v>0.26956736906261108</v>
      </c>
      <c r="F41" s="3">
        <v>2016</v>
      </c>
      <c r="G41" s="3">
        <f t="shared" si="25"/>
        <v>591008518511586</v>
      </c>
      <c r="H41" s="70"/>
      <c r="I41" s="71"/>
    </row>
    <row r="42" spans="1:9" x14ac:dyDescent="0.25">
      <c r="A42">
        <v>2017</v>
      </c>
      <c r="B42" s="45">
        <f t="shared" si="27"/>
        <v>319757375.66309011</v>
      </c>
      <c r="C42" s="33">
        <v>75001916</v>
      </c>
      <c r="D42">
        <f t="shared" si="28"/>
        <v>0.25576956948927709</v>
      </c>
      <c r="F42" s="3">
        <v>2017</v>
      </c>
      <c r="G42" s="3">
        <f t="shared" si="25"/>
        <v>586685220347646</v>
      </c>
      <c r="H42" s="70"/>
      <c r="I42" s="71"/>
    </row>
    <row r="43" spans="1:9" x14ac:dyDescent="0.25">
      <c r="A43">
        <v>2018</v>
      </c>
      <c r="B43" s="45">
        <f t="shared" si="27"/>
        <v>323021340.02910364</v>
      </c>
      <c r="C43" s="33">
        <v>67750663</v>
      </c>
      <c r="D43">
        <f t="shared" si="28"/>
        <v>0.24267800996913616</v>
      </c>
      <c r="F43" s="3">
        <v>2018</v>
      </c>
      <c r="G43" s="3">
        <f t="shared" si="25"/>
        <v>614764574202870</v>
      </c>
      <c r="H43" s="70"/>
      <c r="I43" s="71"/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7" sqref="Q17"/>
    </sheetView>
  </sheetViews>
  <sheetFormatPr defaultRowHeight="15" x14ac:dyDescent="0.25"/>
  <cols>
    <col min="2" max="3" width="11.140625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4.42578125" bestFit="1" customWidth="1"/>
    <col min="10" max="10" width="17" bestFit="1" customWidth="1"/>
    <col min="11" max="11" width="15.28515625" bestFit="1" customWidth="1"/>
    <col min="12" max="12" width="15.28515625" customWidth="1"/>
    <col min="16" max="16" width="12.7109375" bestFit="1" customWidth="1"/>
  </cols>
  <sheetData>
    <row r="1" spans="1:18" x14ac:dyDescent="0.25">
      <c r="B1" s="72" t="s">
        <v>184</v>
      </c>
      <c r="C1" s="72"/>
      <c r="D1" s="72"/>
      <c r="E1" s="48" t="s">
        <v>185</v>
      </c>
      <c r="F1" s="48">
        <v>4.79</v>
      </c>
      <c r="G1" s="48" t="s">
        <v>186</v>
      </c>
      <c r="H1" s="75" t="s">
        <v>187</v>
      </c>
      <c r="I1" s="75"/>
      <c r="J1" s="75"/>
      <c r="K1" s="75"/>
      <c r="L1" s="75"/>
      <c r="M1" s="73" t="s">
        <v>188</v>
      </c>
      <c r="N1" s="74"/>
      <c r="O1" s="74"/>
      <c r="P1" s="74"/>
      <c r="Q1" s="74"/>
    </row>
    <row r="2" spans="1:18" x14ac:dyDescent="0.25">
      <c r="B2" s="49" t="s">
        <v>181</v>
      </c>
      <c r="C2" s="49" t="s">
        <v>182</v>
      </c>
      <c r="D2" s="49" t="s">
        <v>183</v>
      </c>
      <c r="E2" s="48" t="s">
        <v>181</v>
      </c>
      <c r="F2" s="48" t="s">
        <v>182</v>
      </c>
      <c r="G2" s="48" t="s">
        <v>183</v>
      </c>
      <c r="H2" s="47" t="s">
        <v>181</v>
      </c>
      <c r="I2" s="47" t="s">
        <v>183</v>
      </c>
      <c r="J2" s="47" t="s">
        <v>182</v>
      </c>
      <c r="K2" s="47" t="s">
        <v>121</v>
      </c>
      <c r="L2" s="47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50">
        <v>77040185</v>
      </c>
      <c r="C3" s="50">
        <v>58460492</v>
      </c>
      <c r="D3" s="50">
        <v>140116</v>
      </c>
      <c r="E3" s="51">
        <f t="shared" ref="E3:E21" si="0">B3*$F$1</f>
        <v>369022486.14999998</v>
      </c>
      <c r="F3" s="51">
        <f t="shared" ref="F3:F21" si="1">C3*$F$1</f>
        <v>280025756.68000001</v>
      </c>
      <c r="G3" s="51">
        <f t="shared" ref="G3:G21" si="2">D3*$F$1</f>
        <v>671155.64</v>
      </c>
      <c r="H3" s="47"/>
      <c r="I3" s="47"/>
      <c r="J3" s="47"/>
      <c r="K3" s="47"/>
      <c r="L3" s="47"/>
      <c r="M3" s="1"/>
      <c r="N3" s="46"/>
    </row>
    <row r="4" spans="1:18" x14ac:dyDescent="0.25">
      <c r="A4">
        <v>2001</v>
      </c>
      <c r="B4" s="50">
        <v>92540460</v>
      </c>
      <c r="C4" s="50">
        <v>65281086</v>
      </c>
      <c r="D4" s="50">
        <v>30466</v>
      </c>
      <c r="E4" s="51">
        <f t="shared" si="0"/>
        <v>443268803.39999998</v>
      </c>
      <c r="F4" s="51">
        <f t="shared" si="1"/>
        <v>312696401.94</v>
      </c>
      <c r="G4" s="51">
        <f t="shared" si="2"/>
        <v>145932.14000000001</v>
      </c>
      <c r="H4" s="47"/>
      <c r="I4" s="47"/>
      <c r="J4" s="47"/>
      <c r="K4" s="47"/>
      <c r="L4" s="47"/>
      <c r="N4" s="1"/>
      <c r="O4" s="46"/>
    </row>
    <row r="5" spans="1:18" x14ac:dyDescent="0.25">
      <c r="A5">
        <v>2002</v>
      </c>
      <c r="B5" s="50">
        <v>103329093</v>
      </c>
      <c r="C5" s="50">
        <v>74177926</v>
      </c>
      <c r="D5" s="50">
        <v>20026</v>
      </c>
      <c r="E5" s="51">
        <f t="shared" si="0"/>
        <v>494946355.47000003</v>
      </c>
      <c r="F5" s="51">
        <f t="shared" si="1"/>
        <v>355312265.54000002</v>
      </c>
      <c r="G5" s="51">
        <f t="shared" si="2"/>
        <v>95924.54</v>
      </c>
      <c r="H5" s="47"/>
      <c r="I5" s="47"/>
      <c r="J5" s="47"/>
      <c r="K5" s="47"/>
      <c r="L5" s="47"/>
    </row>
    <row r="6" spans="1:18" x14ac:dyDescent="0.25">
      <c r="A6">
        <v>2003</v>
      </c>
      <c r="B6" s="50">
        <v>114278000</v>
      </c>
      <c r="C6" s="50">
        <v>85680621</v>
      </c>
      <c r="D6" s="50">
        <v>38228</v>
      </c>
      <c r="E6" s="51">
        <f t="shared" si="0"/>
        <v>547391620</v>
      </c>
      <c r="F6" s="51">
        <f t="shared" si="1"/>
        <v>410410174.58999997</v>
      </c>
      <c r="G6" s="51">
        <f t="shared" si="2"/>
        <v>183112.12</v>
      </c>
      <c r="H6" s="47"/>
      <c r="I6" s="47"/>
      <c r="J6" s="47"/>
      <c r="K6" s="47"/>
      <c r="L6" s="47"/>
    </row>
    <row r="7" spans="1:18" x14ac:dyDescent="0.25">
      <c r="A7">
        <v>2004</v>
      </c>
      <c r="B7" s="50">
        <v>132352025</v>
      </c>
      <c r="C7" s="50">
        <v>93758806</v>
      </c>
      <c r="D7" s="50">
        <v>97183</v>
      </c>
      <c r="E7" s="51">
        <f t="shared" si="0"/>
        <v>633966199.75</v>
      </c>
      <c r="F7" s="51">
        <f t="shared" si="1"/>
        <v>449104680.74000001</v>
      </c>
      <c r="G7" s="51">
        <f t="shared" si="2"/>
        <v>465506.57</v>
      </c>
      <c r="H7" s="47"/>
      <c r="I7" s="47"/>
      <c r="J7" s="47"/>
      <c r="K7" s="47"/>
      <c r="L7" s="47"/>
    </row>
    <row r="8" spans="1:18" x14ac:dyDescent="0.25">
      <c r="A8">
        <v>2005</v>
      </c>
      <c r="B8" s="50">
        <v>152722438</v>
      </c>
      <c r="C8" s="50">
        <v>110789700</v>
      </c>
      <c r="D8" s="50">
        <v>98179</v>
      </c>
      <c r="E8" s="51">
        <f t="shared" si="0"/>
        <v>731540478.01999998</v>
      </c>
      <c r="F8" s="51">
        <f t="shared" si="1"/>
        <v>530682663</v>
      </c>
      <c r="G8" s="51">
        <f t="shared" si="2"/>
        <v>470277.41000000003</v>
      </c>
      <c r="H8" s="47"/>
      <c r="I8" s="47"/>
      <c r="J8" s="47"/>
      <c r="K8" s="47"/>
      <c r="L8" s="47"/>
    </row>
    <row r="9" spans="1:18" x14ac:dyDescent="0.25">
      <c r="A9">
        <v>2006</v>
      </c>
      <c r="B9" s="50">
        <v>193761311</v>
      </c>
      <c r="C9" s="50">
        <v>143632865</v>
      </c>
      <c r="D9" s="50">
        <v>110683</v>
      </c>
      <c r="E9" s="51">
        <f t="shared" si="0"/>
        <v>928116679.69000006</v>
      </c>
      <c r="F9" s="51">
        <f t="shared" si="1"/>
        <v>688001423.35000002</v>
      </c>
      <c r="G9" s="51">
        <f t="shared" si="2"/>
        <v>530171.56999999995</v>
      </c>
      <c r="H9" s="47"/>
      <c r="I9" s="47"/>
      <c r="J9" s="47"/>
      <c r="K9" s="47"/>
      <c r="L9" s="47"/>
    </row>
    <row r="10" spans="1:18" x14ac:dyDescent="0.25">
      <c r="A10">
        <v>2007</v>
      </c>
      <c r="B10" s="50">
        <v>216946699</v>
      </c>
      <c r="C10" s="50">
        <v>163000000</v>
      </c>
      <c r="D10" s="50">
        <v>67534</v>
      </c>
      <c r="E10" s="51">
        <f t="shared" si="0"/>
        <v>1039174688.21</v>
      </c>
      <c r="F10" s="51">
        <f t="shared" si="1"/>
        <v>780770000</v>
      </c>
      <c r="G10" s="51">
        <f t="shared" si="2"/>
        <v>323487.86</v>
      </c>
      <c r="H10" s="47"/>
      <c r="I10" s="47"/>
      <c r="J10" s="47"/>
      <c r="K10" s="47"/>
      <c r="L10" s="47"/>
    </row>
    <row r="11" spans="1:18" x14ac:dyDescent="0.25">
      <c r="A11">
        <v>2008</v>
      </c>
      <c r="B11" s="50">
        <v>240249968</v>
      </c>
      <c r="C11" s="50">
        <v>191430218</v>
      </c>
      <c r="D11" s="50">
        <v>106931</v>
      </c>
      <c r="E11" s="51">
        <f t="shared" si="0"/>
        <v>1150797346.72</v>
      </c>
      <c r="F11" s="51">
        <f t="shared" si="1"/>
        <v>916950744.22000003</v>
      </c>
      <c r="G11" s="51">
        <f t="shared" si="2"/>
        <v>512199.49</v>
      </c>
      <c r="H11" s="47"/>
      <c r="I11" s="47"/>
      <c r="J11" s="47"/>
      <c r="K11" s="47"/>
      <c r="L11" s="47"/>
    </row>
    <row r="12" spans="1:18" x14ac:dyDescent="0.25">
      <c r="A12">
        <v>2009</v>
      </c>
      <c r="B12" s="50">
        <v>256181000</v>
      </c>
      <c r="C12" s="50">
        <v>198366000</v>
      </c>
      <c r="D12" s="50">
        <v>68804</v>
      </c>
      <c r="E12" s="51">
        <f t="shared" si="0"/>
        <v>1227106990</v>
      </c>
      <c r="F12" s="51">
        <f t="shared" si="1"/>
        <v>950173140</v>
      </c>
      <c r="G12" s="51">
        <f t="shared" si="2"/>
        <v>329571.15999999997</v>
      </c>
      <c r="H12" s="47"/>
      <c r="I12" s="47"/>
      <c r="J12" s="47"/>
      <c r="K12" s="47"/>
      <c r="L12" s="47"/>
    </row>
    <row r="13" spans="1:18" x14ac:dyDescent="0.25">
      <c r="A13">
        <v>2010</v>
      </c>
      <c r="B13" s="50">
        <v>275164196</v>
      </c>
      <c r="C13" s="50">
        <v>208000000</v>
      </c>
      <c r="D13" s="50">
        <v>55230</v>
      </c>
      <c r="E13" s="51">
        <f t="shared" si="0"/>
        <v>1318036498.8399999</v>
      </c>
      <c r="F13" s="51">
        <f t="shared" si="1"/>
        <v>996320000</v>
      </c>
      <c r="G13" s="51">
        <f t="shared" si="2"/>
        <v>264551.7</v>
      </c>
      <c r="H13" s="47"/>
      <c r="I13" s="47"/>
      <c r="J13" s="47"/>
      <c r="K13" s="47"/>
      <c r="L13" s="47"/>
    </row>
    <row r="14" spans="1:18" x14ac:dyDescent="0.25">
      <c r="A14">
        <v>2011</v>
      </c>
      <c r="B14" s="50">
        <v>353270937</v>
      </c>
      <c r="C14" s="50">
        <v>272671351</v>
      </c>
      <c r="D14" s="50">
        <v>42449</v>
      </c>
      <c r="E14" s="51">
        <f t="shared" si="0"/>
        <v>1692167788.23</v>
      </c>
      <c r="F14" s="51">
        <f t="shared" si="1"/>
        <v>1306095771.29</v>
      </c>
      <c r="G14" s="51">
        <f t="shared" si="2"/>
        <v>203330.71</v>
      </c>
      <c r="H14" s="47"/>
      <c r="I14" s="47"/>
      <c r="J14" s="47"/>
      <c r="K14" s="47"/>
      <c r="L14" s="47"/>
    </row>
    <row r="15" spans="1:18" x14ac:dyDescent="0.25">
      <c r="A15">
        <v>2012</v>
      </c>
      <c r="B15" s="50">
        <v>386077357</v>
      </c>
      <c r="C15" s="50">
        <v>304051216</v>
      </c>
      <c r="D15" s="50">
        <v>77786</v>
      </c>
      <c r="E15" s="51">
        <f t="shared" si="0"/>
        <v>1849310540.03</v>
      </c>
      <c r="F15" s="51">
        <f t="shared" si="1"/>
        <v>1456405324.6400001</v>
      </c>
      <c r="G15" s="51">
        <f t="shared" si="2"/>
        <v>372594.94</v>
      </c>
      <c r="H15" s="47"/>
      <c r="I15" s="47"/>
      <c r="J15" s="47"/>
      <c r="K15" s="47"/>
      <c r="L15" s="47"/>
    </row>
    <row r="16" spans="1:18" x14ac:dyDescent="0.25">
      <c r="A16">
        <v>2013</v>
      </c>
      <c r="B16" s="50">
        <v>474371369</v>
      </c>
      <c r="C16" s="50">
        <v>356357973</v>
      </c>
      <c r="D16" s="50">
        <v>609875</v>
      </c>
      <c r="E16" s="51">
        <f t="shared" si="0"/>
        <v>2272238857.5100002</v>
      </c>
      <c r="F16" s="51">
        <f t="shared" si="1"/>
        <v>1706954690.6700001</v>
      </c>
      <c r="G16" s="51">
        <f t="shared" si="2"/>
        <v>2921301.25</v>
      </c>
      <c r="H16" s="47"/>
      <c r="I16" s="47"/>
      <c r="J16" s="47"/>
      <c r="K16" s="47"/>
      <c r="L16" s="47"/>
    </row>
    <row r="17" spans="1:18" x14ac:dyDescent="0.25">
      <c r="A17" s="28">
        <v>2014</v>
      </c>
      <c r="B17" s="50">
        <v>458096707</v>
      </c>
      <c r="C17" s="50">
        <v>381972830</v>
      </c>
      <c r="D17" s="50">
        <v>2442319</v>
      </c>
      <c r="E17" s="51">
        <f t="shared" si="0"/>
        <v>2194283226.5300002</v>
      </c>
      <c r="F17" s="51">
        <f t="shared" si="1"/>
        <v>1829649855.7</v>
      </c>
      <c r="G17" s="51">
        <f t="shared" si="2"/>
        <v>11698708.01</v>
      </c>
      <c r="H17" s="52">
        <f>M17*1000</f>
        <v>1924006000</v>
      </c>
      <c r="I17" s="52">
        <f t="shared" ref="I17:K17" si="3">N17*1000</f>
        <v>10662000</v>
      </c>
      <c r="J17" s="52">
        <f t="shared" si="3"/>
        <v>1604286000</v>
      </c>
      <c r="K17" s="52">
        <f t="shared" si="3"/>
        <v>167423000</v>
      </c>
      <c r="L17" s="55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4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50">
        <v>461566080</v>
      </c>
      <c r="C18" s="50">
        <v>365849610</v>
      </c>
      <c r="D18" s="50">
        <v>3007934</v>
      </c>
      <c r="E18" s="51">
        <f t="shared" si="0"/>
        <v>2210901523.1999998</v>
      </c>
      <c r="F18" s="51">
        <f t="shared" si="1"/>
        <v>1752419631.9000001</v>
      </c>
      <c r="G18" s="51">
        <f t="shared" si="2"/>
        <v>14408003.859999999</v>
      </c>
      <c r="H18" s="47"/>
      <c r="I18" s="47"/>
      <c r="J18" s="47"/>
      <c r="K18" s="47"/>
      <c r="L18" s="47"/>
    </row>
    <row r="19" spans="1:18" x14ac:dyDescent="0.25">
      <c r="A19">
        <v>2016</v>
      </c>
      <c r="B19" s="50">
        <v>456197775</v>
      </c>
      <c r="C19" s="50">
        <v>331128438</v>
      </c>
      <c r="D19" s="50">
        <v>3898932</v>
      </c>
      <c r="E19" s="51">
        <f t="shared" si="0"/>
        <v>2185187342.25</v>
      </c>
      <c r="F19" s="51">
        <f t="shared" si="1"/>
        <v>1586105218.02</v>
      </c>
      <c r="G19" s="51">
        <f t="shared" si="2"/>
        <v>18675884.280000001</v>
      </c>
      <c r="H19" s="47"/>
      <c r="I19" s="47"/>
      <c r="J19" s="47"/>
      <c r="K19" s="47"/>
      <c r="L19" s="47"/>
    </row>
    <row r="20" spans="1:18" x14ac:dyDescent="0.25">
      <c r="A20">
        <v>2017</v>
      </c>
      <c r="B20" s="50">
        <v>461248184</v>
      </c>
      <c r="C20" s="50">
        <v>297741135</v>
      </c>
      <c r="D20" s="50">
        <v>4532308</v>
      </c>
      <c r="E20" s="51">
        <f t="shared" si="0"/>
        <v>2209378801.3600001</v>
      </c>
      <c r="F20" s="51">
        <f t="shared" si="1"/>
        <v>1426180036.6500001</v>
      </c>
      <c r="G20" s="51">
        <f t="shared" si="2"/>
        <v>21709755.32</v>
      </c>
      <c r="H20" s="47"/>
      <c r="I20" s="47"/>
      <c r="J20" s="47"/>
      <c r="K20" s="47"/>
      <c r="L20" s="47"/>
    </row>
    <row r="21" spans="1:18" x14ac:dyDescent="0.25">
      <c r="A21">
        <v>2018</v>
      </c>
      <c r="B21" s="50">
        <v>557772940</v>
      </c>
      <c r="C21" s="50">
        <v>356394687</v>
      </c>
      <c r="D21" s="50">
        <v>5468706</v>
      </c>
      <c r="E21" s="51">
        <f t="shared" si="0"/>
        <v>2671732382.5999999</v>
      </c>
      <c r="F21" s="51">
        <f t="shared" si="1"/>
        <v>1707130550.73</v>
      </c>
      <c r="G21" s="51">
        <f t="shared" si="2"/>
        <v>26195101.739999998</v>
      </c>
      <c r="H21" s="47"/>
      <c r="I21" s="47"/>
      <c r="J21" s="47"/>
      <c r="K21" s="47"/>
      <c r="L21" s="47"/>
    </row>
    <row r="22" spans="1:18" x14ac:dyDescent="0.25">
      <c r="A22">
        <v>2019</v>
      </c>
    </row>
    <row r="23" spans="1:18" x14ac:dyDescent="0.25">
      <c r="A23">
        <v>2020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:I21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10" width="10" bestFit="1" customWidth="1"/>
  </cols>
  <sheetData>
    <row r="1" spans="1:10" x14ac:dyDescent="0.25">
      <c r="B1" s="3" t="s">
        <v>197</v>
      </c>
      <c r="C1" s="3" t="s">
        <v>122</v>
      </c>
      <c r="D1" s="3" t="s">
        <v>123</v>
      </c>
      <c r="E1" s="3" t="s">
        <v>198</v>
      </c>
      <c r="F1" s="3"/>
      <c r="H1" s="3" t="s">
        <v>197</v>
      </c>
      <c r="I1" s="3" t="s">
        <v>122</v>
      </c>
      <c r="J1" s="3" t="s">
        <v>123</v>
      </c>
    </row>
    <row r="2" spans="1:10" x14ac:dyDescent="0.25">
      <c r="B2" s="76" t="s">
        <v>199</v>
      </c>
      <c r="C2" s="76"/>
      <c r="D2" s="76"/>
      <c r="E2" s="76"/>
      <c r="F2" s="57" t="s">
        <v>200</v>
      </c>
      <c r="H2" s="76" t="s">
        <v>201</v>
      </c>
      <c r="I2" s="76"/>
      <c r="J2" s="76"/>
    </row>
    <row r="3" spans="1:10" x14ac:dyDescent="0.25">
      <c r="A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H3" s="3">
        <f>B3*1000</f>
        <v>517489000</v>
      </c>
      <c r="I3" s="3">
        <f t="shared" ref="I3:J3" si="0">C3*1000</f>
        <v>223500000</v>
      </c>
      <c r="J3" s="3">
        <f t="shared" si="0"/>
        <v>78615000</v>
      </c>
    </row>
    <row r="4" spans="1:10" x14ac:dyDescent="0.25">
      <c r="A4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H4" s="3">
        <f t="shared" ref="H4:H17" si="1">B4*1000</f>
        <v>489306000</v>
      </c>
      <c r="I4" s="3">
        <f t="shared" ref="I4:I17" si="2">C4*1000</f>
        <v>241612000</v>
      </c>
      <c r="J4" s="3">
        <f t="shared" ref="J4:J17" si="3">D4*1000</f>
        <v>117168000</v>
      </c>
    </row>
    <row r="5" spans="1:10" x14ac:dyDescent="0.25">
      <c r="A5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H5" s="3">
        <f t="shared" si="1"/>
        <v>456026000</v>
      </c>
      <c r="I5" s="3">
        <f t="shared" si="2"/>
        <v>218115000</v>
      </c>
      <c r="J5" s="3">
        <f t="shared" si="3"/>
        <v>124148000</v>
      </c>
    </row>
    <row r="6" spans="1:10" x14ac:dyDescent="0.25">
      <c r="A6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H6" s="3">
        <f t="shared" si="1"/>
        <v>419255000</v>
      </c>
      <c r="I6" s="3">
        <f t="shared" si="2"/>
        <v>189095000</v>
      </c>
      <c r="J6" s="3">
        <f t="shared" si="3"/>
        <v>137127000</v>
      </c>
    </row>
    <row r="7" spans="1:10" x14ac:dyDescent="0.25">
      <c r="A7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H7" s="3">
        <f t="shared" si="1"/>
        <v>400554000</v>
      </c>
      <c r="I7" s="3">
        <f t="shared" si="2"/>
        <v>178869000</v>
      </c>
      <c r="J7" s="3">
        <f t="shared" si="3"/>
        <v>148490000</v>
      </c>
    </row>
    <row r="8" spans="1:10" x14ac:dyDescent="0.25">
      <c r="A8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H8" s="3">
        <f t="shared" si="1"/>
        <v>386483000</v>
      </c>
      <c r="I8" s="3">
        <f t="shared" si="2"/>
        <v>159703000</v>
      </c>
      <c r="J8" s="3">
        <f t="shared" si="3"/>
        <v>164007000</v>
      </c>
    </row>
    <row r="9" spans="1:10" x14ac:dyDescent="0.25">
      <c r="A9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H9" s="3">
        <f t="shared" si="1"/>
        <v>367049000</v>
      </c>
      <c r="I9" s="3">
        <f t="shared" si="2"/>
        <v>134960000</v>
      </c>
      <c r="J9" s="3">
        <f t="shared" si="3"/>
        <v>116232000</v>
      </c>
    </row>
    <row r="10" spans="1:10" x14ac:dyDescent="0.25">
      <c r="A10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H10" s="3">
        <f t="shared" si="1"/>
        <v>348348000</v>
      </c>
      <c r="I10" s="3">
        <f t="shared" si="2"/>
        <v>135267000</v>
      </c>
      <c r="J10" s="3">
        <f t="shared" si="3"/>
        <v>115812000</v>
      </c>
    </row>
    <row r="11" spans="1:10" x14ac:dyDescent="0.25">
      <c r="A11">
        <v>2008</v>
      </c>
      <c r="B11" s="4">
        <v>357501</v>
      </c>
      <c r="C11" s="4">
        <v>134872</v>
      </c>
      <c r="D11" s="4">
        <v>97006</v>
      </c>
      <c r="E11" s="4">
        <v>331949</v>
      </c>
      <c r="F11" s="3">
        <v>885</v>
      </c>
      <c r="H11" s="3">
        <f t="shared" si="1"/>
        <v>357501000</v>
      </c>
      <c r="I11" s="3">
        <f t="shared" si="2"/>
        <v>134872000</v>
      </c>
      <c r="J11" s="3">
        <f t="shared" si="3"/>
        <v>97006000</v>
      </c>
    </row>
    <row r="12" spans="1:10" x14ac:dyDescent="0.25">
      <c r="A12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H12" s="3">
        <f t="shared" si="1"/>
        <v>346313000</v>
      </c>
      <c r="I12" s="3">
        <f t="shared" si="2"/>
        <v>132223000</v>
      </c>
      <c r="J12" s="3">
        <f t="shared" si="3"/>
        <v>120119000</v>
      </c>
    </row>
    <row r="13" spans="1:10" x14ac:dyDescent="0.25">
      <c r="A13">
        <v>2010</v>
      </c>
      <c r="B13" s="4">
        <v>344888</v>
      </c>
      <c r="C13" s="4">
        <v>134473</v>
      </c>
      <c r="D13" s="4">
        <v>101093</v>
      </c>
      <c r="E13" s="4">
        <v>299116</v>
      </c>
      <c r="F13" s="3">
        <v>819</v>
      </c>
      <c r="H13" s="3">
        <f t="shared" si="1"/>
        <v>344888000</v>
      </c>
      <c r="I13" s="3">
        <f t="shared" si="2"/>
        <v>134473000</v>
      </c>
      <c r="J13" s="3">
        <f t="shared" si="3"/>
        <v>101093000</v>
      </c>
    </row>
    <row r="14" spans="1:10" x14ac:dyDescent="0.25">
      <c r="A14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H14" s="3">
        <f t="shared" si="1"/>
        <v>329265000</v>
      </c>
      <c r="I14" s="3">
        <f t="shared" si="2"/>
        <v>135572000</v>
      </c>
      <c r="J14" s="3">
        <f t="shared" si="3"/>
        <v>96862000</v>
      </c>
    </row>
    <row r="15" spans="1:10" x14ac:dyDescent="0.25">
      <c r="A15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H15" s="3">
        <f t="shared" si="1"/>
        <v>314666000</v>
      </c>
      <c r="I15" s="3">
        <f t="shared" si="2"/>
        <v>106485000</v>
      </c>
      <c r="J15" s="3">
        <f t="shared" si="3"/>
        <v>95968000</v>
      </c>
    </row>
    <row r="16" spans="1:10" x14ac:dyDescent="0.25">
      <c r="A16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H16" s="3">
        <f t="shared" si="1"/>
        <v>300830000</v>
      </c>
      <c r="I16" s="3">
        <f t="shared" si="2"/>
        <v>104791000</v>
      </c>
      <c r="J16" s="3">
        <f t="shared" si="3"/>
        <v>118334000</v>
      </c>
    </row>
    <row r="17" spans="1:10" x14ac:dyDescent="0.25">
      <c r="A17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H17" s="3">
        <f t="shared" si="1"/>
        <v>287902000</v>
      </c>
      <c r="I17" s="3">
        <f t="shared" si="2"/>
        <v>93080000</v>
      </c>
      <c r="J17" s="3">
        <f t="shared" si="3"/>
        <v>121993000</v>
      </c>
    </row>
    <row r="18" spans="1:10" x14ac:dyDescent="0.25">
      <c r="A18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H18" s="3">
        <f t="shared" ref="H18:H21" si="4">B18*1000</f>
        <v>286814000</v>
      </c>
      <c r="I18" s="3">
        <f t="shared" ref="I18:I21" si="5">C18*1000</f>
        <v>115017000</v>
      </c>
      <c r="J18" s="3">
        <f t="shared" ref="J18:J21" si="6">D18*1000</f>
        <v>136666000</v>
      </c>
    </row>
    <row r="19" spans="1:10" x14ac:dyDescent="0.25">
      <c r="A19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H19" s="3">
        <f t="shared" si="4"/>
        <v>304167000</v>
      </c>
      <c r="I19" s="3">
        <f t="shared" si="5"/>
        <v>125516000</v>
      </c>
      <c r="J19" s="3">
        <f t="shared" si="6"/>
        <v>148361000</v>
      </c>
    </row>
    <row r="20" spans="1:10" x14ac:dyDescent="0.25">
      <c r="A20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H20" s="3">
        <f t="shared" si="4"/>
        <v>292374000</v>
      </c>
      <c r="I20" s="3">
        <f t="shared" si="5"/>
        <v>102678000</v>
      </c>
      <c r="J20" s="3">
        <f t="shared" si="6"/>
        <v>141616000</v>
      </c>
    </row>
    <row r="21" spans="1:10" x14ac:dyDescent="0.25">
      <c r="A21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H21" s="3">
        <f t="shared" si="4"/>
        <v>281826000</v>
      </c>
      <c r="I21" s="3">
        <f t="shared" si="5"/>
        <v>74449000</v>
      </c>
      <c r="J21" s="3">
        <f t="shared" si="6"/>
        <v>113055000</v>
      </c>
    </row>
    <row r="22" spans="1:10" x14ac:dyDescent="0.25">
      <c r="A22">
        <v>2019</v>
      </c>
      <c r="B22" s="3"/>
      <c r="C22" s="3"/>
      <c r="D22" s="3"/>
      <c r="E22" s="3"/>
      <c r="F22" s="3"/>
    </row>
    <row r="23" spans="1:10" x14ac:dyDescent="0.25">
      <c r="A23">
        <v>2020</v>
      </c>
      <c r="B23" s="3"/>
      <c r="C23" s="3"/>
      <c r="D23" s="3"/>
      <c r="E23" s="3"/>
      <c r="F23" s="3"/>
    </row>
    <row r="24" spans="1:10" x14ac:dyDescent="0.25">
      <c r="B24" s="74" t="s">
        <v>196</v>
      </c>
      <c r="C24" s="74"/>
      <c r="D24" s="74"/>
    </row>
    <row r="25" spans="1:10" x14ac:dyDescent="0.25">
      <c r="B25" s="56"/>
      <c r="C25" s="56"/>
      <c r="D25" s="56"/>
    </row>
    <row r="26" spans="1:10" x14ac:dyDescent="0.25">
      <c r="C26" t="s">
        <v>92</v>
      </c>
      <c r="D26" t="s">
        <v>195</v>
      </c>
    </row>
    <row r="27" spans="1:10" x14ac:dyDescent="0.25">
      <c r="B27" t="s">
        <v>194</v>
      </c>
      <c r="C27" s="1">
        <v>340967</v>
      </c>
      <c r="D27" s="1">
        <v>180875</v>
      </c>
    </row>
    <row r="28" spans="1:10" x14ac:dyDescent="0.25">
      <c r="B28" t="s">
        <v>197</v>
      </c>
      <c r="C28" s="1">
        <v>281826</v>
      </c>
      <c r="D28">
        <v>0</v>
      </c>
    </row>
    <row r="29" spans="1:10" x14ac:dyDescent="0.25">
      <c r="B29" t="s">
        <v>123</v>
      </c>
      <c r="C29" s="1">
        <v>113055</v>
      </c>
      <c r="D29" s="1">
        <v>165725</v>
      </c>
    </row>
    <row r="30" spans="1:10" x14ac:dyDescent="0.25">
      <c r="B30" t="s">
        <v>122</v>
      </c>
      <c r="C30" s="1">
        <v>74449</v>
      </c>
      <c r="D30" s="1">
        <v>2244</v>
      </c>
    </row>
    <row r="31" spans="1:10" x14ac:dyDescent="0.25">
      <c r="B31" t="s">
        <v>121</v>
      </c>
      <c r="C31" s="1">
        <v>20535</v>
      </c>
      <c r="D31" s="1">
        <v>17394</v>
      </c>
    </row>
  </sheetData>
  <mergeCells count="3">
    <mergeCell ref="B24:D24"/>
    <mergeCell ref="B2:E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F23"/>
  <sheetViews>
    <sheetView workbookViewId="0">
      <selection activeCell="P3" sqref="P3"/>
    </sheetView>
  </sheetViews>
  <sheetFormatPr defaultRowHeight="15" x14ac:dyDescent="0.25"/>
  <cols>
    <col min="5" max="5" width="10" bestFit="1" customWidth="1"/>
    <col min="8" max="8" width="34.42578125" customWidth="1"/>
    <col min="9" max="9" width="22.140625" customWidth="1"/>
    <col min="11" max="11" width="10.5703125" bestFit="1" customWidth="1"/>
    <col min="12" max="12" width="14.85546875" bestFit="1" customWidth="1"/>
    <col min="14" max="14" width="12" bestFit="1" customWidth="1"/>
    <col min="15" max="15" width="14.85546875" bestFit="1" customWidth="1"/>
    <col min="17" max="17" width="7.42578125" customWidth="1"/>
    <col min="20" max="20" width="12.5703125" bestFit="1" customWidth="1"/>
    <col min="22" max="22" width="11.5703125" bestFit="1" customWidth="1"/>
    <col min="24" max="24" width="12.5703125" bestFit="1" customWidth="1"/>
    <col min="26" max="26" width="11.5703125" bestFit="1" customWidth="1"/>
    <col min="28" max="28" width="21.7109375" bestFit="1" customWidth="1"/>
    <col min="30" max="30" width="20" bestFit="1" customWidth="1"/>
    <col min="31" max="31" width="14.7109375" bestFit="1" customWidth="1"/>
  </cols>
  <sheetData>
    <row r="1" spans="1:32" ht="24.75" x14ac:dyDescent="0.25">
      <c r="A1" s="76" t="s">
        <v>56</v>
      </c>
      <c r="B1" s="76"/>
      <c r="C1" s="76"/>
      <c r="D1" s="76"/>
      <c r="E1" s="78" t="s">
        <v>206</v>
      </c>
      <c r="F1" s="79"/>
      <c r="G1" s="80"/>
      <c r="H1">
        <f>10^12</f>
        <v>1000000000000</v>
      </c>
      <c r="J1" s="77" t="s">
        <v>59</v>
      </c>
      <c r="K1" s="77"/>
      <c r="L1" s="77"/>
      <c r="M1" s="77"/>
      <c r="N1" s="81" t="s">
        <v>208</v>
      </c>
      <c r="O1" s="82"/>
      <c r="P1" s="82"/>
      <c r="Q1" s="59"/>
      <c r="S1" s="77" t="s">
        <v>209</v>
      </c>
      <c r="T1" s="77"/>
      <c r="U1" s="77"/>
      <c r="V1" s="77"/>
      <c r="W1" s="77" t="s">
        <v>210</v>
      </c>
      <c r="X1" s="77"/>
      <c r="Y1" s="77"/>
      <c r="Z1" s="77"/>
      <c r="AA1" s="77" t="s">
        <v>211</v>
      </c>
      <c r="AB1" s="77"/>
      <c r="AC1" s="77"/>
      <c r="AD1" s="77"/>
      <c r="AE1" s="58">
        <v>2132298</v>
      </c>
      <c r="AF1" s="59" t="s">
        <v>212</v>
      </c>
    </row>
    <row r="2" spans="1:32" x14ac:dyDescent="0.25">
      <c r="A2" s="3" t="s">
        <v>0</v>
      </c>
      <c r="B2" s="3" t="s">
        <v>54</v>
      </c>
      <c r="C2" s="3" t="s">
        <v>55</v>
      </c>
      <c r="D2" s="3" t="s">
        <v>20</v>
      </c>
      <c r="E2" s="3" t="s">
        <v>54</v>
      </c>
      <c r="F2" s="3" t="s">
        <v>55</v>
      </c>
      <c r="G2" s="3" t="s">
        <v>20</v>
      </c>
      <c r="H2" s="42" t="s">
        <v>219</v>
      </c>
      <c r="J2" s="2" t="s">
        <v>0</v>
      </c>
      <c r="K2" s="2" t="s">
        <v>57</v>
      </c>
      <c r="L2" s="2" t="s">
        <v>207</v>
      </c>
      <c r="M2" s="2" t="s">
        <v>20</v>
      </c>
      <c r="N2" s="2" t="s">
        <v>57</v>
      </c>
      <c r="O2" s="2" t="s">
        <v>207</v>
      </c>
      <c r="P2" s="2" t="s">
        <v>20</v>
      </c>
      <c r="Q2" s="62">
        <v>1000000</v>
      </c>
      <c r="S2" s="2" t="s">
        <v>0</v>
      </c>
      <c r="T2" s="2" t="s">
        <v>197</v>
      </c>
      <c r="U2" s="2" t="s">
        <v>123</v>
      </c>
      <c r="V2" s="2" t="s">
        <v>122</v>
      </c>
      <c r="W2" s="2" t="s">
        <v>0</v>
      </c>
      <c r="X2" s="2" t="s">
        <v>197</v>
      </c>
      <c r="Y2" s="2" t="s">
        <v>123</v>
      </c>
      <c r="Z2" s="2" t="s">
        <v>122</v>
      </c>
      <c r="AA2" s="2" t="s">
        <v>0</v>
      </c>
      <c r="AB2" s="2" t="s">
        <v>197</v>
      </c>
      <c r="AC2" s="2" t="s">
        <v>123</v>
      </c>
      <c r="AD2" s="2" t="s">
        <v>122</v>
      </c>
      <c r="AE2" s="59"/>
      <c r="AF2" s="59"/>
    </row>
    <row r="3" spans="1:32" x14ac:dyDescent="0.25">
      <c r="A3" s="3">
        <v>2000</v>
      </c>
      <c r="B3" s="3">
        <v>94.75</v>
      </c>
      <c r="C3" s="3">
        <v>75.56</v>
      </c>
      <c r="D3" s="3">
        <v>170.31</v>
      </c>
      <c r="E3" s="3">
        <f t="shared" ref="E3:E21" si="0">B3*$H$1</f>
        <v>94750000000000</v>
      </c>
      <c r="F3" s="3">
        <f t="shared" ref="F3:F21" si="1">C3*$H$1</f>
        <v>75560000000000</v>
      </c>
      <c r="G3" s="3">
        <f t="shared" ref="G3:G21" si="2">D3*$H$1</f>
        <v>170310000000000</v>
      </c>
      <c r="J3" s="2">
        <v>2000</v>
      </c>
      <c r="K3" s="5">
        <v>705979</v>
      </c>
      <c r="L3" s="5">
        <v>2195323</v>
      </c>
      <c r="M3" s="5">
        <v>2901302</v>
      </c>
      <c r="N3" s="2">
        <f>K3*$Q$2</f>
        <v>705979000000</v>
      </c>
      <c r="O3" s="2">
        <f t="shared" ref="O3:P3" si="3">L3*$Q$2</f>
        <v>2195323000000</v>
      </c>
      <c r="P3" s="2">
        <f t="shared" si="3"/>
        <v>2901302000000</v>
      </c>
      <c r="Q3" s="59"/>
      <c r="S3" s="2">
        <v>2000</v>
      </c>
      <c r="T3" s="60"/>
      <c r="U3" s="60"/>
      <c r="V3" s="60"/>
      <c r="W3" s="2">
        <v>2000</v>
      </c>
      <c r="X3" s="61">
        <f>T3*1000</f>
        <v>0</v>
      </c>
      <c r="Y3" s="61">
        <f t="shared" ref="Y3:Z18" si="4">U3*1000</f>
        <v>0</v>
      </c>
      <c r="Z3" s="61">
        <f t="shared" si="4"/>
        <v>0</v>
      </c>
      <c r="AA3" s="2">
        <v>2000</v>
      </c>
      <c r="AB3" s="61">
        <f>X3*$AE$1</f>
        <v>0</v>
      </c>
      <c r="AC3" s="61">
        <f t="shared" ref="AC3:AD3" si="5">Y3*$AE$1</f>
        <v>0</v>
      </c>
      <c r="AD3" s="61">
        <f t="shared" si="5"/>
        <v>0</v>
      </c>
      <c r="AE3" s="59"/>
      <c r="AF3" s="59"/>
    </row>
    <row r="4" spans="1:32" x14ac:dyDescent="0.25">
      <c r="A4" s="3">
        <v>2001</v>
      </c>
      <c r="B4" s="3">
        <v>92.1</v>
      </c>
      <c r="C4" s="3">
        <v>76.05</v>
      </c>
      <c r="D4" s="3">
        <v>168.15</v>
      </c>
      <c r="E4" s="3">
        <f t="shared" si="0"/>
        <v>92100000000000</v>
      </c>
      <c r="F4" s="3">
        <f t="shared" si="1"/>
        <v>76050000000000</v>
      </c>
      <c r="G4" s="3">
        <f t="shared" si="2"/>
        <v>168150000000000</v>
      </c>
      <c r="H4">
        <f>G3-P3</f>
        <v>167408698000000</v>
      </c>
      <c r="J4" s="2">
        <v>2001</v>
      </c>
      <c r="K4" s="5">
        <v>716930</v>
      </c>
      <c r="L4" s="5">
        <v>2089154</v>
      </c>
      <c r="M4" s="5">
        <v>2806084</v>
      </c>
      <c r="N4" s="2">
        <f t="shared" ref="N4:N21" si="6">K4*$Q$2</f>
        <v>716930000000</v>
      </c>
      <c r="O4" s="2">
        <f t="shared" ref="O4:O21" si="7">L4*$Q$2</f>
        <v>2089154000000</v>
      </c>
      <c r="P4" s="2">
        <f t="shared" ref="P4:P21" si="8">M4*$Q$2</f>
        <v>2806084000000</v>
      </c>
      <c r="Q4" s="59"/>
      <c r="S4" s="2">
        <v>2001</v>
      </c>
      <c r="T4" s="60"/>
      <c r="U4" s="60"/>
      <c r="V4" s="60"/>
      <c r="W4" s="2">
        <v>2001</v>
      </c>
      <c r="X4" s="61">
        <f t="shared" ref="X4:X23" si="9">T4*1000</f>
        <v>0</v>
      </c>
      <c r="Y4" s="61">
        <f t="shared" si="4"/>
        <v>0</v>
      </c>
      <c r="Z4" s="61">
        <f t="shared" si="4"/>
        <v>0</v>
      </c>
      <c r="AA4" s="2">
        <v>2001</v>
      </c>
      <c r="AB4" s="61">
        <f t="shared" ref="AB4:AB23" si="10">X4*$AE$1</f>
        <v>0</v>
      </c>
      <c r="AC4" s="61">
        <f t="shared" ref="AC4:AC23" si="11">Y4*$AE$1</f>
        <v>0</v>
      </c>
      <c r="AD4" s="61">
        <f t="shared" ref="AD4:AD23" si="12">Z4*$AE$1</f>
        <v>0</v>
      </c>
      <c r="AE4" s="59"/>
      <c r="AF4" s="59"/>
    </row>
    <row r="5" spans="1:32" x14ac:dyDescent="0.25">
      <c r="A5" s="3">
        <v>2002</v>
      </c>
      <c r="B5" s="3">
        <v>90.3</v>
      </c>
      <c r="C5" s="3">
        <v>86.29</v>
      </c>
      <c r="D5" s="3">
        <v>176.59</v>
      </c>
      <c r="E5" s="3">
        <f t="shared" si="0"/>
        <v>90300000000000</v>
      </c>
      <c r="F5" s="3">
        <f t="shared" si="1"/>
        <v>86290000000000</v>
      </c>
      <c r="G5" s="3">
        <f t="shared" si="2"/>
        <v>176590000000000</v>
      </c>
      <c r="H5">
        <f t="shared" ref="H5:H21" si="13">G4-P4</f>
        <v>165343916000000</v>
      </c>
      <c r="J5" s="2">
        <v>2002</v>
      </c>
      <c r="K5" s="5">
        <v>720125</v>
      </c>
      <c r="L5" s="5">
        <v>2316230</v>
      </c>
      <c r="M5" s="5">
        <v>3036355</v>
      </c>
      <c r="N5" s="2">
        <f t="shared" si="6"/>
        <v>720125000000</v>
      </c>
      <c r="O5" s="2">
        <f t="shared" si="7"/>
        <v>2316230000000</v>
      </c>
      <c r="P5" s="2">
        <f t="shared" si="8"/>
        <v>3036355000000</v>
      </c>
      <c r="Q5" s="59"/>
      <c r="S5" s="2">
        <v>2002</v>
      </c>
      <c r="T5" s="60"/>
      <c r="U5" s="60"/>
      <c r="V5" s="60"/>
      <c r="W5" s="2">
        <v>2002</v>
      </c>
      <c r="X5" s="61">
        <f t="shared" si="9"/>
        <v>0</v>
      </c>
      <c r="Y5" s="61">
        <f t="shared" si="4"/>
        <v>0</v>
      </c>
      <c r="Z5" s="61">
        <f t="shared" si="4"/>
        <v>0</v>
      </c>
      <c r="AA5" s="2">
        <v>2002</v>
      </c>
      <c r="AB5" s="61">
        <f t="shared" si="10"/>
        <v>0</v>
      </c>
      <c r="AC5" s="61">
        <f t="shared" si="11"/>
        <v>0</v>
      </c>
      <c r="AD5" s="61">
        <f t="shared" si="12"/>
        <v>0</v>
      </c>
      <c r="AE5" s="59"/>
      <c r="AF5" s="59"/>
    </row>
    <row r="6" spans="1:32" x14ac:dyDescent="0.25">
      <c r="A6" s="3">
        <v>2003</v>
      </c>
      <c r="B6" s="3">
        <v>91.17</v>
      </c>
      <c r="C6" s="3">
        <v>86.96</v>
      </c>
      <c r="D6" s="3">
        <v>178.13</v>
      </c>
      <c r="E6" s="3">
        <f t="shared" si="0"/>
        <v>91170000000000</v>
      </c>
      <c r="F6" s="3">
        <f t="shared" si="1"/>
        <v>86960000000000</v>
      </c>
      <c r="G6" s="3">
        <f t="shared" si="2"/>
        <v>178130000000000</v>
      </c>
      <c r="H6">
        <f t="shared" si="13"/>
        <v>173553645000000</v>
      </c>
      <c r="J6" s="2">
        <v>2003</v>
      </c>
      <c r="K6" s="5">
        <v>789202</v>
      </c>
      <c r="L6" s="5">
        <v>2366041</v>
      </c>
      <c r="M6" s="5">
        <v>3155243</v>
      </c>
      <c r="N6" s="2">
        <f t="shared" si="6"/>
        <v>789202000000</v>
      </c>
      <c r="O6" s="2">
        <f t="shared" si="7"/>
        <v>2366041000000</v>
      </c>
      <c r="P6" s="2">
        <f t="shared" si="8"/>
        <v>3155243000000</v>
      </c>
      <c r="Q6" s="59"/>
      <c r="S6" s="2">
        <v>2003</v>
      </c>
      <c r="T6" s="60"/>
      <c r="U6" s="60"/>
      <c r="V6" s="60"/>
      <c r="W6" s="2">
        <v>2003</v>
      </c>
      <c r="X6" s="61">
        <f t="shared" si="9"/>
        <v>0</v>
      </c>
      <c r="Y6" s="61">
        <f t="shared" si="4"/>
        <v>0</v>
      </c>
      <c r="Z6" s="61">
        <f t="shared" si="4"/>
        <v>0</v>
      </c>
      <c r="AA6" s="2">
        <v>2003</v>
      </c>
      <c r="AB6" s="61">
        <f t="shared" si="10"/>
        <v>0</v>
      </c>
      <c r="AC6" s="61">
        <f t="shared" si="11"/>
        <v>0</v>
      </c>
      <c r="AD6" s="61">
        <f t="shared" si="12"/>
        <v>0</v>
      </c>
      <c r="AE6" s="59"/>
      <c r="AF6" s="59"/>
    </row>
    <row r="7" spans="1:32" x14ac:dyDescent="0.25">
      <c r="A7" s="3">
        <v>2004</v>
      </c>
      <c r="B7" s="3">
        <v>97.81</v>
      </c>
      <c r="C7" s="3">
        <v>90.53</v>
      </c>
      <c r="D7" s="3">
        <v>188.34</v>
      </c>
      <c r="E7" s="3">
        <f t="shared" si="0"/>
        <v>97810000000000</v>
      </c>
      <c r="F7" s="3">
        <f t="shared" si="1"/>
        <v>90530000000000</v>
      </c>
      <c r="G7" s="3">
        <f t="shared" si="2"/>
        <v>188340000000000</v>
      </c>
      <c r="H7">
        <f t="shared" si="13"/>
        <v>174974757000000</v>
      </c>
      <c r="J7" s="2">
        <v>2004</v>
      </c>
      <c r="K7" s="5">
        <v>772812</v>
      </c>
      <c r="L7" s="5">
        <v>2231133</v>
      </c>
      <c r="M7" s="5">
        <v>3003945</v>
      </c>
      <c r="N7" s="2">
        <f t="shared" si="6"/>
        <v>772812000000</v>
      </c>
      <c r="O7" s="2">
        <f t="shared" si="7"/>
        <v>2231133000000</v>
      </c>
      <c r="P7" s="2">
        <f t="shared" si="8"/>
        <v>3003945000000</v>
      </c>
      <c r="Q7" s="59"/>
      <c r="S7" s="2">
        <v>2004</v>
      </c>
      <c r="T7" s="60"/>
      <c r="U7" s="60"/>
      <c r="V7" s="60"/>
      <c r="W7" s="2">
        <v>2004</v>
      </c>
      <c r="X7" s="61">
        <f t="shared" si="9"/>
        <v>0</v>
      </c>
      <c r="Y7" s="61">
        <f t="shared" si="4"/>
        <v>0</v>
      </c>
      <c r="Z7" s="61">
        <f t="shared" si="4"/>
        <v>0</v>
      </c>
      <c r="AA7" s="2">
        <v>2004</v>
      </c>
      <c r="AB7" s="61">
        <f t="shared" si="10"/>
        <v>0</v>
      </c>
      <c r="AC7" s="61">
        <f t="shared" si="11"/>
        <v>0</v>
      </c>
      <c r="AD7" s="61">
        <f t="shared" si="12"/>
        <v>0</v>
      </c>
      <c r="AE7" s="59"/>
      <c r="AF7" s="59"/>
    </row>
    <row r="8" spans="1:32" x14ac:dyDescent="0.25">
      <c r="A8" s="3">
        <v>2005</v>
      </c>
      <c r="B8" s="3">
        <v>97.26</v>
      </c>
      <c r="C8" s="3">
        <v>88.54</v>
      </c>
      <c r="D8" s="3">
        <v>185.8</v>
      </c>
      <c r="E8" s="3">
        <f t="shared" si="0"/>
        <v>97260000000000</v>
      </c>
      <c r="F8" s="3">
        <f t="shared" si="1"/>
        <v>88540000000000</v>
      </c>
      <c r="G8" s="3">
        <f t="shared" si="2"/>
        <v>185800000000000</v>
      </c>
      <c r="H8">
        <f t="shared" si="13"/>
        <v>185336055000000</v>
      </c>
      <c r="J8" s="2">
        <v>2005</v>
      </c>
      <c r="K8" s="5">
        <v>795224</v>
      </c>
      <c r="L8" s="5">
        <v>2190117</v>
      </c>
      <c r="M8" s="5">
        <v>2985341</v>
      </c>
      <c r="N8" s="2">
        <f t="shared" si="6"/>
        <v>795224000000</v>
      </c>
      <c r="O8" s="2">
        <f t="shared" si="7"/>
        <v>2190117000000</v>
      </c>
      <c r="P8" s="2">
        <f t="shared" si="8"/>
        <v>2985341000000</v>
      </c>
      <c r="Q8" s="59"/>
      <c r="S8" s="2">
        <v>2005</v>
      </c>
      <c r="T8" s="60"/>
      <c r="U8" s="60"/>
      <c r="V8" s="60"/>
      <c r="W8" s="2">
        <v>2005</v>
      </c>
      <c r="X8" s="61">
        <f t="shared" si="9"/>
        <v>0</v>
      </c>
      <c r="Y8" s="61">
        <f t="shared" si="4"/>
        <v>0</v>
      </c>
      <c r="Z8" s="61">
        <f t="shared" si="4"/>
        <v>0</v>
      </c>
      <c r="AA8" s="2">
        <v>2005</v>
      </c>
      <c r="AB8" s="61">
        <f t="shared" si="10"/>
        <v>0</v>
      </c>
      <c r="AC8" s="61">
        <f t="shared" si="11"/>
        <v>0</v>
      </c>
      <c r="AD8" s="61">
        <f t="shared" si="12"/>
        <v>0</v>
      </c>
      <c r="AE8" s="59"/>
      <c r="AF8" s="59"/>
    </row>
    <row r="9" spans="1:32" x14ac:dyDescent="0.25">
      <c r="A9" s="3">
        <v>2006</v>
      </c>
      <c r="B9" s="3">
        <v>94</v>
      </c>
      <c r="C9" s="3">
        <v>93.1</v>
      </c>
      <c r="D9" s="3">
        <v>187.1</v>
      </c>
      <c r="E9" s="3">
        <f t="shared" si="0"/>
        <v>94000000000000</v>
      </c>
      <c r="F9" s="3">
        <f t="shared" si="1"/>
        <v>93100000000000</v>
      </c>
      <c r="G9" s="3">
        <f t="shared" si="2"/>
        <v>187100000000000</v>
      </c>
      <c r="H9">
        <f t="shared" si="13"/>
        <v>182814659000000</v>
      </c>
      <c r="J9" s="2">
        <v>2006</v>
      </c>
      <c r="K9" s="5">
        <v>708715</v>
      </c>
      <c r="L9" s="5">
        <v>2245281</v>
      </c>
      <c r="M9" s="5">
        <v>2953997</v>
      </c>
      <c r="N9" s="2">
        <f t="shared" si="6"/>
        <v>708715000000</v>
      </c>
      <c r="O9" s="2">
        <f t="shared" si="7"/>
        <v>2245281000000</v>
      </c>
      <c r="P9" s="2">
        <f t="shared" si="8"/>
        <v>2953997000000</v>
      </c>
      <c r="Q9" s="59"/>
      <c r="S9" s="2">
        <v>2006</v>
      </c>
      <c r="T9" s="60"/>
      <c r="U9" s="60"/>
      <c r="V9" s="60"/>
      <c r="W9" s="2">
        <v>2006</v>
      </c>
      <c r="X9" s="61">
        <f t="shared" si="9"/>
        <v>0</v>
      </c>
      <c r="Y9" s="61">
        <f t="shared" si="4"/>
        <v>0</v>
      </c>
      <c r="Z9" s="61">
        <f t="shared" si="4"/>
        <v>0</v>
      </c>
      <c r="AA9" s="2">
        <v>2006</v>
      </c>
      <c r="AB9" s="61">
        <f t="shared" si="10"/>
        <v>0</v>
      </c>
      <c r="AC9" s="61">
        <f t="shared" si="11"/>
        <v>0</v>
      </c>
      <c r="AD9" s="61">
        <f t="shared" si="12"/>
        <v>0</v>
      </c>
      <c r="AE9" s="59"/>
      <c r="AF9" s="59"/>
    </row>
    <row r="10" spans="1:32" x14ac:dyDescent="0.25">
      <c r="A10" s="3">
        <v>2007</v>
      </c>
      <c r="B10" s="3">
        <v>106</v>
      </c>
      <c r="C10" s="3">
        <v>59</v>
      </c>
      <c r="D10" s="3">
        <v>165</v>
      </c>
      <c r="E10" s="3">
        <f t="shared" si="0"/>
        <v>106000000000000</v>
      </c>
      <c r="F10" s="3">
        <f t="shared" si="1"/>
        <v>59000000000000</v>
      </c>
      <c r="G10" s="3">
        <f t="shared" si="2"/>
        <v>165000000000000</v>
      </c>
      <c r="H10">
        <f t="shared" si="13"/>
        <v>184146003000000</v>
      </c>
      <c r="J10" s="2">
        <v>2007</v>
      </c>
      <c r="K10" s="5">
        <v>433630</v>
      </c>
      <c r="L10" s="5">
        <v>2371910</v>
      </c>
      <c r="M10" s="5">
        <v>2805540</v>
      </c>
      <c r="N10" s="2">
        <f t="shared" si="6"/>
        <v>433630000000</v>
      </c>
      <c r="O10" s="2">
        <f t="shared" si="7"/>
        <v>2371910000000</v>
      </c>
      <c r="P10" s="2">
        <f t="shared" si="8"/>
        <v>2805540000000</v>
      </c>
      <c r="Q10" s="59"/>
      <c r="S10" s="2">
        <v>2007</v>
      </c>
      <c r="T10" s="60"/>
      <c r="U10" s="60"/>
      <c r="V10" s="60"/>
      <c r="W10" s="2">
        <v>2007</v>
      </c>
      <c r="X10" s="61">
        <f t="shared" si="9"/>
        <v>0</v>
      </c>
      <c r="Y10" s="61">
        <f t="shared" si="4"/>
        <v>0</v>
      </c>
      <c r="Z10" s="61">
        <f t="shared" si="4"/>
        <v>0</v>
      </c>
      <c r="AA10" s="2">
        <v>2007</v>
      </c>
      <c r="AB10" s="61">
        <f t="shared" si="10"/>
        <v>0</v>
      </c>
      <c r="AC10" s="61">
        <f t="shared" si="11"/>
        <v>0</v>
      </c>
      <c r="AD10" s="61">
        <f t="shared" si="12"/>
        <v>0</v>
      </c>
      <c r="AE10" s="59"/>
      <c r="AF10" s="59"/>
    </row>
    <row r="11" spans="1:32" x14ac:dyDescent="0.25">
      <c r="A11" s="3">
        <v>2008</v>
      </c>
      <c r="B11" s="3">
        <v>112.5</v>
      </c>
      <c r="C11" s="3">
        <v>57.6</v>
      </c>
      <c r="D11" s="3">
        <v>170.1</v>
      </c>
      <c r="E11" s="3">
        <f t="shared" si="0"/>
        <v>112500000000000</v>
      </c>
      <c r="F11" s="3">
        <f t="shared" si="1"/>
        <v>57600000000000</v>
      </c>
      <c r="G11" s="3">
        <f t="shared" si="2"/>
        <v>170100000000000</v>
      </c>
      <c r="H11">
        <f t="shared" si="13"/>
        <v>162194460000000</v>
      </c>
      <c r="J11" s="2">
        <v>2008</v>
      </c>
      <c r="K11" s="5">
        <v>472897</v>
      </c>
      <c r="L11" s="5">
        <v>2412431</v>
      </c>
      <c r="M11" s="5">
        <v>2885328</v>
      </c>
      <c r="N11" s="2">
        <f t="shared" si="6"/>
        <v>472897000000</v>
      </c>
      <c r="O11" s="2">
        <f t="shared" si="7"/>
        <v>2412431000000</v>
      </c>
      <c r="P11" s="2">
        <f t="shared" si="8"/>
        <v>2885328000000</v>
      </c>
      <c r="Q11" s="59"/>
      <c r="S11" s="2">
        <v>2008</v>
      </c>
      <c r="T11" s="60">
        <v>444238</v>
      </c>
      <c r="U11" s="60"/>
      <c r="V11" s="60">
        <v>59169</v>
      </c>
      <c r="W11" s="2">
        <v>2008</v>
      </c>
      <c r="X11" s="61">
        <f t="shared" si="9"/>
        <v>444238000</v>
      </c>
      <c r="Y11" s="61">
        <f t="shared" si="4"/>
        <v>0</v>
      </c>
      <c r="Z11" s="61">
        <f t="shared" si="4"/>
        <v>59169000</v>
      </c>
      <c r="AA11" s="2">
        <v>2008</v>
      </c>
      <c r="AB11" s="61">
        <f t="shared" si="10"/>
        <v>947247798924000</v>
      </c>
      <c r="AC11" s="61">
        <f t="shared" si="11"/>
        <v>0</v>
      </c>
      <c r="AD11" s="61">
        <f t="shared" si="12"/>
        <v>126165940362000</v>
      </c>
      <c r="AE11" s="59"/>
      <c r="AF11" s="59"/>
    </row>
    <row r="12" spans="1:32" x14ac:dyDescent="0.25">
      <c r="A12" s="3">
        <v>2009</v>
      </c>
      <c r="B12" s="3">
        <v>107.34</v>
      </c>
      <c r="C12" s="3">
        <v>52.29</v>
      </c>
      <c r="D12" s="3">
        <v>159.63</v>
      </c>
      <c r="E12" s="3">
        <f t="shared" si="0"/>
        <v>107340000000000</v>
      </c>
      <c r="F12" s="3">
        <f t="shared" si="1"/>
        <v>52290000000000</v>
      </c>
      <c r="G12" s="3">
        <f t="shared" si="2"/>
        <v>159630000000000</v>
      </c>
      <c r="H12">
        <f t="shared" si="13"/>
        <v>167214672000000</v>
      </c>
      <c r="J12" s="2">
        <v>2009</v>
      </c>
      <c r="K12" s="5">
        <v>467570</v>
      </c>
      <c r="L12" s="5">
        <v>2593326</v>
      </c>
      <c r="M12" s="5">
        <v>3060897</v>
      </c>
      <c r="N12" s="2">
        <f t="shared" si="6"/>
        <v>467570000000</v>
      </c>
      <c r="O12" s="2">
        <f t="shared" si="7"/>
        <v>2593326000000</v>
      </c>
      <c r="P12" s="2">
        <f t="shared" si="8"/>
        <v>3060897000000</v>
      </c>
      <c r="Q12" s="59"/>
      <c r="S12" s="2">
        <v>2009</v>
      </c>
      <c r="T12" s="60">
        <v>459544</v>
      </c>
      <c r="U12" s="60"/>
      <c r="V12" s="60">
        <v>52822</v>
      </c>
      <c r="W12" s="2">
        <v>2009</v>
      </c>
      <c r="X12" s="61">
        <f t="shared" si="9"/>
        <v>459544000</v>
      </c>
      <c r="Y12" s="61">
        <f t="shared" si="4"/>
        <v>0</v>
      </c>
      <c r="Z12" s="61">
        <f t="shared" si="4"/>
        <v>52822000</v>
      </c>
      <c r="AA12" s="2">
        <v>2009</v>
      </c>
      <c r="AB12" s="61">
        <f t="shared" si="10"/>
        <v>979884752112000</v>
      </c>
      <c r="AC12" s="61">
        <f t="shared" si="11"/>
        <v>0</v>
      </c>
      <c r="AD12" s="61">
        <f t="shared" si="12"/>
        <v>112632244956000</v>
      </c>
      <c r="AE12" s="59"/>
      <c r="AF12" s="59"/>
    </row>
    <row r="13" spans="1:32" x14ac:dyDescent="0.25">
      <c r="A13" s="3">
        <v>2010</v>
      </c>
      <c r="B13" s="3">
        <v>108.4</v>
      </c>
      <c r="C13" s="3">
        <v>48.74</v>
      </c>
      <c r="D13" s="3">
        <v>157.13999999999999</v>
      </c>
      <c r="E13" s="3">
        <f t="shared" si="0"/>
        <v>108400000000000</v>
      </c>
      <c r="F13" s="3">
        <f t="shared" si="1"/>
        <v>48740000000000</v>
      </c>
      <c r="G13" s="3">
        <f t="shared" si="2"/>
        <v>157140000000000</v>
      </c>
      <c r="H13">
        <f t="shared" si="13"/>
        <v>156569103000000</v>
      </c>
      <c r="J13" s="2">
        <v>2010</v>
      </c>
      <c r="K13" s="5">
        <v>471507</v>
      </c>
      <c r="L13" s="5">
        <v>2936086</v>
      </c>
      <c r="M13" s="5">
        <v>3407592</v>
      </c>
      <c r="N13" s="2">
        <f t="shared" si="6"/>
        <v>471507000000</v>
      </c>
      <c r="O13" s="2">
        <f t="shared" si="7"/>
        <v>2936086000000</v>
      </c>
      <c r="P13" s="2">
        <f t="shared" si="8"/>
        <v>3407592000000</v>
      </c>
      <c r="Q13" s="59"/>
      <c r="S13" s="2">
        <v>2010</v>
      </c>
      <c r="T13" s="60"/>
      <c r="U13" s="60"/>
      <c r="V13" s="60"/>
      <c r="W13" s="2">
        <v>2010</v>
      </c>
      <c r="X13" s="61">
        <f t="shared" si="9"/>
        <v>0</v>
      </c>
      <c r="Y13" s="61">
        <f t="shared" si="4"/>
        <v>0</v>
      </c>
      <c r="Z13" s="61">
        <f t="shared" si="4"/>
        <v>0</v>
      </c>
      <c r="AA13" s="2">
        <v>2010</v>
      </c>
      <c r="AB13" s="61">
        <f t="shared" si="10"/>
        <v>0</v>
      </c>
      <c r="AC13" s="61">
        <f t="shared" si="11"/>
        <v>0</v>
      </c>
      <c r="AD13" s="61">
        <f t="shared" si="12"/>
        <v>0</v>
      </c>
      <c r="AE13" s="59"/>
      <c r="AF13" s="59"/>
    </row>
    <row r="14" spans="1:32" x14ac:dyDescent="0.25">
      <c r="A14" s="3">
        <v>2011</v>
      </c>
      <c r="B14" s="3">
        <v>104.71</v>
      </c>
      <c r="C14" s="3">
        <v>48.18</v>
      </c>
      <c r="D14" s="3">
        <v>152.88999999999999</v>
      </c>
      <c r="E14" s="3">
        <f t="shared" si="0"/>
        <v>104710000000000</v>
      </c>
      <c r="F14" s="3">
        <f t="shared" si="1"/>
        <v>48180000000000</v>
      </c>
      <c r="G14" s="3">
        <f t="shared" si="2"/>
        <v>152890000000000</v>
      </c>
      <c r="H14">
        <f t="shared" si="13"/>
        <v>153732408000000</v>
      </c>
      <c r="J14" s="2">
        <v>2011</v>
      </c>
      <c r="K14" s="5">
        <v>472552</v>
      </c>
      <c r="L14" s="5">
        <v>2783827</v>
      </c>
      <c r="M14" s="5">
        <v>3256379</v>
      </c>
      <c r="N14" s="2">
        <f t="shared" si="6"/>
        <v>472552000000</v>
      </c>
      <c r="O14" s="2">
        <f t="shared" si="7"/>
        <v>2783827000000</v>
      </c>
      <c r="P14" s="2">
        <f t="shared" si="8"/>
        <v>3256379000000</v>
      </c>
      <c r="Q14" s="59"/>
      <c r="S14" s="2">
        <v>2011</v>
      </c>
      <c r="T14" s="60">
        <v>519210</v>
      </c>
      <c r="U14" s="60"/>
      <c r="V14" s="60">
        <v>60258</v>
      </c>
      <c r="W14" s="2">
        <v>2011</v>
      </c>
      <c r="X14" s="61">
        <f t="shared" si="9"/>
        <v>519210000</v>
      </c>
      <c r="Y14" s="61">
        <f t="shared" si="4"/>
        <v>0</v>
      </c>
      <c r="Z14" s="61">
        <f t="shared" si="4"/>
        <v>60258000</v>
      </c>
      <c r="AA14" s="2">
        <v>2011</v>
      </c>
      <c r="AB14" s="61">
        <f t="shared" si="10"/>
        <v>1107110444580000</v>
      </c>
      <c r="AC14" s="61">
        <f t="shared" si="11"/>
        <v>0</v>
      </c>
      <c r="AD14" s="61">
        <f t="shared" si="12"/>
        <v>128488012884000</v>
      </c>
      <c r="AE14" s="59"/>
      <c r="AF14" s="59"/>
    </row>
    <row r="15" spans="1:32" x14ac:dyDescent="0.25">
      <c r="A15" s="3">
        <v>2012</v>
      </c>
      <c r="B15" s="3">
        <v>103.35</v>
      </c>
      <c r="C15" s="3">
        <v>47.35</v>
      </c>
      <c r="D15" s="3">
        <v>150.69999999999999</v>
      </c>
      <c r="E15" s="3">
        <f t="shared" si="0"/>
        <v>103350000000000</v>
      </c>
      <c r="F15" s="3">
        <f t="shared" si="1"/>
        <v>47350000000000</v>
      </c>
      <c r="G15" s="3">
        <f t="shared" si="2"/>
        <v>150700000000000</v>
      </c>
      <c r="H15">
        <f t="shared" si="13"/>
        <v>149633621000000</v>
      </c>
      <c r="J15" s="2">
        <v>2012</v>
      </c>
      <c r="K15" s="5">
        <v>405465</v>
      </c>
      <c r="L15" s="5">
        <v>2769175</v>
      </c>
      <c r="M15" s="5">
        <v>3174639</v>
      </c>
      <c r="N15" s="2">
        <f t="shared" si="6"/>
        <v>405465000000</v>
      </c>
      <c r="O15" s="2">
        <f t="shared" si="7"/>
        <v>2769175000000</v>
      </c>
      <c r="P15" s="2">
        <f t="shared" si="8"/>
        <v>3174639000000</v>
      </c>
      <c r="Q15" s="59"/>
      <c r="S15" s="2">
        <v>2012</v>
      </c>
      <c r="T15" s="60">
        <v>494331</v>
      </c>
      <c r="U15" s="60"/>
      <c r="V15" s="60">
        <v>64355</v>
      </c>
      <c r="W15" s="2">
        <v>2012</v>
      </c>
      <c r="X15" s="61">
        <f t="shared" si="9"/>
        <v>494331000</v>
      </c>
      <c r="Y15" s="61">
        <f t="shared" si="4"/>
        <v>0</v>
      </c>
      <c r="Z15" s="61">
        <f t="shared" si="4"/>
        <v>64355000</v>
      </c>
      <c r="AA15" s="2">
        <v>2012</v>
      </c>
      <c r="AB15" s="61">
        <f t="shared" si="10"/>
        <v>1054061002638000</v>
      </c>
      <c r="AC15" s="61">
        <f t="shared" si="11"/>
        <v>0</v>
      </c>
      <c r="AD15" s="61">
        <f t="shared" si="12"/>
        <v>137224037790000</v>
      </c>
      <c r="AE15" s="59"/>
      <c r="AF15" s="59"/>
    </row>
    <row r="16" spans="1:32" x14ac:dyDescent="0.25">
      <c r="A16" s="3">
        <v>2013</v>
      </c>
      <c r="B16" s="3">
        <v>101.54</v>
      </c>
      <c r="C16" s="3">
        <v>48.85</v>
      </c>
      <c r="D16" s="3">
        <v>150.38999999999999</v>
      </c>
      <c r="E16" s="3">
        <f t="shared" si="0"/>
        <v>101540000000000</v>
      </c>
      <c r="F16" s="3">
        <f t="shared" si="1"/>
        <v>48850000000000</v>
      </c>
      <c r="G16" s="3">
        <f t="shared" si="2"/>
        <v>150390000000000</v>
      </c>
      <c r="H16">
        <f t="shared" si="13"/>
        <v>147525361000000</v>
      </c>
      <c r="J16" s="2">
        <v>2013</v>
      </c>
      <c r="K16" s="5">
        <v>352561</v>
      </c>
      <c r="L16" s="5">
        <v>2768277</v>
      </c>
      <c r="M16" s="5">
        <v>3120838</v>
      </c>
      <c r="N16" s="2">
        <f t="shared" si="6"/>
        <v>352561000000</v>
      </c>
      <c r="O16" s="2">
        <f t="shared" si="7"/>
        <v>2768277000000</v>
      </c>
      <c r="P16" s="2">
        <f t="shared" si="8"/>
        <v>3120838000000</v>
      </c>
      <c r="Q16" s="59"/>
      <c r="S16" s="2">
        <v>2013</v>
      </c>
      <c r="T16" s="60">
        <v>462317</v>
      </c>
      <c r="U16" s="60"/>
      <c r="V16" s="60">
        <v>60195</v>
      </c>
      <c r="W16" s="2">
        <v>2013</v>
      </c>
      <c r="X16" s="61">
        <f t="shared" si="9"/>
        <v>462317000</v>
      </c>
      <c r="Y16" s="61">
        <f t="shared" si="4"/>
        <v>0</v>
      </c>
      <c r="Z16" s="61">
        <f t="shared" si="4"/>
        <v>60195000</v>
      </c>
      <c r="AA16" s="2">
        <v>2013</v>
      </c>
      <c r="AB16" s="61">
        <f t="shared" si="10"/>
        <v>985797614466000</v>
      </c>
      <c r="AC16" s="61">
        <f t="shared" si="11"/>
        <v>0</v>
      </c>
      <c r="AD16" s="61">
        <f t="shared" si="12"/>
        <v>128353678110000</v>
      </c>
      <c r="AE16" s="59"/>
      <c r="AF16" s="59"/>
    </row>
    <row r="17" spans="1:32" x14ac:dyDescent="0.25">
      <c r="A17" s="3">
        <v>2014</v>
      </c>
      <c r="B17" s="3">
        <v>100.26</v>
      </c>
      <c r="C17" s="3">
        <v>49.04</v>
      </c>
      <c r="D17" s="3">
        <v>149.30000000000001</v>
      </c>
      <c r="E17" s="3">
        <f t="shared" si="0"/>
        <v>100260000000000</v>
      </c>
      <c r="F17" s="3">
        <f t="shared" si="1"/>
        <v>49040000000000</v>
      </c>
      <c r="G17" s="3">
        <f t="shared" si="2"/>
        <v>149300000000000</v>
      </c>
      <c r="H17">
        <f t="shared" si="13"/>
        <v>147269162000000</v>
      </c>
      <c r="J17" s="2">
        <v>2014</v>
      </c>
      <c r="K17" s="5">
        <v>304693</v>
      </c>
      <c r="L17" s="5">
        <v>2871098</v>
      </c>
      <c r="M17" s="5">
        <v>3175791</v>
      </c>
      <c r="N17" s="2">
        <f t="shared" si="6"/>
        <v>304693000000</v>
      </c>
      <c r="O17" s="2">
        <f t="shared" si="7"/>
        <v>2871098000000</v>
      </c>
      <c r="P17" s="2">
        <f t="shared" si="8"/>
        <v>3175791000000</v>
      </c>
      <c r="Q17" s="59"/>
      <c r="S17" s="2">
        <v>2014</v>
      </c>
      <c r="T17" s="60">
        <v>482749</v>
      </c>
      <c r="U17" s="60"/>
      <c r="V17" s="60">
        <v>61543</v>
      </c>
      <c r="W17" s="2">
        <v>2014</v>
      </c>
      <c r="X17" s="61">
        <f t="shared" si="9"/>
        <v>482749000</v>
      </c>
      <c r="Y17" s="61">
        <f t="shared" si="4"/>
        <v>0</v>
      </c>
      <c r="Z17" s="61">
        <f t="shared" si="4"/>
        <v>61543000</v>
      </c>
      <c r="AA17" s="2">
        <v>2014</v>
      </c>
      <c r="AB17" s="61">
        <f t="shared" si="10"/>
        <v>1029364727202000</v>
      </c>
      <c r="AC17" s="61">
        <f t="shared" si="11"/>
        <v>0</v>
      </c>
      <c r="AD17" s="61">
        <f t="shared" si="12"/>
        <v>131228015814000</v>
      </c>
      <c r="AE17" s="59"/>
      <c r="AF17" s="59"/>
    </row>
    <row r="18" spans="1:32" x14ac:dyDescent="0.25">
      <c r="A18" s="3">
        <v>2015</v>
      </c>
      <c r="B18" s="3">
        <v>97.99</v>
      </c>
      <c r="C18" s="3">
        <v>53.34</v>
      </c>
      <c r="D18" s="3">
        <v>151.33000000000001</v>
      </c>
      <c r="E18" s="3">
        <f t="shared" si="0"/>
        <v>97990000000000</v>
      </c>
      <c r="F18" s="3">
        <f t="shared" si="1"/>
        <v>53340000000000</v>
      </c>
      <c r="G18" s="3">
        <f t="shared" si="2"/>
        <v>151330000000000</v>
      </c>
      <c r="H18">
        <f t="shared" si="13"/>
        <v>146124209000000</v>
      </c>
      <c r="J18" s="2">
        <v>2015</v>
      </c>
      <c r="K18" s="5">
        <v>376669</v>
      </c>
      <c r="L18" s="5">
        <v>2739473</v>
      </c>
      <c r="M18" s="5">
        <v>3116142</v>
      </c>
      <c r="N18" s="2">
        <f t="shared" si="6"/>
        <v>376669000000</v>
      </c>
      <c r="O18" s="2">
        <f t="shared" si="7"/>
        <v>2739473000000</v>
      </c>
      <c r="P18" s="2">
        <f t="shared" si="8"/>
        <v>3116142000000</v>
      </c>
      <c r="Q18" s="59"/>
      <c r="S18" s="2">
        <v>2015</v>
      </c>
      <c r="T18" s="60">
        <v>480375</v>
      </c>
      <c r="U18" s="60"/>
      <c r="V18" s="60">
        <v>55080</v>
      </c>
      <c r="W18" s="2">
        <v>2015</v>
      </c>
      <c r="X18" s="61">
        <f t="shared" si="9"/>
        <v>480375000</v>
      </c>
      <c r="Y18" s="61">
        <f t="shared" si="4"/>
        <v>0</v>
      </c>
      <c r="Z18" s="61">
        <f t="shared" si="4"/>
        <v>55080000</v>
      </c>
      <c r="AA18" s="2">
        <v>2015</v>
      </c>
      <c r="AB18" s="61">
        <f t="shared" si="10"/>
        <v>1024302651750000</v>
      </c>
      <c r="AC18" s="61">
        <f t="shared" si="11"/>
        <v>0</v>
      </c>
      <c r="AD18" s="61">
        <f t="shared" si="12"/>
        <v>117446973840000</v>
      </c>
      <c r="AE18" s="59"/>
      <c r="AF18" s="59"/>
    </row>
    <row r="19" spans="1:32" x14ac:dyDescent="0.25">
      <c r="A19" s="3">
        <v>2016</v>
      </c>
      <c r="B19" s="3">
        <v>101.22</v>
      </c>
      <c r="C19" s="3">
        <v>42.84</v>
      </c>
      <c r="D19" s="3">
        <v>144.06</v>
      </c>
      <c r="E19" s="3">
        <f t="shared" si="0"/>
        <v>101220000000000</v>
      </c>
      <c r="F19" s="3">
        <f t="shared" si="1"/>
        <v>42840000000000</v>
      </c>
      <c r="G19" s="3">
        <f t="shared" si="2"/>
        <v>144060000000000</v>
      </c>
      <c r="H19">
        <f t="shared" si="13"/>
        <v>148213858000000</v>
      </c>
      <c r="J19" s="2">
        <v>2016</v>
      </c>
      <c r="K19" s="5">
        <v>467813</v>
      </c>
      <c r="L19" s="5">
        <v>2602426</v>
      </c>
      <c r="M19" s="5">
        <v>3070239</v>
      </c>
      <c r="N19" s="2">
        <f t="shared" si="6"/>
        <v>467813000000</v>
      </c>
      <c r="O19" s="2">
        <f t="shared" si="7"/>
        <v>2602426000000</v>
      </c>
      <c r="P19" s="2">
        <f t="shared" si="8"/>
        <v>3070239000000</v>
      </c>
      <c r="Q19" s="59"/>
      <c r="S19" s="2">
        <v>2016</v>
      </c>
      <c r="T19" s="60">
        <v>473613</v>
      </c>
      <c r="U19" s="60"/>
      <c r="V19" s="60">
        <v>50780</v>
      </c>
      <c r="W19" s="2">
        <v>2016</v>
      </c>
      <c r="X19" s="61">
        <f t="shared" si="9"/>
        <v>473613000</v>
      </c>
      <c r="Y19" s="61">
        <f t="shared" ref="Y19:Y23" si="14">U19*1000</f>
        <v>0</v>
      </c>
      <c r="Z19" s="61">
        <f t="shared" ref="Z19:Z23" si="15">V19*1000</f>
        <v>50780000</v>
      </c>
      <c r="AA19" s="2">
        <v>2016</v>
      </c>
      <c r="AB19" s="61">
        <f t="shared" si="10"/>
        <v>1009884052674000</v>
      </c>
      <c r="AC19" s="61">
        <f t="shared" si="11"/>
        <v>0</v>
      </c>
      <c r="AD19" s="61">
        <f t="shared" si="12"/>
        <v>108278092440000</v>
      </c>
      <c r="AE19" s="59"/>
      <c r="AF19" s="59"/>
    </row>
    <row r="20" spans="1:32" x14ac:dyDescent="0.25">
      <c r="A20" s="3">
        <v>2017</v>
      </c>
      <c r="B20" s="3">
        <v>100.37</v>
      </c>
      <c r="C20" s="3">
        <v>42.35</v>
      </c>
      <c r="D20" s="3">
        <v>142.72</v>
      </c>
      <c r="E20" s="3">
        <f t="shared" si="0"/>
        <v>100370000000000</v>
      </c>
      <c r="F20" s="3">
        <f t="shared" si="1"/>
        <v>42350000000000</v>
      </c>
      <c r="G20" s="3">
        <f t="shared" si="2"/>
        <v>142720000000000</v>
      </c>
      <c r="H20">
        <f t="shared" si="13"/>
        <v>140989761000000</v>
      </c>
      <c r="J20" s="2">
        <v>2017</v>
      </c>
      <c r="K20" s="5">
        <v>497079</v>
      </c>
      <c r="L20" s="5">
        <v>2466105</v>
      </c>
      <c r="M20" s="5">
        <v>2963184</v>
      </c>
      <c r="N20" s="2">
        <f t="shared" si="6"/>
        <v>497079000000</v>
      </c>
      <c r="O20" s="2">
        <f t="shared" si="7"/>
        <v>2466105000000</v>
      </c>
      <c r="P20" s="2">
        <f t="shared" si="8"/>
        <v>2963184000000</v>
      </c>
      <c r="Q20" s="59"/>
      <c r="S20" s="2">
        <v>2017</v>
      </c>
      <c r="T20" s="60"/>
      <c r="U20" s="60"/>
      <c r="V20" s="60"/>
      <c r="W20" s="2">
        <v>2017</v>
      </c>
      <c r="X20" s="61">
        <f t="shared" si="9"/>
        <v>0</v>
      </c>
      <c r="Y20" s="61">
        <f t="shared" si="14"/>
        <v>0</v>
      </c>
      <c r="Z20" s="61">
        <f t="shared" si="15"/>
        <v>0</v>
      </c>
      <c r="AA20" s="2">
        <v>2017</v>
      </c>
      <c r="AB20" s="61">
        <f t="shared" si="10"/>
        <v>0</v>
      </c>
      <c r="AC20" s="61">
        <f t="shared" si="11"/>
        <v>0</v>
      </c>
      <c r="AD20" s="61">
        <f t="shared" si="12"/>
        <v>0</v>
      </c>
      <c r="AE20" s="59"/>
      <c r="AF20" s="59"/>
    </row>
    <row r="21" spans="1:32" x14ac:dyDescent="0.25">
      <c r="A21" s="3">
        <v>2018</v>
      </c>
      <c r="B21" s="3">
        <v>96.06</v>
      </c>
      <c r="C21" s="3">
        <v>39.49</v>
      </c>
      <c r="D21" s="3">
        <v>135.55000000000001</v>
      </c>
      <c r="E21" s="3">
        <f t="shared" si="0"/>
        <v>96060000000000</v>
      </c>
      <c r="F21" s="3">
        <f t="shared" si="1"/>
        <v>39490000000000</v>
      </c>
      <c r="G21" s="3">
        <f t="shared" si="2"/>
        <v>135550000000000.02</v>
      </c>
      <c r="H21">
        <f t="shared" si="13"/>
        <v>139756816000000</v>
      </c>
      <c r="J21" s="2">
        <v>2018</v>
      </c>
      <c r="K21" s="5">
        <v>577270</v>
      </c>
      <c r="L21" s="5">
        <v>2419532</v>
      </c>
      <c r="M21" s="5">
        <v>2996802</v>
      </c>
      <c r="N21" s="2">
        <f t="shared" si="6"/>
        <v>577270000000</v>
      </c>
      <c r="O21" s="2">
        <f t="shared" si="7"/>
        <v>2419532000000</v>
      </c>
      <c r="P21" s="2">
        <f t="shared" si="8"/>
        <v>2996802000000</v>
      </c>
      <c r="Q21" s="59"/>
      <c r="S21" s="2">
        <v>2018</v>
      </c>
      <c r="T21" s="60">
        <v>460281</v>
      </c>
      <c r="U21" s="60"/>
      <c r="V21" s="60">
        <v>46908</v>
      </c>
      <c r="W21" s="2">
        <v>2018</v>
      </c>
      <c r="X21" s="61">
        <f t="shared" si="9"/>
        <v>460281000</v>
      </c>
      <c r="Y21" s="61">
        <f t="shared" si="14"/>
        <v>0</v>
      </c>
      <c r="Z21" s="61">
        <f t="shared" si="15"/>
        <v>46908000</v>
      </c>
      <c r="AA21" s="2">
        <v>2018</v>
      </c>
      <c r="AB21" s="61">
        <f t="shared" si="10"/>
        <v>981456255738000</v>
      </c>
      <c r="AC21" s="61">
        <f t="shared" si="11"/>
        <v>0</v>
      </c>
      <c r="AD21" s="61">
        <f t="shared" si="12"/>
        <v>100021834584000</v>
      </c>
      <c r="AE21" s="59"/>
      <c r="AF21" s="59"/>
    </row>
    <row r="22" spans="1:32" x14ac:dyDescent="0.25">
      <c r="A22" s="3">
        <v>2019</v>
      </c>
      <c r="B22" s="3"/>
      <c r="C22" s="3"/>
      <c r="D22" s="3"/>
      <c r="E22" s="3"/>
      <c r="F22" s="3"/>
      <c r="G22" s="3"/>
      <c r="J22" s="2">
        <v>2019</v>
      </c>
      <c r="K22" s="2"/>
      <c r="L22" s="2"/>
      <c r="M22" s="2"/>
      <c r="N22" s="2"/>
      <c r="O22" s="2"/>
      <c r="P22" s="2"/>
      <c r="Q22" s="59"/>
      <c r="S22" s="2">
        <v>2019</v>
      </c>
      <c r="T22" s="2"/>
      <c r="U22" s="2"/>
      <c r="V22" s="2"/>
      <c r="W22" s="2">
        <v>2019</v>
      </c>
      <c r="X22" s="61">
        <f t="shared" si="9"/>
        <v>0</v>
      </c>
      <c r="Y22" s="61">
        <f t="shared" si="14"/>
        <v>0</v>
      </c>
      <c r="Z22" s="61">
        <f t="shared" si="15"/>
        <v>0</v>
      </c>
      <c r="AA22" s="2">
        <v>2019</v>
      </c>
      <c r="AB22" s="61">
        <f t="shared" si="10"/>
        <v>0</v>
      </c>
      <c r="AC22" s="61">
        <f t="shared" si="11"/>
        <v>0</v>
      </c>
      <c r="AD22" s="61">
        <f t="shared" si="12"/>
        <v>0</v>
      </c>
      <c r="AE22" s="59"/>
      <c r="AF22" s="59"/>
    </row>
    <row r="23" spans="1:32" x14ac:dyDescent="0.25">
      <c r="A23" s="3">
        <v>2020</v>
      </c>
      <c r="B23" s="3"/>
      <c r="C23" s="3"/>
      <c r="D23" s="3"/>
      <c r="E23" s="3"/>
      <c r="F23" s="3"/>
      <c r="G23" s="3"/>
      <c r="J23" s="2">
        <v>2020</v>
      </c>
      <c r="K23" s="2"/>
      <c r="L23" s="2"/>
      <c r="M23" s="2"/>
      <c r="N23" s="2"/>
      <c r="O23" s="2"/>
      <c r="P23" s="2"/>
      <c r="Q23" s="59"/>
      <c r="S23" s="2">
        <v>2020</v>
      </c>
      <c r="T23" s="2"/>
      <c r="U23" s="2"/>
      <c r="V23" s="2"/>
      <c r="W23" s="2">
        <v>2020</v>
      </c>
      <c r="X23" s="61">
        <f t="shared" si="9"/>
        <v>0</v>
      </c>
      <c r="Y23" s="61">
        <f t="shared" si="14"/>
        <v>0</v>
      </c>
      <c r="Z23" s="61">
        <f t="shared" si="15"/>
        <v>0</v>
      </c>
      <c r="AA23" s="2">
        <v>2020</v>
      </c>
      <c r="AB23" s="61">
        <f t="shared" si="10"/>
        <v>0</v>
      </c>
      <c r="AC23" s="61">
        <f t="shared" si="11"/>
        <v>0</v>
      </c>
      <c r="AD23" s="61">
        <f t="shared" si="12"/>
        <v>0</v>
      </c>
      <c r="AE23" s="59"/>
      <c r="AF23" s="59"/>
    </row>
  </sheetData>
  <mergeCells count="7">
    <mergeCell ref="W1:Z1"/>
    <mergeCell ref="AA1:AD1"/>
    <mergeCell ref="A1:D1"/>
    <mergeCell ref="E1:G1"/>
    <mergeCell ref="J1:M1"/>
    <mergeCell ref="N1:P1"/>
    <mergeCell ref="S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0" bestFit="1" customWidth="1"/>
  </cols>
  <sheetData>
    <row r="1" spans="1:12" ht="28.5" customHeight="1" x14ac:dyDescent="0.25">
      <c r="B1" s="83" t="s">
        <v>129</v>
      </c>
      <c r="C1" s="83" t="s">
        <v>155</v>
      </c>
      <c r="D1" s="83" t="s">
        <v>156</v>
      </c>
      <c r="E1" s="83" t="s">
        <v>157</v>
      </c>
      <c r="F1" s="83" t="s">
        <v>158</v>
      </c>
      <c r="G1" s="83" t="s">
        <v>162</v>
      </c>
      <c r="H1" s="83"/>
      <c r="I1" s="83"/>
    </row>
    <row r="2" spans="1:12" x14ac:dyDescent="0.25">
      <c r="B2" s="83"/>
      <c r="C2" s="83"/>
      <c r="D2" s="83"/>
      <c r="E2" s="83"/>
      <c r="F2" s="83"/>
      <c r="G2" t="s">
        <v>159</v>
      </c>
      <c r="H2" t="s">
        <v>160</v>
      </c>
      <c r="I2" t="s">
        <v>161</v>
      </c>
      <c r="L2" t="s">
        <v>129</v>
      </c>
    </row>
    <row r="3" spans="1:12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12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12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12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12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12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12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12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12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12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12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</row>
    <row r="14" spans="1:12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</row>
    <row r="15" spans="1:12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</row>
    <row r="16" spans="1:12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</row>
    <row r="17" spans="1:12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</row>
    <row r="18" spans="1:12" x14ac:dyDescent="0.25">
      <c r="A18">
        <v>2015</v>
      </c>
      <c r="B18" s="1">
        <v>255462</v>
      </c>
      <c r="K18">
        <v>2015</v>
      </c>
      <c r="L18">
        <f t="shared" si="0"/>
        <v>255462000</v>
      </c>
    </row>
    <row r="19" spans="1:12" x14ac:dyDescent="0.25">
      <c r="A19">
        <v>2016</v>
      </c>
      <c r="B19" s="33">
        <v>258705</v>
      </c>
      <c r="K19">
        <v>2016</v>
      </c>
      <c r="L19">
        <f t="shared" si="0"/>
        <v>258705000</v>
      </c>
    </row>
    <row r="20" spans="1:12" x14ac:dyDescent="0.25">
      <c r="A20">
        <v>2017</v>
      </c>
      <c r="B20" s="33">
        <v>261891</v>
      </c>
      <c r="K20">
        <v>2017</v>
      </c>
      <c r="L20">
        <f t="shared" si="0"/>
        <v>261891000</v>
      </c>
    </row>
    <row r="21" spans="1:12" x14ac:dyDescent="0.25">
      <c r="A21">
        <v>2018</v>
      </c>
      <c r="B21" s="33">
        <v>265015</v>
      </c>
      <c r="K21">
        <v>2018</v>
      </c>
      <c r="L21">
        <f t="shared" si="0"/>
        <v>265015000</v>
      </c>
    </row>
    <row r="22" spans="1:12" x14ac:dyDescent="0.25">
      <c r="A22">
        <v>2019</v>
      </c>
      <c r="K22">
        <v>2019</v>
      </c>
      <c r="L22">
        <f t="shared" si="0"/>
        <v>0</v>
      </c>
    </row>
    <row r="23" spans="1:12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76" t="s">
        <v>18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3" ht="15" customHeight="1" x14ac:dyDescent="0.25">
      <c r="A3" s="77" t="s">
        <v>0</v>
      </c>
      <c r="B3" s="77" t="s">
        <v>1</v>
      </c>
      <c r="C3" s="77" t="s">
        <v>2</v>
      </c>
      <c r="D3" s="77" t="s">
        <v>3</v>
      </c>
      <c r="E3" s="77" t="s">
        <v>4</v>
      </c>
      <c r="F3" s="77" t="s">
        <v>5</v>
      </c>
      <c r="G3" s="77"/>
      <c r="H3" s="77"/>
      <c r="I3" s="77"/>
      <c r="J3" s="77"/>
      <c r="K3" s="86" t="s">
        <v>90</v>
      </c>
      <c r="L3" s="84" t="s">
        <v>11</v>
      </c>
      <c r="M3" s="77" t="s">
        <v>12</v>
      </c>
    </row>
    <row r="4" spans="1:13" x14ac:dyDescent="0.25">
      <c r="A4" s="77"/>
      <c r="B4" s="77"/>
      <c r="C4" s="77"/>
      <c r="D4" s="77"/>
      <c r="E4" s="77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86"/>
      <c r="L4" s="85"/>
      <c r="M4" s="77"/>
    </row>
    <row r="5" spans="1:13" x14ac:dyDescent="0.25">
      <c r="A5" s="77"/>
      <c r="B5" s="76" t="s">
        <v>13</v>
      </c>
      <c r="C5" s="76"/>
      <c r="D5" s="76"/>
      <c r="E5" s="3" t="s">
        <v>14</v>
      </c>
      <c r="F5" s="81" t="s">
        <v>15</v>
      </c>
      <c r="G5" s="82"/>
      <c r="H5" s="82"/>
      <c r="I5" s="82"/>
      <c r="J5" s="82"/>
      <c r="K5" s="90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76" t="s">
        <v>18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3"/>
      <c r="AC26" t="s">
        <v>101</v>
      </c>
    </row>
    <row r="27" spans="1:38" ht="45" x14ac:dyDescent="0.25">
      <c r="A27" s="77" t="s">
        <v>0</v>
      </c>
      <c r="B27" s="77" t="s">
        <v>1</v>
      </c>
      <c r="C27" s="77" t="s">
        <v>2</v>
      </c>
      <c r="D27" s="77" t="s">
        <v>3</v>
      </c>
      <c r="E27" s="77" t="s">
        <v>4</v>
      </c>
      <c r="F27" s="77" t="s">
        <v>5</v>
      </c>
      <c r="G27" s="77"/>
      <c r="H27" s="77"/>
      <c r="I27" s="77"/>
      <c r="J27" s="77"/>
      <c r="K27" s="91" t="s">
        <v>91</v>
      </c>
      <c r="L27" s="84" t="s">
        <v>11</v>
      </c>
      <c r="M27" s="84" t="s">
        <v>12</v>
      </c>
      <c r="N27" s="84" t="s">
        <v>20</v>
      </c>
      <c r="P27" s="86" t="s">
        <v>2</v>
      </c>
      <c r="Q27" s="86" t="s">
        <v>92</v>
      </c>
      <c r="R27" s="86" t="s">
        <v>93</v>
      </c>
      <c r="S27" s="86" t="s">
        <v>12</v>
      </c>
      <c r="T27" s="86" t="s">
        <v>94</v>
      </c>
      <c r="U27" s="77" t="s">
        <v>20</v>
      </c>
      <c r="V27" s="94" t="s">
        <v>2</v>
      </c>
      <c r="W27" s="94" t="s">
        <v>92</v>
      </c>
      <c r="X27" s="94" t="s">
        <v>93</v>
      </c>
      <c r="Y27" s="94" t="s">
        <v>12</v>
      </c>
      <c r="Z27" s="94" t="s">
        <v>94</v>
      </c>
      <c r="AA27" s="93" t="s">
        <v>20</v>
      </c>
      <c r="AC27" s="86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77"/>
      <c r="B28" s="77"/>
      <c r="C28" s="77"/>
      <c r="D28" s="77"/>
      <c r="E28" s="77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92"/>
      <c r="L28" s="85"/>
      <c r="M28" s="85"/>
      <c r="N28" s="85"/>
      <c r="P28" s="86"/>
      <c r="Q28" s="86"/>
      <c r="R28" s="86"/>
      <c r="S28" s="86"/>
      <c r="T28" s="86"/>
      <c r="U28" s="77"/>
      <c r="V28" s="94"/>
      <c r="W28" s="94"/>
      <c r="X28" s="94"/>
      <c r="Y28" s="94"/>
      <c r="Z28" s="94"/>
      <c r="AA28" s="93"/>
      <c r="AC28" s="86"/>
      <c r="AE28" s="20"/>
      <c r="AG28" s="20"/>
      <c r="AI28" s="20"/>
      <c r="AK28" s="20"/>
      <c r="AL28" s="2"/>
    </row>
    <row r="29" spans="1:38" x14ac:dyDescent="0.25">
      <c r="A29" s="77"/>
      <c r="B29" s="86" t="s">
        <v>19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P29" s="77" t="s">
        <v>19</v>
      </c>
      <c r="Q29" s="77"/>
      <c r="R29" s="77"/>
      <c r="S29" s="77"/>
      <c r="T29" s="77"/>
      <c r="U29" s="77"/>
      <c r="V29" s="93" t="s">
        <v>95</v>
      </c>
      <c r="W29" s="93"/>
      <c r="X29" s="93"/>
      <c r="Y29" s="93"/>
      <c r="Z29" s="93"/>
      <c r="AA29" s="93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76" t="s">
        <v>23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</row>
    <row r="52" spans="1:13" x14ac:dyDescent="0.25">
      <c r="A52" s="77" t="s">
        <v>0</v>
      </c>
      <c r="B52" s="77" t="s">
        <v>2</v>
      </c>
      <c r="C52" s="77" t="s">
        <v>3</v>
      </c>
      <c r="D52" s="77" t="s">
        <v>4</v>
      </c>
      <c r="E52" s="87" t="s">
        <v>5</v>
      </c>
      <c r="F52" s="88"/>
      <c r="G52" s="88"/>
      <c r="H52" s="89"/>
      <c r="I52" s="77" t="s">
        <v>11</v>
      </c>
      <c r="J52" s="77" t="s">
        <v>12</v>
      </c>
      <c r="K52" s="3"/>
      <c r="L52" s="3"/>
      <c r="M52" s="3"/>
    </row>
    <row r="53" spans="1:13" x14ac:dyDescent="0.25">
      <c r="A53" s="77"/>
      <c r="B53" s="77"/>
      <c r="C53" s="77"/>
      <c r="D53" s="77"/>
      <c r="E53" s="2" t="s">
        <v>6</v>
      </c>
      <c r="F53" s="2" t="s">
        <v>22</v>
      </c>
      <c r="G53" s="2" t="s">
        <v>8</v>
      </c>
      <c r="H53" s="2" t="s">
        <v>9</v>
      </c>
      <c r="I53" s="77"/>
      <c r="J53" s="77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C27:AC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HEESI</vt:lpstr>
      <vt:lpstr>Macro dari HEESI</vt:lpstr>
      <vt:lpstr>Konsumsi Energi Nasional</vt:lpstr>
      <vt:lpstr>Energi Primer Nasional</vt:lpstr>
      <vt:lpstr>Eksploitasi Batubara</vt:lpstr>
      <vt:lpstr>Eksploitasi Minyak Bumi</vt:lpstr>
      <vt:lpstr>Eksploitasi Gas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2020-08-17T07:43:12Z</dcterms:modified>
</cp:coreProperties>
</file>