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"/>
    </mc:Choice>
  </mc:AlternateContent>
  <xr:revisionPtr revIDLastSave="0" documentId="13_ncr:1_{6CD179DA-A431-4406-A91E-E0872EF64A94}" xr6:coauthVersionLast="45" xr6:coauthVersionMax="45" xr10:uidLastSave="{00000000-0000-0000-0000-000000000000}"/>
  <bookViews>
    <workbookView minimized="1" xWindow="12570" yWindow="3600" windowWidth="13275" windowHeight="11505" tabRatio="815" activeTab="8" xr2:uid="{02F994C9-703D-4073-B38E-810FA24E22F7}"/>
  </bookViews>
  <sheets>
    <sheet name="data jabar" sheetId="20" r:id="rId1"/>
    <sheet name="data emisi jabar" sheetId="31" r:id="rId2"/>
    <sheet name="pertamina" sheetId="32" r:id="rId3"/>
    <sheet name="energi demand" sheetId="28" r:id="rId4"/>
    <sheet name="PLN" sheetId="33" r:id="rId5"/>
    <sheet name="data emisi jabar Household" sheetId="34" r:id="rId6"/>
    <sheet name="Listrik,Industri" sheetId="27" r:id="rId7"/>
    <sheet name="Fuel, Industri" sheetId="23" r:id="rId8"/>
    <sheet name="JDA Listrik,Household" sheetId="26" r:id="rId9"/>
    <sheet name="Listrik,Jabar" sheetId="29" r:id="rId10"/>
    <sheet name="Statistik Industri Besar Sedang" sheetId="21" r:id="rId11"/>
    <sheet name="Penduduk" sheetId="1" r:id="rId12"/>
    <sheet name="Tenaga Listrik" sheetId="19" r:id="rId13"/>
    <sheet name="data jabar old" sheetId="3" r:id="rId14"/>
    <sheet name="PDRB" sheetId="13" r:id="rId15"/>
    <sheet name="Listrik Per Capita" sheetId="9" r:id="rId16"/>
    <sheet name="Kendaraan" sheetId="2" r:id="rId17"/>
    <sheet name="Kendaraan-JabarDalamAngka" sheetId="30" r:id="rId18"/>
    <sheet name="Energi-Household" sheetId="4" r:id="rId19"/>
    <sheet name="Energi-Transportasi" sheetId="5" r:id="rId20"/>
    <sheet name="Sheet12" sheetId="12" r:id="rId21"/>
    <sheet name="Sheet14" sheetId="14" r:id="rId22"/>
    <sheet name="Regression" sheetId="10" r:id="rId23"/>
    <sheet name="Energi-Industri" sheetId="6" r:id="rId24"/>
    <sheet name="Energi-Komersial" sheetId="7" r:id="rId25"/>
    <sheet name="Energi-Lainnya" sheetId="8" r:id="rId26"/>
    <sheet name="Industri, 2015" sheetId="15" r:id="rId27"/>
    <sheet name="Industri, 2014" sheetId="17" r:id="rId28"/>
    <sheet name="Industri" sheetId="18" r:id="rId29"/>
    <sheet name="Kendaraan Jabar dalam Angka" sheetId="16" r:id="rId30"/>
    <sheet name="Statistik Transportasi" sheetId="25" r:id="rId31"/>
    <sheet name="data industri jabar" sheetId="22" r:id="rId32"/>
    <sheet name="konversi" sheetId="24" r:id="rId3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6" l="1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B31" i="26"/>
  <c r="B11" i="20" s="1"/>
  <c r="C11" i="20"/>
  <c r="L2" i="31" l="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Z44" i="34"/>
  <c r="AA44" i="34"/>
  <c r="AB44" i="34"/>
  <c r="AC44" i="34"/>
  <c r="AD44" i="34"/>
  <c r="AE44" i="34"/>
  <c r="AF44" i="34"/>
  <c r="L44" i="34"/>
  <c r="X4" i="34"/>
  <c r="X5" i="34"/>
  <c r="X6" i="34"/>
  <c r="X7" i="34"/>
  <c r="X8" i="34"/>
  <c r="X9" i="34"/>
  <c r="X10" i="34"/>
  <c r="X11" i="34"/>
  <c r="X12" i="34"/>
  <c r="X13" i="34"/>
  <c r="X14" i="34"/>
  <c r="X15" i="34"/>
  <c r="X16" i="34"/>
  <c r="X1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Z43" i="34"/>
  <c r="AA43" i="34"/>
  <c r="AB43" i="34"/>
  <c r="AC43" i="34"/>
  <c r="AD43" i="34"/>
  <c r="AE43" i="34"/>
  <c r="AF43" i="34"/>
  <c r="AE36" i="34"/>
  <c r="AF36" i="34"/>
  <c r="AE37" i="34"/>
  <c r="AF37" i="34"/>
  <c r="AE38" i="34"/>
  <c r="AF38" i="34"/>
  <c r="AE39" i="34"/>
  <c r="AE28" i="20" s="1"/>
  <c r="AF39" i="34"/>
  <c r="AF28" i="20" s="1"/>
  <c r="AE40" i="34"/>
  <c r="AF40" i="34"/>
  <c r="AE41" i="34"/>
  <c r="AE30" i="20" s="1"/>
  <c r="AF41" i="34"/>
  <c r="AF30" i="20" s="1"/>
  <c r="AE42" i="34"/>
  <c r="AF42" i="34"/>
  <c r="W36" i="34"/>
  <c r="X36" i="34"/>
  <c r="Y36" i="34"/>
  <c r="Z36" i="34"/>
  <c r="AA36" i="34"/>
  <c r="AB36" i="34"/>
  <c r="AC36" i="34"/>
  <c r="AD36" i="34"/>
  <c r="W37" i="34"/>
  <c r="X37" i="34"/>
  <c r="Y37" i="34"/>
  <c r="Z37" i="34"/>
  <c r="AA37" i="34"/>
  <c r="AB37" i="34"/>
  <c r="AC37" i="34"/>
  <c r="AD37" i="34"/>
  <c r="W38" i="34"/>
  <c r="X38" i="34"/>
  <c r="Y38" i="34"/>
  <c r="Z38" i="34"/>
  <c r="AA38" i="34"/>
  <c r="AB38" i="34"/>
  <c r="AC38" i="34"/>
  <c r="AD38" i="34"/>
  <c r="W39" i="34"/>
  <c r="X39" i="34"/>
  <c r="Y39" i="34"/>
  <c r="Y28" i="20" s="1"/>
  <c r="Z39" i="34"/>
  <c r="Z28" i="20" s="1"/>
  <c r="AA39" i="34"/>
  <c r="AB39" i="34"/>
  <c r="AC39" i="34"/>
  <c r="AC28" i="20" s="1"/>
  <c r="AD39" i="34"/>
  <c r="AD28" i="20" s="1"/>
  <c r="W40" i="34"/>
  <c r="X40" i="34"/>
  <c r="Y40" i="34"/>
  <c r="Z40" i="34"/>
  <c r="AA40" i="34"/>
  <c r="AB40" i="34"/>
  <c r="AC40" i="34"/>
  <c r="AD40" i="34"/>
  <c r="W41" i="34"/>
  <c r="X41" i="34"/>
  <c r="Y41" i="34"/>
  <c r="Y30" i="20" s="1"/>
  <c r="Z41" i="34"/>
  <c r="Z30" i="20" s="1"/>
  <c r="AA41" i="34"/>
  <c r="AB41" i="34"/>
  <c r="AC41" i="34"/>
  <c r="AC30" i="20" s="1"/>
  <c r="AD41" i="34"/>
  <c r="AD30" i="20" s="1"/>
  <c r="W42" i="34"/>
  <c r="X42" i="34"/>
  <c r="Y42" i="34"/>
  <c r="Z42" i="34"/>
  <c r="AA42" i="34"/>
  <c r="AB42" i="34"/>
  <c r="AC42" i="34"/>
  <c r="AD42" i="34"/>
  <c r="W27" i="20"/>
  <c r="X27" i="20"/>
  <c r="Y27" i="20"/>
  <c r="Z27" i="20"/>
  <c r="AA27" i="20"/>
  <c r="AB27" i="20"/>
  <c r="AC27" i="20"/>
  <c r="AD27" i="20"/>
  <c r="AE27" i="20"/>
  <c r="AF27" i="20"/>
  <c r="W28" i="20"/>
  <c r="X28" i="20"/>
  <c r="AA28" i="20"/>
  <c r="AB28" i="20"/>
  <c r="W29" i="20"/>
  <c r="X29" i="20"/>
  <c r="Y29" i="20"/>
  <c r="Z29" i="20"/>
  <c r="AA29" i="20"/>
  <c r="AB29" i="20"/>
  <c r="AC29" i="20"/>
  <c r="AD29" i="20"/>
  <c r="AE29" i="20"/>
  <c r="AF29" i="20"/>
  <c r="W30" i="20"/>
  <c r="X30" i="20"/>
  <c r="AA30" i="20"/>
  <c r="AB30" i="20"/>
  <c r="W31" i="20"/>
  <c r="X31" i="20"/>
  <c r="Y31" i="20"/>
  <c r="Z31" i="20"/>
  <c r="AA31" i="20"/>
  <c r="AB31" i="20"/>
  <c r="AC31" i="20"/>
  <c r="AD31" i="20"/>
  <c r="AE31" i="20"/>
  <c r="AF31" i="20"/>
  <c r="L31" i="20" l="1"/>
  <c r="M31" i="20"/>
  <c r="N31" i="20"/>
  <c r="O31" i="20"/>
  <c r="P31" i="20"/>
  <c r="Q31" i="20"/>
  <c r="R31" i="20"/>
  <c r="S31" i="20"/>
  <c r="T31" i="20"/>
  <c r="U31" i="20"/>
  <c r="V31" i="20"/>
  <c r="L42" i="34"/>
  <c r="M42" i="34"/>
  <c r="N42" i="34"/>
  <c r="O42" i="34"/>
  <c r="P42" i="34"/>
  <c r="Q42" i="34"/>
  <c r="R42" i="34"/>
  <c r="S42" i="34"/>
  <c r="T42" i="34"/>
  <c r="U42" i="34"/>
  <c r="V42" i="34"/>
  <c r="V33" i="34"/>
  <c r="W33" i="34" s="1"/>
  <c r="V32" i="34"/>
  <c r="W32" i="34" s="1"/>
  <c r="W31" i="34"/>
  <c r="V31" i="34"/>
  <c r="V30" i="34"/>
  <c r="W30" i="34" s="1"/>
  <c r="W29" i="34"/>
  <c r="V29" i="34"/>
  <c r="V28" i="34"/>
  <c r="W28" i="34" s="1"/>
  <c r="W27" i="34"/>
  <c r="V27" i="34"/>
  <c r="V26" i="34"/>
  <c r="W26" i="34" s="1"/>
  <c r="W25" i="34"/>
  <c r="V25" i="34"/>
  <c r="V24" i="34"/>
  <c r="W24" i="34" s="1"/>
  <c r="W23" i="34"/>
  <c r="V23" i="34"/>
  <c r="V22" i="34"/>
  <c r="W22" i="34" s="1"/>
  <c r="W21" i="34"/>
  <c r="V21" i="34"/>
  <c r="V20" i="34"/>
  <c r="W20" i="34" s="1"/>
  <c r="W19" i="34"/>
  <c r="V19" i="34"/>
  <c r="V18" i="34"/>
  <c r="W18" i="34" s="1"/>
  <c r="W17" i="34"/>
  <c r="V17" i="34"/>
  <c r="V16" i="34"/>
  <c r="W16" i="34" s="1"/>
  <c r="W15" i="34"/>
  <c r="V15" i="34"/>
  <c r="V14" i="34"/>
  <c r="W14" i="34" s="1"/>
  <c r="W13" i="34"/>
  <c r="V13" i="34"/>
  <c r="L29" i="20" l="1"/>
  <c r="M29" i="20"/>
  <c r="N29" i="20"/>
  <c r="O29" i="20"/>
  <c r="P29" i="20"/>
  <c r="Q29" i="20"/>
  <c r="R29" i="20"/>
  <c r="S29" i="20"/>
  <c r="T29" i="20"/>
  <c r="U29" i="20"/>
  <c r="V29" i="20"/>
  <c r="L30" i="20"/>
  <c r="M30" i="20"/>
  <c r="N30" i="20"/>
  <c r="O30" i="20"/>
  <c r="P30" i="20"/>
  <c r="Q30" i="20"/>
  <c r="R30" i="20"/>
  <c r="S30" i="20"/>
  <c r="T30" i="20"/>
  <c r="U30" i="20"/>
  <c r="V30" i="20"/>
  <c r="L40" i="34"/>
  <c r="M40" i="34"/>
  <c r="N40" i="34"/>
  <c r="O40" i="34"/>
  <c r="P40" i="34"/>
  <c r="Q40" i="34"/>
  <c r="R40" i="34"/>
  <c r="S40" i="34"/>
  <c r="T40" i="34"/>
  <c r="U40" i="34"/>
  <c r="V40" i="34"/>
  <c r="L41" i="34"/>
  <c r="M41" i="34"/>
  <c r="N41" i="34"/>
  <c r="O41" i="34"/>
  <c r="P41" i="34"/>
  <c r="Q41" i="34"/>
  <c r="R41" i="34"/>
  <c r="S41" i="34"/>
  <c r="T41" i="34"/>
  <c r="U41" i="34"/>
  <c r="V41" i="34"/>
  <c r="P4" i="34"/>
  <c r="Q4" i="34"/>
  <c r="P5" i="34"/>
  <c r="Q5" i="34"/>
  <c r="P6" i="34"/>
  <c r="Q6" i="34"/>
  <c r="P7" i="34"/>
  <c r="Q7" i="34"/>
  <c r="P8" i="34"/>
  <c r="Q8" i="34"/>
  <c r="P9" i="34"/>
  <c r="Q9" i="34"/>
  <c r="P10" i="34"/>
  <c r="Q10" i="34"/>
  <c r="P11" i="34"/>
  <c r="Q11" i="34"/>
  <c r="P12" i="34"/>
  <c r="Q12" i="34"/>
  <c r="P13" i="34"/>
  <c r="Q13" i="34"/>
  <c r="P14" i="34"/>
  <c r="Q14" i="34"/>
  <c r="P15" i="34"/>
  <c r="Q15" i="34"/>
  <c r="P16" i="34"/>
  <c r="Q16" i="34"/>
  <c r="P17" i="34"/>
  <c r="Q17" i="34"/>
  <c r="P18" i="34"/>
  <c r="Q18" i="34"/>
  <c r="P19" i="34"/>
  <c r="Q19" i="34"/>
  <c r="P20" i="34"/>
  <c r="Q20" i="34"/>
  <c r="P21" i="34"/>
  <c r="Q21" i="34"/>
  <c r="P22" i="34"/>
  <c r="Q22" i="34"/>
  <c r="P23" i="34"/>
  <c r="Q23" i="34"/>
  <c r="P24" i="34"/>
  <c r="Q24" i="34"/>
  <c r="P25" i="34"/>
  <c r="Q25" i="34"/>
  <c r="P26" i="34"/>
  <c r="Q26" i="34"/>
  <c r="P27" i="34"/>
  <c r="Q27" i="34"/>
  <c r="P28" i="34"/>
  <c r="Q28" i="34"/>
  <c r="P29" i="34"/>
  <c r="Q29" i="34"/>
  <c r="P30" i="34"/>
  <c r="Q30" i="34"/>
  <c r="P31" i="34"/>
  <c r="Q31" i="34"/>
  <c r="P32" i="34"/>
  <c r="Q32" i="34"/>
  <c r="P33" i="34"/>
  <c r="Q33" i="34"/>
  <c r="Q3" i="34"/>
  <c r="P3" i="34"/>
  <c r="L27" i="20"/>
  <c r="L28" i="20" l="1"/>
  <c r="M28" i="20"/>
  <c r="N28" i="20"/>
  <c r="O28" i="20"/>
  <c r="P28" i="20"/>
  <c r="Q28" i="20"/>
  <c r="R28" i="20"/>
  <c r="S28" i="20"/>
  <c r="T28" i="20"/>
  <c r="U28" i="20"/>
  <c r="V28" i="20"/>
  <c r="M27" i="20"/>
  <c r="N27" i="20"/>
  <c r="O27" i="20"/>
  <c r="P27" i="20"/>
  <c r="Q27" i="20"/>
  <c r="R27" i="20"/>
  <c r="S27" i="20"/>
  <c r="T27" i="20"/>
  <c r="U27" i="20"/>
  <c r="V27" i="20"/>
  <c r="L39" i="34"/>
  <c r="M39" i="34"/>
  <c r="N39" i="34"/>
  <c r="O39" i="34"/>
  <c r="P39" i="34"/>
  <c r="Q39" i="34"/>
  <c r="R39" i="34"/>
  <c r="S39" i="34"/>
  <c r="T39" i="34"/>
  <c r="U39" i="34"/>
  <c r="V39" i="34"/>
  <c r="L38" i="34"/>
  <c r="M38" i="34"/>
  <c r="N38" i="34"/>
  <c r="O38" i="34"/>
  <c r="P38" i="34"/>
  <c r="Q38" i="34"/>
  <c r="R38" i="34"/>
  <c r="S38" i="34"/>
  <c r="T38" i="34"/>
  <c r="U38" i="34"/>
  <c r="V38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B37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B36" i="34"/>
  <c r="M11" i="34"/>
  <c r="M10" i="34" s="1"/>
  <c r="M9" i="34" s="1"/>
  <c r="M8" i="34" s="1"/>
  <c r="M7" i="34" s="1"/>
  <c r="M6" i="34" s="1"/>
  <c r="M5" i="34" s="1"/>
  <c r="M4" i="34" s="1"/>
  <c r="M3" i="34" s="1"/>
  <c r="M12" i="34"/>
  <c r="O13" i="34"/>
  <c r="M14" i="34"/>
  <c r="M15" i="34"/>
  <c r="M16" i="34"/>
  <c r="M17" i="34"/>
  <c r="M18" i="34"/>
  <c r="M19" i="34"/>
  <c r="M20" i="34"/>
  <c r="M21" i="34"/>
  <c r="M22" i="34"/>
  <c r="M23" i="34"/>
  <c r="M13" i="34"/>
  <c r="E7" i="20" l="1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C7" i="20"/>
  <c r="D7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I27" i="27"/>
  <c r="K2" i="27"/>
  <c r="C12" i="20" l="1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3" i="20"/>
  <c r="B12" i="20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D37" i="1"/>
  <c r="C37" i="1"/>
  <c r="D19" i="1" l="1"/>
  <c r="D18" i="1"/>
  <c r="D17" i="1"/>
  <c r="D16" i="1"/>
  <c r="D13" i="1"/>
  <c r="D12" i="1"/>
  <c r="D11" i="1"/>
  <c r="D10" i="1"/>
  <c r="D9" i="1"/>
  <c r="D8" i="1"/>
  <c r="D7" i="1"/>
  <c r="D6" i="1"/>
  <c r="D5" i="1"/>
  <c r="D3" i="1"/>
  <c r="F13" i="34"/>
  <c r="G13" i="34" s="1"/>
  <c r="F14" i="34"/>
  <c r="F15" i="34"/>
  <c r="G15" i="34" s="1"/>
  <c r="F16" i="34"/>
  <c r="G16" i="34" s="1"/>
  <c r="F17" i="34"/>
  <c r="G17" i="34" s="1"/>
  <c r="F18" i="34"/>
  <c r="F19" i="34"/>
  <c r="F20" i="34"/>
  <c r="G20" i="34" s="1"/>
  <c r="F21" i="34"/>
  <c r="F22" i="34"/>
  <c r="F23" i="34"/>
  <c r="F3" i="34"/>
  <c r="F8" i="1"/>
  <c r="F8" i="34" s="1"/>
  <c r="F13" i="1"/>
  <c r="F14" i="1"/>
  <c r="F15" i="1"/>
  <c r="F16" i="1"/>
  <c r="F17" i="1"/>
  <c r="F18" i="1"/>
  <c r="F19" i="1"/>
  <c r="F20" i="1"/>
  <c r="F21" i="1"/>
  <c r="F22" i="1"/>
  <c r="F23" i="1"/>
  <c r="F3" i="1"/>
  <c r="C12" i="1"/>
  <c r="C11" i="1" s="1"/>
  <c r="C10" i="1" s="1"/>
  <c r="C9" i="1" s="1"/>
  <c r="C8" i="1" s="1"/>
  <c r="C7" i="1" s="1"/>
  <c r="C6" i="1" s="1"/>
  <c r="C5" i="1" s="1"/>
  <c r="C4" i="1" s="1"/>
  <c r="F4" i="1" s="1"/>
  <c r="F4" i="34" s="1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" i="34"/>
  <c r="T7" i="33"/>
  <c r="T6" i="33"/>
  <c r="T18" i="33"/>
  <c r="T20" i="33" s="1"/>
  <c r="T17" i="33"/>
  <c r="T16" i="33"/>
  <c r="G14" i="34" l="1"/>
  <c r="G18" i="34"/>
  <c r="F7" i="1"/>
  <c r="F7" i="34" s="1"/>
  <c r="G19" i="34"/>
  <c r="F12" i="1"/>
  <c r="F12" i="34" s="1"/>
  <c r="F11" i="1"/>
  <c r="F11" i="34" s="1"/>
  <c r="F10" i="1"/>
  <c r="F10" i="34" s="1"/>
  <c r="F6" i="1"/>
  <c r="F6" i="34" s="1"/>
  <c r="G23" i="34"/>
  <c r="I13" i="34" s="1"/>
  <c r="G12" i="34" s="1"/>
  <c r="G11" i="34" s="1"/>
  <c r="G10" i="34" s="1"/>
  <c r="G9" i="34" s="1"/>
  <c r="G8" i="34" s="1"/>
  <c r="G7" i="34" s="1"/>
  <c r="G6" i="34" s="1"/>
  <c r="G5" i="34" s="1"/>
  <c r="G4" i="34" s="1"/>
  <c r="G3" i="34" s="1"/>
  <c r="G21" i="34"/>
  <c r="F9" i="1"/>
  <c r="F9" i="34" s="1"/>
  <c r="F5" i="1"/>
  <c r="F5" i="34" s="1"/>
  <c r="G22" i="34"/>
  <c r="T19" i="33"/>
  <c r="T8" i="33"/>
  <c r="T21" i="33"/>
  <c r="E10" i="20" l="1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D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J20" i="20"/>
  <c r="K20" i="20"/>
  <c r="L20" i="20"/>
  <c r="I20" i="20"/>
  <c r="J6" i="32"/>
  <c r="K6" i="32"/>
  <c r="L6" i="32"/>
  <c r="M6" i="32"/>
  <c r="M20" i="20" s="1"/>
  <c r="I6" i="32"/>
  <c r="E4" i="26" l="1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3" i="26"/>
  <c r="K3" i="27" l="1"/>
  <c r="J21" i="27"/>
  <c r="K21" i="27" s="1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" i="27"/>
  <c r="G2" i="27"/>
  <c r="G3" i="27"/>
  <c r="G4" i="27"/>
  <c r="G5" i="27"/>
  <c r="G6" i="27"/>
  <c r="G7" i="27"/>
  <c r="G8" i="27"/>
  <c r="G9" i="27"/>
  <c r="G10" i="27"/>
  <c r="E2" i="27"/>
  <c r="F2" i="27" s="1"/>
  <c r="E3" i="27"/>
  <c r="F3" i="27" s="1"/>
  <c r="E4" i="27"/>
  <c r="F4" i="27" s="1"/>
  <c r="E5" i="27"/>
  <c r="F5" i="27" s="1"/>
  <c r="E6" i="27"/>
  <c r="F6" i="27" s="1"/>
  <c r="E7" i="27"/>
  <c r="F7" i="27" s="1"/>
  <c r="E8" i="27"/>
  <c r="F8" i="27" s="1"/>
  <c r="E9" i="27"/>
  <c r="F9" i="27" s="1"/>
  <c r="E10" i="27"/>
  <c r="F10" i="27" s="1"/>
  <c r="C75" i="30"/>
  <c r="B75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54" i="30"/>
  <c r="P24" i="30"/>
  <c r="G28" i="30"/>
  <c r="G29" i="30"/>
  <c r="G30" i="30"/>
  <c r="I3" i="30"/>
  <c r="I4" i="30"/>
  <c r="I5" i="30"/>
  <c r="H3" i="30"/>
  <c r="H4" i="30"/>
  <c r="H5" i="30"/>
  <c r="F64" i="30"/>
  <c r="F63" i="30"/>
  <c r="F71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I31" i="30"/>
  <c r="F57" i="30" s="1"/>
  <c r="I32" i="30"/>
  <c r="F58" i="30" s="1"/>
  <c r="I33" i="30"/>
  <c r="I34" i="30"/>
  <c r="F60" i="30" s="1"/>
  <c r="I37" i="30"/>
  <c r="I38" i="30"/>
  <c r="I39" i="30"/>
  <c r="F65" i="30" s="1"/>
  <c r="I40" i="30"/>
  <c r="F66" i="30" s="1"/>
  <c r="I41" i="30"/>
  <c r="I42" i="30"/>
  <c r="I45" i="30"/>
  <c r="I47" i="30"/>
  <c r="F73" i="30" s="1"/>
  <c r="I48" i="30"/>
  <c r="F74" i="30" s="1"/>
  <c r="H32" i="30"/>
  <c r="E58" i="30" s="1"/>
  <c r="H39" i="30"/>
  <c r="E65" i="30" s="1"/>
  <c r="G31" i="30"/>
  <c r="G32" i="30"/>
  <c r="G33" i="30"/>
  <c r="G34" i="30"/>
  <c r="G35" i="30"/>
  <c r="I35" i="30" s="1"/>
  <c r="G36" i="30"/>
  <c r="I36" i="30" s="1"/>
  <c r="F62" i="30" s="1"/>
  <c r="G37" i="30"/>
  <c r="G38" i="30"/>
  <c r="G39" i="30"/>
  <c r="G40" i="30"/>
  <c r="G41" i="30"/>
  <c r="G42" i="30"/>
  <c r="G43" i="30"/>
  <c r="I43" i="30" s="1"/>
  <c r="G44" i="30"/>
  <c r="I44" i="30" s="1"/>
  <c r="F70" i="30" s="1"/>
  <c r="G45" i="30"/>
  <c r="G46" i="30"/>
  <c r="I46" i="30" s="1"/>
  <c r="F72" i="30" s="1"/>
  <c r="G47" i="30"/>
  <c r="G48" i="30"/>
  <c r="F29" i="30"/>
  <c r="F30" i="30"/>
  <c r="F31" i="30"/>
  <c r="H31" i="30" s="1"/>
  <c r="E57" i="30" s="1"/>
  <c r="F32" i="30"/>
  <c r="F33" i="30"/>
  <c r="H33" i="30" s="1"/>
  <c r="F34" i="30"/>
  <c r="H34" i="30" s="1"/>
  <c r="F35" i="30"/>
  <c r="H35" i="30" s="1"/>
  <c r="F36" i="30"/>
  <c r="H36" i="30" s="1"/>
  <c r="E62" i="30" s="1"/>
  <c r="F37" i="30"/>
  <c r="H37" i="30" s="1"/>
  <c r="E63" i="30" s="1"/>
  <c r="F38" i="30"/>
  <c r="H38" i="30" s="1"/>
  <c r="F39" i="30"/>
  <c r="F40" i="30"/>
  <c r="H40" i="30" s="1"/>
  <c r="E66" i="30" s="1"/>
  <c r="F41" i="30"/>
  <c r="H41" i="30" s="1"/>
  <c r="F42" i="30"/>
  <c r="H42" i="30" s="1"/>
  <c r="F43" i="30"/>
  <c r="H43" i="30" s="1"/>
  <c r="F44" i="30"/>
  <c r="H44" i="30" s="1"/>
  <c r="E70" i="30" s="1"/>
  <c r="F45" i="30"/>
  <c r="H45" i="30" s="1"/>
  <c r="E71" i="30" s="1"/>
  <c r="F46" i="30"/>
  <c r="H46" i="30" s="1"/>
  <c r="F47" i="30"/>
  <c r="H47" i="30" s="1"/>
  <c r="B73" i="30" s="1"/>
  <c r="E73" i="30" s="1"/>
  <c r="F48" i="30"/>
  <c r="H48" i="30" s="1"/>
  <c r="B74" i="30" s="1"/>
  <c r="E74" i="30" s="1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C29" i="30"/>
  <c r="I29" i="30" s="1"/>
  <c r="C30" i="30"/>
  <c r="I30" i="30" s="1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B29" i="30"/>
  <c r="H29" i="30" s="1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Q28" i="30"/>
  <c r="P28" i="30"/>
  <c r="M28" i="30"/>
  <c r="L28" i="30"/>
  <c r="K28" i="30"/>
  <c r="J28" i="30"/>
  <c r="I28" i="30"/>
  <c r="H28" i="30"/>
  <c r="F28" i="30"/>
  <c r="E28" i="30"/>
  <c r="D28" i="30"/>
  <c r="C28" i="30"/>
  <c r="B28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I6" i="30"/>
  <c r="H6" i="30"/>
  <c r="G4" i="2"/>
  <c r="G5" i="2"/>
  <c r="G6" i="2"/>
  <c r="G7" i="2"/>
  <c r="G8" i="2"/>
  <c r="G9" i="2"/>
  <c r="G10" i="2"/>
  <c r="G11" i="2"/>
  <c r="G12" i="2"/>
  <c r="G13" i="2"/>
  <c r="G14" i="2"/>
  <c r="G15" i="2"/>
  <c r="G3" i="2"/>
  <c r="G16" i="2"/>
  <c r="H3" i="2"/>
  <c r="F59" i="30" l="1"/>
  <c r="F68" i="30"/>
  <c r="F69" i="30"/>
  <c r="F67" i="30"/>
  <c r="F61" i="30"/>
  <c r="E72" i="30"/>
  <c r="E64" i="30"/>
  <c r="E61" i="30"/>
  <c r="E68" i="30"/>
  <c r="E60" i="30"/>
  <c r="E69" i="30"/>
  <c r="E67" i="30"/>
  <c r="E59" i="30"/>
  <c r="E55" i="30"/>
  <c r="E54" i="30"/>
  <c r="F56" i="30"/>
  <c r="F55" i="30"/>
  <c r="F54" i="30"/>
  <c r="H30" i="30"/>
  <c r="E56" i="30" s="1"/>
  <c r="H11" i="27"/>
  <c r="H12" i="27"/>
  <c r="H13" i="27"/>
  <c r="H14" i="27"/>
  <c r="H15" i="27"/>
  <c r="H16" i="27"/>
  <c r="H17" i="27"/>
  <c r="H19" i="27"/>
  <c r="H20" i="27"/>
  <c r="I25" i="27"/>
  <c r="C2" i="28"/>
  <c r="C3" i="28"/>
  <c r="C4" i="28"/>
  <c r="C5" i="28"/>
  <c r="C6" i="28"/>
  <c r="C7" i="28"/>
  <c r="C8" i="28"/>
  <c r="C9" i="28"/>
  <c r="C10" i="28"/>
  <c r="C11" i="28"/>
  <c r="D13" i="28"/>
  <c r="D14" i="28"/>
  <c r="D15" i="28"/>
  <c r="D16" i="28"/>
  <c r="D17" i="28"/>
  <c r="D18" i="28"/>
  <c r="D19" i="28"/>
  <c r="D20" i="28"/>
  <c r="D12" i="28"/>
  <c r="C13" i="28"/>
  <c r="C14" i="28"/>
  <c r="C15" i="28"/>
  <c r="C16" i="28"/>
  <c r="C17" i="28"/>
  <c r="C18" i="28"/>
  <c r="C19" i="28"/>
  <c r="C20" i="28"/>
  <c r="C12" i="28"/>
  <c r="C31" i="23"/>
  <c r="D31" i="23"/>
  <c r="B31" i="23"/>
  <c r="B21" i="28"/>
  <c r="B22" i="28"/>
  <c r="E10" i="29"/>
  <c r="E9" i="29"/>
  <c r="E8" i="29"/>
  <c r="E7" i="29"/>
  <c r="E6" i="29"/>
  <c r="E5" i="29"/>
  <c r="E4" i="29"/>
  <c r="E3" i="29"/>
  <c r="F12" i="27"/>
  <c r="B12" i="28" s="1"/>
  <c r="E12" i="27"/>
  <c r="E13" i="27"/>
  <c r="F13" i="27" s="1"/>
  <c r="B13" i="28" s="1"/>
  <c r="E14" i="27"/>
  <c r="F14" i="27" s="1"/>
  <c r="B14" i="28" s="1"/>
  <c r="E15" i="27"/>
  <c r="F15" i="27" s="1"/>
  <c r="B15" i="28" s="1"/>
  <c r="E16" i="27"/>
  <c r="F16" i="27" s="1"/>
  <c r="B16" i="28" s="1"/>
  <c r="E17" i="27"/>
  <c r="F17" i="27" s="1"/>
  <c r="B17" i="28" s="1"/>
  <c r="E18" i="27"/>
  <c r="F18" i="27" s="1"/>
  <c r="E19" i="27"/>
  <c r="F19" i="27" s="1"/>
  <c r="B19" i="28" s="1"/>
  <c r="E20" i="27"/>
  <c r="F20" i="27" s="1"/>
  <c r="B20" i="28" s="1"/>
  <c r="E20" i="28" s="1"/>
  <c r="E11" i="27"/>
  <c r="F11" i="27" s="1"/>
  <c r="G13" i="28" l="1"/>
  <c r="F26" i="23"/>
  <c r="G16" i="28"/>
  <c r="F29" i="23"/>
  <c r="F16" i="28"/>
  <c r="F17" i="28"/>
  <c r="E17" i="28"/>
  <c r="F30" i="23"/>
  <c r="F12" i="28"/>
  <c r="F25" i="23"/>
  <c r="F15" i="28"/>
  <c r="F28" i="23"/>
  <c r="E15" i="28"/>
  <c r="E19" i="28"/>
  <c r="F32" i="23"/>
  <c r="G14" i="28"/>
  <c r="F27" i="23"/>
  <c r="F14" i="28"/>
  <c r="E16" i="28"/>
  <c r="F13" i="28"/>
  <c r="E14" i="28"/>
  <c r="G17" i="28"/>
  <c r="E13" i="28"/>
  <c r="G15" i="28"/>
  <c r="G12" i="28"/>
  <c r="H12" i="28" s="1"/>
  <c r="E12" i="28"/>
  <c r="G28" i="23" l="1"/>
  <c r="H28" i="23"/>
  <c r="I28" i="23"/>
  <c r="I29" i="23"/>
  <c r="G29" i="23"/>
  <c r="H29" i="23"/>
  <c r="I27" i="23"/>
  <c r="G27" i="23"/>
  <c r="J27" i="23" s="1"/>
  <c r="H27" i="23"/>
  <c r="H30" i="23"/>
  <c r="I30" i="23"/>
  <c r="G30" i="23"/>
  <c r="H32" i="23"/>
  <c r="G32" i="23"/>
  <c r="I32" i="23"/>
  <c r="H25" i="23"/>
  <c r="I25" i="23"/>
  <c r="G25" i="23"/>
  <c r="G26" i="23"/>
  <c r="H26" i="23"/>
  <c r="I26" i="23"/>
  <c r="I2" i="27"/>
  <c r="I3" i="27"/>
  <c r="I4" i="27"/>
  <c r="I5" i="27"/>
  <c r="I6" i="27"/>
  <c r="I7" i="27"/>
  <c r="I8" i="27"/>
  <c r="I9" i="27"/>
  <c r="I10" i="27"/>
  <c r="M12" i="27"/>
  <c r="N12" i="27" s="1"/>
  <c r="M13" i="27"/>
  <c r="N13" i="27" s="1"/>
  <c r="M14" i="27"/>
  <c r="N14" i="27" s="1"/>
  <c r="M15" i="27"/>
  <c r="N15" i="27" s="1"/>
  <c r="M16" i="27"/>
  <c r="N16" i="27" s="1"/>
  <c r="M17" i="27"/>
  <c r="N17" i="27" s="1"/>
  <c r="M18" i="27"/>
  <c r="N18" i="27" s="1"/>
  <c r="M11" i="27"/>
  <c r="N11" i="27" s="1"/>
  <c r="L16" i="27"/>
  <c r="I12" i="27"/>
  <c r="L12" i="27" s="1"/>
  <c r="I13" i="27"/>
  <c r="L13" i="27" s="1"/>
  <c r="I14" i="27"/>
  <c r="L14" i="27" s="1"/>
  <c r="I15" i="27"/>
  <c r="L15" i="27" s="1"/>
  <c r="I16" i="27"/>
  <c r="I17" i="27"/>
  <c r="L17" i="27" s="1"/>
  <c r="I18" i="27"/>
  <c r="L18" i="27" s="1"/>
  <c r="I19" i="27"/>
  <c r="L19" i="27" s="1"/>
  <c r="I20" i="27"/>
  <c r="L20" i="27" s="1"/>
  <c r="I11" i="27"/>
  <c r="L11" i="27" s="1"/>
  <c r="B27" i="26"/>
  <c r="D4" i="26" s="1"/>
  <c r="D3" i="26" s="1"/>
  <c r="J29" i="23" l="1"/>
  <c r="J30" i="23"/>
  <c r="J26" i="23"/>
  <c r="J25" i="23"/>
  <c r="J32" i="23"/>
  <c r="J28" i="23"/>
  <c r="I24" i="27"/>
  <c r="N10" i="27" s="1"/>
  <c r="N9" i="27" s="1"/>
  <c r="N8" i="27" s="1"/>
  <c r="N7" i="27" s="1"/>
  <c r="N6" i="27" s="1"/>
  <c r="N5" i="27" s="1"/>
  <c r="N4" i="27" s="1"/>
  <c r="N3" i="27" s="1"/>
  <c r="N2" i="27" s="1"/>
  <c r="I23" i="27"/>
  <c r="G11" i="27"/>
  <c r="G12" i="27"/>
  <c r="G13" i="27"/>
  <c r="G14" i="27"/>
  <c r="G15" i="27"/>
  <c r="G16" i="27"/>
  <c r="G17" i="27"/>
  <c r="G19" i="27"/>
  <c r="G20" i="27"/>
  <c r="B26" i="26"/>
  <c r="B25" i="26"/>
  <c r="B4" i="26" s="1"/>
  <c r="B3" i="26" s="1"/>
  <c r="F21" i="26"/>
  <c r="B28" i="26" s="1"/>
  <c r="F4" i="26" s="1"/>
  <c r="F3" i="26" s="1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C26" i="1"/>
  <c r="C25" i="1"/>
  <c r="F24" i="26" l="1"/>
  <c r="G18" i="27"/>
  <c r="C18" i="27" s="1"/>
  <c r="H18" i="27" s="1"/>
  <c r="H26" i="27" s="1"/>
  <c r="C3" i="26"/>
  <c r="C4" i="26"/>
  <c r="F3" i="25"/>
  <c r="F4" i="25"/>
  <c r="F5" i="25"/>
  <c r="F6" i="25"/>
  <c r="F2" i="25"/>
  <c r="J14" i="23"/>
  <c r="J15" i="23"/>
  <c r="J16" i="23"/>
  <c r="J17" i="23"/>
  <c r="J18" i="23"/>
  <c r="J19" i="23"/>
  <c r="J20" i="23"/>
  <c r="J13" i="23"/>
  <c r="C38" i="24"/>
  <c r="D26" i="23"/>
  <c r="D27" i="23"/>
  <c r="D28" i="23"/>
  <c r="D29" i="23"/>
  <c r="D30" i="23"/>
  <c r="D32" i="23"/>
  <c r="D25" i="23"/>
  <c r="C31" i="24"/>
  <c r="C35" i="24"/>
  <c r="C26" i="23"/>
  <c r="C27" i="23"/>
  <c r="C28" i="23"/>
  <c r="C29" i="23"/>
  <c r="C30" i="23"/>
  <c r="C32" i="23"/>
  <c r="C25" i="23"/>
  <c r="B26" i="23"/>
  <c r="B27" i="23"/>
  <c r="B28" i="23"/>
  <c r="B29" i="23"/>
  <c r="B30" i="23"/>
  <c r="B32" i="23"/>
  <c r="B25" i="23"/>
  <c r="C27" i="24"/>
  <c r="C23" i="24"/>
  <c r="D19" i="24"/>
  <c r="C19" i="24"/>
  <c r="E31" i="23"/>
  <c r="B18" i="28" s="1"/>
  <c r="F31" i="23" s="1"/>
  <c r="E15" i="23"/>
  <c r="E16" i="23"/>
  <c r="E17" i="23"/>
  <c r="E18" i="23"/>
  <c r="E19" i="23"/>
  <c r="E20" i="23"/>
  <c r="E21" i="23"/>
  <c r="D15" i="23"/>
  <c r="D16" i="23"/>
  <c r="D17" i="23"/>
  <c r="D18" i="23"/>
  <c r="D19" i="23"/>
  <c r="D20" i="23"/>
  <c r="D21" i="23"/>
  <c r="C15" i="23"/>
  <c r="C16" i="23"/>
  <c r="C17" i="23"/>
  <c r="C18" i="23"/>
  <c r="C19" i="23"/>
  <c r="C20" i="23"/>
  <c r="C21" i="23"/>
  <c r="B15" i="23"/>
  <c r="B16" i="23"/>
  <c r="B17" i="23"/>
  <c r="B18" i="23"/>
  <c r="B19" i="23"/>
  <c r="B20" i="23"/>
  <c r="B21" i="23"/>
  <c r="E14" i="23"/>
  <c r="D14" i="23"/>
  <c r="C14" i="23"/>
  <c r="B14" i="23"/>
  <c r="E26" i="23"/>
  <c r="E27" i="23"/>
  <c r="E28" i="23"/>
  <c r="E29" i="23"/>
  <c r="E30" i="23"/>
  <c r="E32" i="23"/>
  <c r="E25" i="23"/>
  <c r="C15" i="24"/>
  <c r="C11" i="24"/>
  <c r="C7" i="24"/>
  <c r="C3" i="24"/>
  <c r="G31" i="23" l="1"/>
  <c r="H31" i="23"/>
  <c r="I31" i="23"/>
  <c r="E18" i="28"/>
  <c r="E23" i="28" s="1"/>
  <c r="E11" i="28" s="1"/>
  <c r="E10" i="28" s="1"/>
  <c r="E9" i="28" s="1"/>
  <c r="E8" i="28" s="1"/>
  <c r="E7" i="28" s="1"/>
  <c r="E6" i="28" s="1"/>
  <c r="E5" i="28" s="1"/>
  <c r="E4" i="28" s="1"/>
  <c r="E3" i="28" s="1"/>
  <c r="E2" i="28" s="1"/>
  <c r="F18" i="28"/>
  <c r="G18" i="28"/>
  <c r="K19" i="23"/>
  <c r="M19" i="23" s="1"/>
  <c r="K20" i="23"/>
  <c r="K18" i="23"/>
  <c r="M18" i="23" s="1"/>
  <c r="K17" i="23"/>
  <c r="M17" i="23" s="1"/>
  <c r="K16" i="23"/>
  <c r="M16" i="23" s="1"/>
  <c r="K15" i="23"/>
  <c r="M15" i="23" s="1"/>
  <c r="K14" i="23"/>
  <c r="M14" i="23" s="1"/>
  <c r="K13" i="23"/>
  <c r="M13" i="23" s="1"/>
  <c r="P17" i="21"/>
  <c r="P18" i="21"/>
  <c r="P19" i="21"/>
  <c r="P20" i="21"/>
  <c r="P21" i="21"/>
  <c r="P22" i="21"/>
  <c r="P16" i="21"/>
  <c r="Q17" i="21"/>
  <c r="Q18" i="21"/>
  <c r="Q19" i="21"/>
  <c r="Q20" i="21"/>
  <c r="Q21" i="21"/>
  <c r="Q22" i="21"/>
  <c r="Q16" i="21"/>
  <c r="E27" i="21"/>
  <c r="T16" i="21"/>
  <c r="T17" i="21"/>
  <c r="T18" i="21"/>
  <c r="T19" i="21"/>
  <c r="T20" i="21"/>
  <c r="T21" i="21"/>
  <c r="T22" i="21"/>
  <c r="E26" i="2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S16" i="21"/>
  <c r="E25" i="21"/>
  <c r="E24" i="21"/>
  <c r="J11" i="21"/>
  <c r="J12" i="21"/>
  <c r="J13" i="21"/>
  <c r="J14" i="21"/>
  <c r="J15" i="21"/>
  <c r="J16" i="21"/>
  <c r="S17" i="21"/>
  <c r="S18" i="21"/>
  <c r="S19" i="21"/>
  <c r="S20" i="21"/>
  <c r="S21" i="21"/>
  <c r="S22" i="21"/>
  <c r="J17" i="21"/>
  <c r="J18" i="21"/>
  <c r="J19" i="21"/>
  <c r="J20" i="21"/>
  <c r="J22" i="21"/>
  <c r="J21" i="21"/>
  <c r="D22" i="21"/>
  <c r="B11" i="21" s="1"/>
  <c r="B10" i="21" s="1"/>
  <c r="B9" i="21" s="1"/>
  <c r="B8" i="21" s="1"/>
  <c r="B7" i="21" s="1"/>
  <c r="B6" i="21" s="1"/>
  <c r="C12" i="21"/>
  <c r="C13" i="21"/>
  <c r="C14" i="21"/>
  <c r="C15" i="21"/>
  <c r="C16" i="21"/>
  <c r="C17" i="21"/>
  <c r="C18" i="21"/>
  <c r="C19" i="21"/>
  <c r="C20" i="21"/>
  <c r="C21" i="21"/>
  <c r="C22" i="21"/>
  <c r="J31" i="23" l="1"/>
  <c r="M20" i="23"/>
  <c r="K21" i="23"/>
  <c r="M12" i="23"/>
  <c r="M11" i="23" s="1"/>
  <c r="M10" i="23" s="1"/>
  <c r="M9" i="23" s="1"/>
  <c r="M8" i="23" s="1"/>
  <c r="M7" i="23" s="1"/>
  <c r="M6" i="23" s="1"/>
  <c r="M5" i="23" s="1"/>
  <c r="M4" i="23" s="1"/>
  <c r="M3" i="23" s="1"/>
  <c r="B53" i="23"/>
  <c r="B52" i="23" s="1"/>
  <c r="B51" i="23" s="1"/>
  <c r="B50" i="23" s="1"/>
  <c r="B49" i="23" s="1"/>
  <c r="B48" i="23" s="1"/>
  <c r="B47" i="23" s="1"/>
  <c r="B46" i="23" s="1"/>
  <c r="B45" i="23" s="1"/>
  <c r="B44" i="23" s="1"/>
  <c r="B43" i="23" s="1"/>
  <c r="B42" i="23" s="1"/>
  <c r="B41" i="23" s="1"/>
  <c r="B40" i="23" s="1"/>
  <c r="B39" i="23" s="1"/>
  <c r="B38" i="23" s="1"/>
  <c r="B37" i="23" s="1"/>
  <c r="B36" i="23" s="1"/>
  <c r="I10" i="21"/>
  <c r="G10" i="21" s="1"/>
  <c r="H10" i="21" s="1"/>
  <c r="O15" i="21"/>
  <c r="D5" i="20"/>
  <c r="F5" i="20"/>
  <c r="G5" i="20"/>
  <c r="H5" i="20"/>
  <c r="L5" i="20"/>
  <c r="M5" i="20"/>
  <c r="N5" i="20"/>
  <c r="O5" i="20"/>
  <c r="P5" i="20"/>
  <c r="Q5" i="20"/>
  <c r="R5" i="20"/>
  <c r="S5" i="20"/>
  <c r="T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B2" i="20"/>
  <c r="B14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D11" i="19"/>
  <c r="D4" i="19"/>
  <c r="D5" i="19" s="1"/>
  <c r="D3" i="19"/>
  <c r="L12" i="19"/>
  <c r="M12" i="19"/>
  <c r="N12" i="19"/>
  <c r="O12" i="19"/>
  <c r="P12" i="19"/>
  <c r="Q12" i="19"/>
  <c r="R12" i="19"/>
  <c r="S12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S8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F10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B5" i="19"/>
  <c r="C5" i="19"/>
  <c r="C18" i="5"/>
  <c r="R3" i="20" l="1"/>
  <c r="R4" i="20"/>
  <c r="N3" i="20"/>
  <c r="N4" i="20"/>
  <c r="J3" i="20"/>
  <c r="J4" i="20"/>
  <c r="F3" i="20"/>
  <c r="F4" i="20"/>
  <c r="B3" i="20"/>
  <c r="B4" i="20"/>
  <c r="Q3" i="20"/>
  <c r="Q4" i="20"/>
  <c r="M3" i="20"/>
  <c r="M4" i="20"/>
  <c r="I3" i="20"/>
  <c r="I4" i="20"/>
  <c r="E3" i="20"/>
  <c r="E4" i="20"/>
  <c r="T4" i="20"/>
  <c r="T3" i="20"/>
  <c r="P4" i="20"/>
  <c r="P3" i="20"/>
  <c r="L4" i="20"/>
  <c r="L3" i="20"/>
  <c r="H4" i="20"/>
  <c r="H3" i="20"/>
  <c r="D4" i="20"/>
  <c r="D3" i="20"/>
  <c r="S3" i="20"/>
  <c r="S4" i="20"/>
  <c r="O3" i="20"/>
  <c r="O4" i="20"/>
  <c r="K3" i="20"/>
  <c r="K4" i="20"/>
  <c r="G3" i="20"/>
  <c r="G4" i="20"/>
  <c r="C3" i="20"/>
  <c r="C4" i="20"/>
  <c r="B54" i="23"/>
  <c r="B55" i="23" s="1"/>
  <c r="B56" i="23" s="1"/>
  <c r="O14" i="21"/>
  <c r="P15" i="21"/>
  <c r="J10" i="21"/>
  <c r="I9" i="21"/>
  <c r="I8" i="21"/>
  <c r="G9" i="21"/>
  <c r="B7" i="19"/>
  <c r="M27" i="15"/>
  <c r="Z13" i="16"/>
  <c r="Y11" i="16"/>
  <c r="Y12" i="16"/>
  <c r="Y13" i="16"/>
  <c r="Z10" i="16"/>
  <c r="Z11" i="16"/>
  <c r="Z12" i="16"/>
  <c r="O3" i="16"/>
  <c r="N3" i="16"/>
  <c r="O4" i="16"/>
  <c r="O5" i="16"/>
  <c r="O6" i="16"/>
  <c r="N4" i="16"/>
  <c r="N5" i="16"/>
  <c r="N6" i="16"/>
  <c r="O7" i="16"/>
  <c r="N7" i="16"/>
  <c r="O8" i="16"/>
  <c r="N8" i="16"/>
  <c r="O9" i="16"/>
  <c r="N9" i="16"/>
  <c r="H27" i="15"/>
  <c r="I27" i="15"/>
  <c r="J27" i="15"/>
  <c r="K27" i="15"/>
  <c r="L27" i="15"/>
  <c r="E27" i="15"/>
  <c r="F27" i="15"/>
  <c r="G27" i="15"/>
  <c r="C27" i="15"/>
  <c r="O13" i="21" l="1"/>
  <c r="P14" i="21"/>
  <c r="H9" i="21"/>
  <c r="J9" i="21"/>
  <c r="I7" i="21"/>
  <c r="G8" i="21"/>
  <c r="S5" i="3"/>
  <c r="T5" i="3"/>
  <c r="R5" i="3"/>
  <c r="V5" i="3"/>
  <c r="U5" i="3"/>
  <c r="Q5" i="3"/>
  <c r="V4" i="3"/>
  <c r="U4" i="3"/>
  <c r="T4" i="3"/>
  <c r="S4" i="3"/>
  <c r="R4" i="3"/>
  <c r="Q4" i="3"/>
  <c r="V2" i="3"/>
  <c r="U2" i="3"/>
  <c r="T2" i="3"/>
  <c r="S2" i="3"/>
  <c r="R2" i="3"/>
  <c r="Q3" i="3"/>
  <c r="E23" i="13"/>
  <c r="R3" i="3"/>
  <c r="S3" i="3"/>
  <c r="T3" i="3"/>
  <c r="U3" i="3"/>
  <c r="V3" i="3"/>
  <c r="E21" i="13"/>
  <c r="E20" i="13"/>
  <c r="E19" i="13"/>
  <c r="E18" i="13"/>
  <c r="P17" i="3"/>
  <c r="Q17" i="3"/>
  <c r="R17" i="3"/>
  <c r="P16" i="3"/>
  <c r="R16" i="3"/>
  <c r="S16" i="3"/>
  <c r="T16" i="3"/>
  <c r="P15" i="3"/>
  <c r="Q15" i="3"/>
  <c r="Q16" i="3" s="1"/>
  <c r="R15" i="3"/>
  <c r="S15" i="3"/>
  <c r="S17" i="3" s="1"/>
  <c r="T15" i="3"/>
  <c r="T17" i="3" s="1"/>
  <c r="O15" i="3"/>
  <c r="O16" i="3" s="1"/>
  <c r="F19" i="6"/>
  <c r="F20" i="6"/>
  <c r="F21" i="6"/>
  <c r="F22" i="6"/>
  <c r="F23" i="6"/>
  <c r="F18" i="6"/>
  <c r="I21" i="13"/>
  <c r="I20" i="13"/>
  <c r="I19" i="13"/>
  <c r="I18" i="13"/>
  <c r="I17" i="13"/>
  <c r="I16" i="13"/>
  <c r="I15" i="13"/>
  <c r="I14" i="13"/>
  <c r="I13" i="13"/>
  <c r="B12" i="13" s="1"/>
  <c r="E4" i="10"/>
  <c r="E5" i="10"/>
  <c r="E6" i="10"/>
  <c r="E7" i="10"/>
  <c r="E8" i="10"/>
  <c r="E3" i="10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B11" i="13" l="1"/>
  <c r="B10" i="13" s="1"/>
  <c r="B9" i="13" s="1"/>
  <c r="B8" i="13" s="1"/>
  <c r="B7" i="13" s="1"/>
  <c r="B6" i="13" s="1"/>
  <c r="B5" i="13" s="1"/>
  <c r="B4" i="13" s="1"/>
  <c r="B3" i="13" s="1"/>
  <c r="B2" i="13" s="1"/>
  <c r="O12" i="21"/>
  <c r="P13" i="21"/>
  <c r="I6" i="21"/>
  <c r="G6" i="21" s="1"/>
  <c r="H6" i="21" s="1"/>
  <c r="J6" i="21" s="1"/>
  <c r="G7" i="21"/>
  <c r="H8" i="21"/>
  <c r="J8" i="21"/>
  <c r="O17" i="3"/>
  <c r="H17" i="2"/>
  <c r="H18" i="2"/>
  <c r="H19" i="2"/>
  <c r="H20" i="2"/>
  <c r="H21" i="2"/>
  <c r="H16" i="2"/>
  <c r="G21" i="2"/>
  <c r="B8" i="10" s="1"/>
  <c r="G17" i="2"/>
  <c r="B4" i="10" s="1"/>
  <c r="B3" i="10"/>
  <c r="F21" i="2"/>
  <c r="F20" i="2"/>
  <c r="F19" i="2"/>
  <c r="F17" i="2"/>
  <c r="F18" i="2"/>
  <c r="W31" i="1"/>
  <c r="B18" i="9" s="1"/>
  <c r="F16" i="2"/>
  <c r="V7" i="3"/>
  <c r="U7" i="3"/>
  <c r="T7" i="3"/>
  <c r="S7" i="3"/>
  <c r="R7" i="3"/>
  <c r="Q7" i="3"/>
  <c r="D19" i="9"/>
  <c r="D20" i="9"/>
  <c r="D21" i="9"/>
  <c r="D22" i="9"/>
  <c r="D23" i="9"/>
  <c r="D18" i="9"/>
  <c r="B23" i="9"/>
  <c r="B22" i="9"/>
  <c r="B21" i="9"/>
  <c r="B20" i="9"/>
  <c r="AB31" i="1"/>
  <c r="AA31" i="1"/>
  <c r="Z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J33" i="1"/>
  <c r="Q31" i="1"/>
  <c r="B3" i="9" s="1"/>
  <c r="R4" i="1"/>
  <c r="X4" i="1"/>
  <c r="Y4" i="1"/>
  <c r="R5" i="1"/>
  <c r="X5" i="1"/>
  <c r="Y5" i="1"/>
  <c r="R6" i="1"/>
  <c r="X6" i="1"/>
  <c r="Y6" i="1"/>
  <c r="R7" i="1"/>
  <c r="X7" i="1"/>
  <c r="Y7" i="1"/>
  <c r="R8" i="1"/>
  <c r="X8" i="1"/>
  <c r="Y8" i="1"/>
  <c r="R9" i="1"/>
  <c r="X9" i="1"/>
  <c r="Y9" i="1"/>
  <c r="R10" i="1"/>
  <c r="X10" i="1"/>
  <c r="Y10" i="1"/>
  <c r="R11" i="1"/>
  <c r="X11" i="1"/>
  <c r="Y11" i="1"/>
  <c r="R12" i="1"/>
  <c r="X12" i="1"/>
  <c r="Y12" i="1"/>
  <c r="R13" i="1"/>
  <c r="X13" i="1"/>
  <c r="Y13" i="1"/>
  <c r="R14" i="1"/>
  <c r="X14" i="1"/>
  <c r="Y14" i="1"/>
  <c r="R15" i="1"/>
  <c r="X15" i="1"/>
  <c r="Y15" i="1"/>
  <c r="R16" i="1"/>
  <c r="X16" i="1"/>
  <c r="Y16" i="1"/>
  <c r="R17" i="1"/>
  <c r="X17" i="1"/>
  <c r="Y17" i="1"/>
  <c r="R18" i="1"/>
  <c r="X18" i="1"/>
  <c r="Y18" i="1"/>
  <c r="R19" i="1"/>
  <c r="X19" i="1"/>
  <c r="Y19" i="1"/>
  <c r="R20" i="1"/>
  <c r="X20" i="1"/>
  <c r="Y20" i="1"/>
  <c r="R22" i="1"/>
  <c r="X22" i="1"/>
  <c r="Y22" i="1"/>
  <c r="R23" i="1"/>
  <c r="X23" i="1"/>
  <c r="Y23" i="1"/>
  <c r="R24" i="1"/>
  <c r="X24" i="1"/>
  <c r="Y24" i="1"/>
  <c r="R25" i="1"/>
  <c r="X25" i="1"/>
  <c r="Y25" i="1"/>
  <c r="R26" i="1"/>
  <c r="X26" i="1"/>
  <c r="Y26" i="1"/>
  <c r="R27" i="1"/>
  <c r="X27" i="1"/>
  <c r="Y27" i="1"/>
  <c r="R28" i="1"/>
  <c r="X28" i="1"/>
  <c r="Y28" i="1"/>
  <c r="R29" i="1"/>
  <c r="X29" i="1"/>
  <c r="Y29" i="1"/>
  <c r="R30" i="1"/>
  <c r="X30" i="1"/>
  <c r="Y30" i="1"/>
  <c r="R31" i="1"/>
  <c r="C13" i="1" s="1"/>
  <c r="X31" i="1"/>
  <c r="B19" i="9" s="1"/>
  <c r="Y31" i="1"/>
  <c r="G20" i="2" s="1"/>
  <c r="B7" i="10" s="1"/>
  <c r="X3" i="1"/>
  <c r="Y3" i="1"/>
  <c r="R3" i="1"/>
  <c r="O11" i="21" l="1"/>
  <c r="P12" i="21"/>
  <c r="H7" i="21"/>
  <c r="J7" i="21"/>
  <c r="G18" i="2"/>
  <c r="B5" i="10" s="1"/>
  <c r="C14" i="1"/>
  <c r="C12" i="13"/>
  <c r="D12" i="13" s="1"/>
  <c r="G19" i="2"/>
  <c r="B6" i="10" s="1"/>
  <c r="C24" i="1"/>
  <c r="B6" i="3"/>
  <c r="B4" i="3" s="1"/>
  <c r="Q12" i="3"/>
  <c r="Q18" i="3" s="1"/>
  <c r="R12" i="3"/>
  <c r="S12" i="3"/>
  <c r="U12" i="3"/>
  <c r="U18" i="3" s="1"/>
  <c r="T12" i="3"/>
  <c r="T18" i="3" s="1"/>
  <c r="O10" i="21" l="1"/>
  <c r="P11" i="21"/>
  <c r="C15" i="1"/>
  <c r="C13" i="13"/>
  <c r="D13" i="13" s="1"/>
  <c r="S20" i="3"/>
  <c r="S22" i="3"/>
  <c r="S19" i="3"/>
  <c r="S21" i="3"/>
  <c r="S18" i="3"/>
  <c r="R20" i="3"/>
  <c r="R22" i="3"/>
  <c r="R19" i="3"/>
  <c r="R21" i="3"/>
  <c r="R18" i="3"/>
  <c r="T20" i="3"/>
  <c r="T22" i="3"/>
  <c r="T19" i="3"/>
  <c r="T21" i="3"/>
  <c r="Q20" i="3"/>
  <c r="Q22" i="3"/>
  <c r="Q19" i="3"/>
  <c r="Q21" i="3"/>
  <c r="U21" i="3"/>
  <c r="U20" i="3"/>
  <c r="U22" i="3"/>
  <c r="U19" i="3"/>
  <c r="O9" i="21" l="1"/>
  <c r="P10" i="21"/>
  <c r="C3" i="13"/>
  <c r="D3" i="13" s="1"/>
  <c r="C4" i="13"/>
  <c r="D4" i="13" s="1"/>
  <c r="C16" i="1"/>
  <c r="C14" i="13"/>
  <c r="D14" i="13" s="1"/>
  <c r="C2" i="13"/>
  <c r="D2" i="13" s="1"/>
  <c r="O8" i="21" l="1"/>
  <c r="P9" i="21"/>
  <c r="C17" i="1"/>
  <c r="C15" i="13"/>
  <c r="D15" i="13" s="1"/>
  <c r="C5" i="13"/>
  <c r="D5" i="13" s="1"/>
  <c r="O7" i="21" l="1"/>
  <c r="P8" i="21"/>
  <c r="C6" i="13"/>
  <c r="D6" i="13" s="1"/>
  <c r="C18" i="1"/>
  <c r="C16" i="13"/>
  <c r="D16" i="13" s="1"/>
  <c r="O6" i="21" l="1"/>
  <c r="P6" i="21" s="1"/>
  <c r="P7" i="21"/>
  <c r="C19" i="1"/>
  <c r="C17" i="13"/>
  <c r="D17" i="13" s="1"/>
  <c r="C7" i="13"/>
  <c r="D7" i="13" s="1"/>
  <c r="C8" i="13" l="1"/>
  <c r="D8" i="13" s="1"/>
  <c r="C20" i="1"/>
  <c r="C18" i="13"/>
  <c r="D18" i="13" s="1"/>
  <c r="C21" i="1" l="1"/>
  <c r="C19" i="13"/>
  <c r="D19" i="13" s="1"/>
  <c r="C9" i="13"/>
  <c r="D9" i="13" s="1"/>
  <c r="C11" i="13" l="1"/>
  <c r="D11" i="13" s="1"/>
  <c r="C10" i="13"/>
  <c r="D10" i="13" s="1"/>
  <c r="C22" i="1"/>
  <c r="C20" i="13"/>
  <c r="D20" i="13" s="1"/>
  <c r="C21" i="13" l="1"/>
  <c r="D21" i="13" s="1"/>
  <c r="C23" i="1"/>
  <c r="D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Q2" authorId="0" shapeId="0" xr:uid="{1DAB81E4-4379-4D0C-A7CE-77A92D0F429C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yang kuning adalah data 
RUED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Z10" authorId="0" shapeId="0" xr:uid="{30A92EBF-F60B-40EE-8C6E-E0BDAB9B1AF1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Y11" authorId="0" shapeId="0" xr:uid="{1CEDF3FA-2F35-4F64-B09E-DA3D3A323F35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Z11" authorId="0" shapeId="0" xr:uid="{13C1DC58-7035-4D85-A36C-7565D152249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Y12" authorId="0" shapeId="0" xr:uid="{35F2E029-49D2-438D-9064-F718DF15271D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Z12" authorId="0" shapeId="0" xr:uid="{B628F096-004F-4A82-8CDB-B4C2420ED066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Y13" authorId="0" shapeId="0" xr:uid="{B397A8EA-AF5F-47E9-86DD-DBF34E660E72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Z13" authorId="0" shapeId="0" xr:uid="{6304CA0D-A000-457E-AEE7-F25075542A7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</commentList>
</comments>
</file>

<file path=xl/sharedStrings.xml><?xml version="1.0" encoding="utf-8"?>
<sst xmlns="http://schemas.openxmlformats.org/spreadsheetml/2006/main" count="708" uniqueCount="428">
  <si>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</si>
  <si>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</si>
  <si>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</si>
  <si>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</si>
  <si>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</si>
  <si>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</si>
  <si>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</si>
  <si>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</si>
  <si>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</si>
  <si>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</si>
  <si>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</si>
  <si>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</si>
  <si>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</si>
  <si>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</si>
  <si>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</si>
  <si>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</si>
  <si>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</si>
  <si>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</si>
  <si>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</si>
  <si>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</si>
  <si>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</si>
  <si>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</si>
  <si>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</si>
  <si>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</si>
  <si>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</si>
  <si>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</si>
  <si>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</si>
  <si>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</si>
  <si>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</si>
  <si>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</si>
  <si>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</si>
  <si>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</si>
  <si>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</si>
  <si>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</si>
  <si>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</si>
  <si>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</si>
  <si>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</si>
  <si>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</si>
  <si>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</si>
  <si>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</si>
  <si>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</si>
  <si>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</si>
  <si>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</si>
  <si>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</si>
  <si>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</si>
  <si>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</si>
  <si>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</si>
  <si>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</si>
  <si>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</si>
  <si>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</si>
  <si>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</si>
  <si>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</si>
  <si>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</si>
  <si>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</si>
  <si>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</si>
  <si>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</si>
  <si>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</si>
  <si>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</si>
  <si>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</si>
  <si>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</si>
  <si>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</si>
  <si>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</si>
  <si>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</si>
  <si>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</si>
  <si>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</si>
  <si>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</si>
  <si>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</si>
  <si>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</si>
  <si>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</si>
  <si>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</si>
  <si>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</si>
  <si>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</si>
  <si>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</si>
  <si>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</si>
  <si>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</si>
  <si>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</si>
  <si>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</si>
  <si>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</si>
  <si>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</si>
  <si>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</si>
  <si>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</si>
  <si>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</si>
  <si>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</si>
  <si>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</si>
  <si>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</si>
  <si>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</si>
  <si>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</si>
  <si>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</si>
  <si>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</si>
  <si>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</si>
  <si>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</si>
  <si>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</si>
  <si>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</si>
  <si>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</si>
  <si>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</si>
  <si>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</si>
  <si>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</si>
  <si>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</si>
  <si>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</si>
  <si>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</si>
  <si>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</si>
  <si>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</si>
  <si>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</si>
  <si>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</si>
  <si>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</si>
  <si>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</si>
  <si>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</si>
  <si>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private vehicle share[jabar]</t>
  </si>
  <si>
    <t>PDRB Per Kapita (RUED)</t>
  </si>
  <si>
    <t>PDRB per Capita Growth (RUED)</t>
  </si>
  <si>
    <t>BPS Jabar</t>
  </si>
  <si>
    <t>static gdp[jabar]</t>
  </si>
  <si>
    <t>static gdp growth[jabar]</t>
  </si>
  <si>
    <t>public and business vehicle share[jabar]</t>
  </si>
  <si>
    <t>all vehicles[jabar]</t>
  </si>
  <si>
    <t>static gdp per capita[jabar]</t>
  </si>
  <si>
    <t>static gdp per capita growth[jabar]</t>
  </si>
  <si>
    <t>Golongan Industri</t>
  </si>
  <si>
    <t>Perusahaan</t>
  </si>
  <si>
    <t>Employment</t>
  </si>
  <si>
    <t>Industri Makanan</t>
  </si>
  <si>
    <t>Industri Minuman</t>
  </si>
  <si>
    <t>Industri Pengolahan Tembakau</t>
  </si>
  <si>
    <t>Industri Pakaian Jadi</t>
  </si>
  <si>
    <t>Industri Kulit, Barang dari Kulit, dan Alas Kaki</t>
  </si>
  <si>
    <t>Industri Tekstil</t>
  </si>
  <si>
    <t>Industri Kayu, Barang dari Kayu (non Furnitur), dan Barang Anyaman dari Rotan, Bambu, dsj.</t>
  </si>
  <si>
    <t>Industri Kertas, Barang dari Kertas, dsj.</t>
  </si>
  <si>
    <t>Industri Percetakan</t>
  </si>
  <si>
    <t>Industri Produk dari batubara, Pengilangan Minyak Bumi</t>
  </si>
  <si>
    <t>Industri Kimia dan Barang dari Bahan Kimia</t>
  </si>
  <si>
    <t>Industri Karet, Barang dari Karet dan Plastik</t>
  </si>
  <si>
    <t>Industri Farmasi, Produk Obat Kimia, dan Obat Traditional</t>
  </si>
  <si>
    <t>Industri Barang Galian non Logam</t>
  </si>
  <si>
    <t>Industri Logam Dasar</t>
  </si>
  <si>
    <t>Industri Barang Logam Bukan Mesin</t>
  </si>
  <si>
    <t>Industri Komputer, Barang Elektronik dan Optik</t>
  </si>
  <si>
    <t>Industri Peralatan Listrik</t>
  </si>
  <si>
    <t>Industri Mesin dan Peralatan</t>
  </si>
  <si>
    <t>Industri Alat Angkutan Lainnya</t>
  </si>
  <si>
    <t>Industri Furnitur</t>
  </si>
  <si>
    <t>Industri Pengolahan Lainnya</t>
  </si>
  <si>
    <t>Jasa Reparasi dan Pemasangan Mesin dan Peralatan</t>
  </si>
  <si>
    <t>Industri Kendaraan Bermotor, Trailer, dan Semi Trailer</t>
  </si>
  <si>
    <t>Biaya Input/Input Cost</t>
  </si>
  <si>
    <t>Nilai Output Kotor / Value of Gross Output</t>
  </si>
  <si>
    <t>Nilai Tambah (Harga Pasar)/Value Added at Market Prices</t>
  </si>
  <si>
    <t>Bahan Baku / Raw Materials</t>
  </si>
  <si>
    <t>Bahan Bakar dan Pelumas / Fuel and Lubricants</t>
  </si>
  <si>
    <t>Listrik / Electricity</t>
  </si>
  <si>
    <t>Sewa Gedung, Mesin, Alat-Alat</t>
  </si>
  <si>
    <t>Jasa Lainnya</t>
  </si>
  <si>
    <t>Populasi</t>
  </si>
  <si>
    <t>Daya Terpasang (KW)</t>
  </si>
  <si>
    <t>Produksi Listrik (KWh)</t>
  </si>
  <si>
    <t>Listrik Terjual (KWh)</t>
  </si>
  <si>
    <t>Dipakai Sendiri (KWh)</t>
  </si>
  <si>
    <t>Susut/Hilang (KWh)</t>
  </si>
  <si>
    <t>Sedan</t>
  </si>
  <si>
    <t>Pribadi</t>
  </si>
  <si>
    <t>Umum</t>
  </si>
  <si>
    <t>Sedan, Jeep, Minibus</t>
  </si>
  <si>
    <t>Bus dan sejenisnya</t>
  </si>
  <si>
    <t>Truk/ Pickup</t>
  </si>
  <si>
    <t>Alat Berat</t>
  </si>
  <si>
    <t>Sepeda Motor</t>
  </si>
  <si>
    <t>Jeep</t>
  </si>
  <si>
    <t>Minibus dan sejenisnya</t>
  </si>
  <si>
    <t>Industri</t>
  </si>
  <si>
    <t>Sektor</t>
  </si>
  <si>
    <t>Nilai Investasi</t>
  </si>
  <si>
    <t>Dalam Negeri</t>
  </si>
  <si>
    <t>Luar Negeri</t>
  </si>
  <si>
    <t>PDRB(Harga Berlaku, Juta Rupiah)</t>
  </si>
  <si>
    <t>PDRB(Harga 2010, Juta Rupiah)</t>
  </si>
  <si>
    <t>Tenaga Kerja 15 th Ke Atas (Orang)</t>
  </si>
  <si>
    <t>Laju PDRB (Harga 2010, % Per Tahun)</t>
  </si>
  <si>
    <t>Nilai Output Kotor</t>
  </si>
  <si>
    <t>Biaya Input</t>
  </si>
  <si>
    <t>Nilai Tambah  (Harga Pasar)</t>
  </si>
  <si>
    <t>Bahan Baku</t>
  </si>
  <si>
    <t>Bahan Bakar, Pelumas</t>
  </si>
  <si>
    <t>Listrik</t>
  </si>
  <si>
    <t>Industri Makanan (Juta Rupiah)</t>
  </si>
  <si>
    <t>Sewa Gedung, Mesin, dll</t>
  </si>
  <si>
    <t>Industri Tembakau</t>
  </si>
  <si>
    <t>Industri Pakaian</t>
  </si>
  <si>
    <t>Year</t>
  </si>
  <si>
    <t>kapasitas (KW)</t>
  </si>
  <si>
    <t>workhour</t>
  </si>
  <si>
    <t>average workhour</t>
  </si>
  <si>
    <t>listrik siap jual (KWh)</t>
  </si>
  <si>
    <t>own use</t>
  </si>
  <si>
    <t>losses (susut)</t>
  </si>
  <si>
    <t>persentase losses (susut)</t>
  </si>
  <si>
    <t>listrik terjual (KWh)</t>
  </si>
  <si>
    <t>listrik impor (KWh)</t>
  </si>
  <si>
    <t>tren penjualan listrik</t>
  </si>
  <si>
    <t>Jumlah Naker</t>
  </si>
  <si>
    <t>Pertumbuhan Relatif Output Industri Jabar</t>
  </si>
  <si>
    <t>Banyaknya Pekerja Produksi dan Pekerja Lainnya</t>
  </si>
  <si>
    <t>Output (Milyar Rp)</t>
  </si>
  <si>
    <t>Input (Milyar Rp)</t>
  </si>
  <si>
    <t>Nilai Tambah Bruto (NTB) (Milyar Rp)</t>
  </si>
  <si>
    <t>Output - Input</t>
  </si>
  <si>
    <t>Pembelian/Penambahan Modal (Ribu Rp)</t>
  </si>
  <si>
    <t>Penjualan/Pengurangan Modal (Ribu Rp)</t>
  </si>
  <si>
    <t>Output per Pekerja (Ribu Rp)</t>
  </si>
  <si>
    <t>Input per Pekerja (Ribu Rp)</t>
  </si>
  <si>
    <t>NTB per Pekerja (Ribu Rp)</t>
  </si>
  <si>
    <t>Efisiensi (%)</t>
  </si>
  <si>
    <t>Efisiensi (NTB/Output)</t>
  </si>
  <si>
    <t>tren input</t>
  </si>
  <si>
    <t>tren output</t>
  </si>
  <si>
    <t>tren nilai tambah</t>
  </si>
  <si>
    <t>tren NTB per pekerja</t>
  </si>
  <si>
    <t>Jumlah naker</t>
  </si>
  <si>
    <t>NTB per Pekerja (MilyarRp)</t>
  </si>
  <si>
    <t>labor stock</t>
  </si>
  <si>
    <t>Pembelian - Penjualan Modal (RibuRp)</t>
  </si>
  <si>
    <t>u</t>
  </si>
  <si>
    <t>Bensin</t>
  </si>
  <si>
    <t>Solar</t>
  </si>
  <si>
    <t>Minyak Tanah</t>
  </si>
  <si>
    <t>Batubara</t>
  </si>
  <si>
    <t>Gas PGN</t>
  </si>
  <si>
    <t>Pelumas</t>
  </si>
  <si>
    <t>Liter</t>
  </si>
  <si>
    <t>m3</t>
  </si>
  <si>
    <t>kg</t>
  </si>
  <si>
    <t>liter</t>
  </si>
  <si>
    <t>Kiloliter</t>
  </si>
  <si>
    <t>Thousand BOE</t>
  </si>
  <si>
    <t>BOE/Liter</t>
  </si>
  <si>
    <t>RON 88</t>
  </si>
  <si>
    <t>RON 92</t>
  </si>
  <si>
    <t>RON 95</t>
  </si>
  <si>
    <t>Kg</t>
  </si>
  <si>
    <t>Petrol</t>
  </si>
  <si>
    <t>Gas</t>
  </si>
  <si>
    <t>Dibangkitkan sendiri</t>
  </si>
  <si>
    <t>Beli</t>
  </si>
  <si>
    <t>Jual</t>
  </si>
  <si>
    <t>Terpakai</t>
  </si>
  <si>
    <t>LPG</t>
  </si>
  <si>
    <t>Thousand Ton</t>
  </si>
  <si>
    <t>BOE/Ton</t>
  </si>
  <si>
    <t>BOE/Kg</t>
  </si>
  <si>
    <t>BOE</t>
  </si>
  <si>
    <t xml:space="preserve">Gas </t>
  </si>
  <si>
    <t>Cubic Meter</t>
  </si>
  <si>
    <t>Cubic Feet</t>
  </si>
  <si>
    <t>Natural Gas</t>
  </si>
  <si>
    <t>BOE/CF</t>
  </si>
  <si>
    <t>CF/m3</t>
  </si>
  <si>
    <t>KWH</t>
  </si>
  <si>
    <t>BOE/KWh</t>
  </si>
  <si>
    <t>Nilai Tambah</t>
  </si>
  <si>
    <t>MilyarRp</t>
  </si>
  <si>
    <t>Intensitas Energi</t>
  </si>
  <si>
    <t>BOE/MilyarRp</t>
  </si>
  <si>
    <t>trend intensitas energi</t>
  </si>
  <si>
    <t>Energy Intensity Jabar Industry</t>
  </si>
  <si>
    <t>Mobil Penumpang</t>
  </si>
  <si>
    <t>Bis</t>
  </si>
  <si>
    <t>Truk</t>
  </si>
  <si>
    <t>Trend 2011 s.d. 2020</t>
  </si>
  <si>
    <t>prov population[jabar]</t>
  </si>
  <si>
    <t>prov electricity generation[jabar]</t>
  </si>
  <si>
    <t>Trend 2000 s.d. 2020</t>
  </si>
  <si>
    <t>Jumlah Pelanggan</t>
  </si>
  <si>
    <t>Daya Tersambung</t>
  </si>
  <si>
    <t>Energi Terjual (Thousand KWH)</t>
  </si>
  <si>
    <t>Daya Per Pelanggan</t>
  </si>
  <si>
    <t>Daya Tersambung (KW)</t>
  </si>
  <si>
    <t>Tren Pertumbuhan Pelanggan</t>
  </si>
  <si>
    <t>Tren Daya Per Pelanggan</t>
  </si>
  <si>
    <t>Energy Terjual</t>
  </si>
  <si>
    <t>prov electricity consumer[jabar,household]</t>
  </si>
  <si>
    <t>prov electricity consumer[jabar,industry]</t>
  </si>
  <si>
    <t>Nilai Tambah Industri (MilyarRp/Tahun)</t>
  </si>
  <si>
    <t>Intensitas Listrik Industri (Thousand KWH/MilyarRp Nilai Tambah)</t>
  </si>
  <si>
    <t>Intensitas Listrik Industri (Thousand KWH/MilyarRp Output)</t>
  </si>
  <si>
    <t>Output Industri (MilyarRp/Tahun)</t>
  </si>
  <si>
    <t>tren intensitas listrik (ntb)</t>
  </si>
  <si>
    <t>tren intensitas listrik (output)</t>
  </si>
  <si>
    <t>Energi Terjual (BOE)</t>
  </si>
  <si>
    <t>BOE/KWH</t>
  </si>
  <si>
    <t>Energi Terjual (KWH)</t>
  </si>
  <si>
    <t>Listrik (KWh) Jabar</t>
  </si>
  <si>
    <t>*) 2016 = (nilai 2017 + nilai 2015) / 2</t>
  </si>
  <si>
    <t>Industri (BOE/Year)</t>
  </si>
  <si>
    <t>NTB Industri (MilyarRp/Tahun)</t>
  </si>
  <si>
    <t>Intensitas Energi (BOE/MilyarRp NTB)</t>
  </si>
  <si>
    <t>Intensitas Energi Fuel (BOE/MilyarRp)</t>
  </si>
  <si>
    <t>Share Fuel</t>
  </si>
  <si>
    <t>Share Listrik</t>
  </si>
  <si>
    <t>Total Energy Demand</t>
  </si>
  <si>
    <t>(Fuel + Electricity)</t>
  </si>
  <si>
    <t>Share Coal</t>
  </si>
  <si>
    <t>Share Petrol</t>
  </si>
  <si>
    <t>Share Gas</t>
  </si>
  <si>
    <t>prov power installed[jabar,household]</t>
  </si>
  <si>
    <t>prov power installed[jabar,industry]</t>
  </si>
  <si>
    <t>tren pelanggan</t>
  </si>
  <si>
    <t>Daya Tersambung per Pelanggan</t>
  </si>
  <si>
    <t>rata-rata daya terpasang per pelanggan</t>
  </si>
  <si>
    <t>PS with adjustment.</t>
  </si>
  <si>
    <t>Konversi Satuan Mobil Penumpang (SMP)</t>
  </si>
  <si>
    <t>Bus</t>
  </si>
  <si>
    <t>Mobil Barang / Truk</t>
  </si>
  <si>
    <t>Persentase Mobil Umum dan Barang dari Mobil Penumpang</t>
  </si>
  <si>
    <t>Mobil Umum dan Barang</t>
  </si>
  <si>
    <t>Mobil Pribadi</t>
  </si>
  <si>
    <t>Sedan/jeep/Minibus sejenisnya</t>
  </si>
  <si>
    <t>Bus/sejenisnya</t>
  </si>
  <si>
    <t>Truk/Pickup</t>
  </si>
  <si>
    <t>Sedan dan sejenisnya</t>
  </si>
  <si>
    <t>Jeep dan sejenisnya</t>
  </si>
  <si>
    <t>Mini Bus</t>
  </si>
  <si>
    <t>dalam Satuan Mobil Penumpang</t>
  </si>
  <si>
    <t>Kendaraan (Satuan Mobil Penumpang)</t>
  </si>
  <si>
    <t>PDRB (Milyar Rp)</t>
  </si>
  <si>
    <t>Kendaraan per capita</t>
  </si>
  <si>
    <t>tren</t>
  </si>
  <si>
    <t>prov public transportation[jabar]</t>
  </si>
  <si>
    <t>prov private vehicle[jabar]</t>
  </si>
  <si>
    <t>Listrik Terjual (KWH)</t>
  </si>
  <si>
    <t>Intensitas Listrik KWH per MilyarRp NTB</t>
  </si>
  <si>
    <t>prov electricity demand industry[jabar]</t>
  </si>
  <si>
    <t>prov electricity demand household[jabar]</t>
  </si>
  <si>
    <t>prov petroleum consumption transportation[jabar]</t>
  </si>
  <si>
    <t>Konsumsi Gas (LPG dll) Rumah Tangga (kg)</t>
  </si>
  <si>
    <t>Konsumsi BBM Rumah Tangga (Kiloliter)</t>
  </si>
  <si>
    <t>Konsumsi BBM Transportasi (Kiloliter)</t>
  </si>
  <si>
    <t>Konsumsi BBM Transportasi (Liter)</t>
  </si>
  <si>
    <t>Jumlah Rumah Tangga</t>
  </si>
  <si>
    <t>prov emission[jabar,household]</t>
  </si>
  <si>
    <t>prov emission[jabar,transportation]</t>
  </si>
  <si>
    <t>prov emission[jabar,commercial]</t>
  </si>
  <si>
    <t>Kapasitas Terpasang PLTU Jabar (MW)</t>
  </si>
  <si>
    <t>Kapasitas Terpasang PLTGU Jabar (MW)</t>
  </si>
  <si>
    <t>Daya Mampu PLTGU Jabar (MW)</t>
  </si>
  <si>
    <t>Daya Mampu PLTU Jabar (MW)</t>
  </si>
  <si>
    <t>Produksi Listrik PLTU Jabar (GWh)</t>
  </si>
  <si>
    <t>Produksi Listrik PLTGU Jabar (GWh)</t>
  </si>
  <si>
    <t>Konsumsi HSD (KiloLiter)</t>
  </si>
  <si>
    <t>Konsumsi Batubara (Ton)</t>
  </si>
  <si>
    <t>Konsumsi Gas Alam (MMSCF)</t>
  </si>
  <si>
    <t>GWH terbangkit dari Batubara (GWh)</t>
  </si>
  <si>
    <t>GWH terbangkit dari Gas Alam (GWh)</t>
  </si>
  <si>
    <t>GWH terbangkit dari Batubara (MWh)</t>
  </si>
  <si>
    <t>GWH terbangkit dari Gas Alam (MWh)</t>
  </si>
  <si>
    <t>GWH terbangkit dari Batubara dan Gas Alam (GWh)</t>
  </si>
  <si>
    <t>GWH terbangkit dari Batubara dan Gas Alam (MWh)</t>
  </si>
  <si>
    <t>Persentase GWh dari Batubara</t>
  </si>
  <si>
    <t>Persentase GWh dari Gas Alam</t>
  </si>
  <si>
    <t>Total Kapasitas Pembangkit</t>
  </si>
  <si>
    <t>Total Daya Mampu Pembangkit</t>
  </si>
  <si>
    <t>Persentase Daya Mampu Total dari Kapasitas 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</si>
  <si>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</si>
  <si>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</si>
  <si>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</si>
  <si>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</si>
  <si>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</si>
  <si>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</si>
  <si>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</si>
  <si>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</si>
  <si>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</si>
  <si>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</si>
  <si>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</si>
  <si>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</si>
  <si>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</si>
  <si>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</si>
  <si>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</si>
  <si>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</si>
  <si>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</si>
  <si>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</si>
  <si>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</si>
  <si>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</si>
  <si>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</si>
  <si>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prov installed generation capacity[jabar,coal based]</t>
  </si>
  <si>
    <t>prov installed generation capacity[jabar,natural gas based]</t>
  </si>
  <si>
    <t>GAS</t>
  </si>
  <si>
    <t>konsumsi Gas/LPG (SBM)</t>
  </si>
  <si>
    <t>Konversi SBM ke KE TERA JOLUE (TJ)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</si>
  <si>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gas RT(ribu ton)</t>
    </r>
  </si>
  <si>
    <t>Konsumsi Gas LPG (Kg)</t>
  </si>
  <si>
    <t>kg LPG/ SBM</t>
  </si>
  <si>
    <t>%/Tahun</t>
  </si>
  <si>
    <t>Laju Pertumbuhan Penduduk (%/Tahun)</t>
  </si>
  <si>
    <t>Minyak tanah</t>
  </si>
  <si>
    <t>konsumsi minyak tanah (SBM)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</si>
  <si>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minyak tanah RT(ribu ton)</t>
    </r>
  </si>
  <si>
    <t>Konsumsi Minyak Tanah per Rumah Tangga (SBM/RT)</t>
  </si>
  <si>
    <t>Konsumsi LPG per Rumah Tangga (kg/RT)</t>
  </si>
  <si>
    <t>trend</t>
  </si>
  <si>
    <t>Penduduk Nasional (Jiwa)</t>
  </si>
  <si>
    <t>Pertumbuhan Penduduk 2000-2010 (BPS)</t>
  </si>
  <si>
    <t>Jumlah Rumah Tangga Nasional</t>
  </si>
  <si>
    <t>prov household[jabar]</t>
  </si>
  <si>
    <t>prov installed generation capacity total[jabar]</t>
  </si>
  <si>
    <t>prov energy demand industry[jabar]</t>
  </si>
  <si>
    <t>prov energy demand household[jabar]</t>
  </si>
  <si>
    <t>prov energy demand transportation[jabar]</t>
  </si>
  <si>
    <t>prov electricity demand all sectors</t>
  </si>
  <si>
    <t>prov natural gas demand household[jabar]</t>
  </si>
  <si>
    <t>prov petroleum demand household[jabar]</t>
  </si>
  <si>
    <t>Konsumsi LPG per Rumah Tangga (kg/Household/Year)</t>
  </si>
  <si>
    <t>Konsumsi Minyak Tanah per Rumah Tangga (SBM/Household/Year)</t>
  </si>
  <si>
    <t>prov household emission[jabar,natural gas]</t>
  </si>
  <si>
    <t>prov household emission[jabar,petroleum]</t>
  </si>
  <si>
    <t>Emisi CO2e dari konsumsi gas (kg/Year)</t>
  </si>
  <si>
    <t>Emisi CO2e dari konsumsi minyak tanah (kg/Year)</t>
  </si>
  <si>
    <t>prov household emission[jabar,electricity]</t>
  </si>
  <si>
    <r>
      <t>Total 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Rumah Tangga (Ribu ton)</t>
    </r>
  </si>
  <si>
    <t>Konsumsi Listrik (SBM)</t>
  </si>
  <si>
    <t>konversi SBM ke MWH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</si>
  <si>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listrik RT (ribu ton)</t>
    </r>
  </si>
  <si>
    <t>Emisi Listrik (ton co2e/year)</t>
  </si>
  <si>
    <t>Faktor Emisi Konsumsi Listrik (Ton CO2e per MWH)</t>
  </si>
  <si>
    <t>Konsumsi Listrik Rumah Tangga KWH</t>
  </si>
  <si>
    <t>Konsumsi Listrik Rumah Tangga (MWH)</t>
  </si>
  <si>
    <t>Konsumsi Listrik Rumah Tangga (KWH)</t>
  </si>
  <si>
    <t>prov electricity demand[jabar,household]</t>
  </si>
  <si>
    <t>prov electricity demand[jabar,industry]</t>
  </si>
  <si>
    <t>prov electricity demand[jabar,transportation]</t>
  </si>
  <si>
    <t>Jabar Dalam 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</si>
</sst>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000_);_(* \(#,##0.000000\);_(* &quot;-&quot;??_);_(@_)"/>
    <numFmt numFmtId="165" formatCode="0.0000000000"/>
    <numFmt numFmtId="166" formatCode="_(* #,##0.0000_);_(* \(#,##0.0000\);_(* &quot;-&quot;??_);_(@_)"/>
    <numFmt numFmtId="167" formatCode="0.0"/>
    <numFmt numFmtId="168" formatCode="0.00000"/>
    <numFmt numFmtId="169" formatCode="0.000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1"/>
      <color rgb="FF000000"/>
      <name val="Cambria"/>
      <family val="1"/>
    </font>
    <font>
      <sz val="10"/>
      <color rgb="FF000000"/>
      <name val="Cambria"/>
      <family val="1"/>
    </font>
    <font>
      <vertAlign val="subscript"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11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64" fontId="2" fillId="2" borderId="1" xfId="1" applyNumberFormat="1" applyFont="1" applyFill="1" applyBorder="1"/>
    <xf numFmtId="4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2" borderId="0" xfId="1" applyNumberFormat="1" applyFont="1" applyFill="1"/>
    <xf numFmtId="0" fontId="0" fillId="2" borderId="0" xfId="0" applyNumberFormat="1" applyFill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1" applyNumberFormat="1" applyFont="1"/>
    <xf numFmtId="3" fontId="0" fillId="0" borderId="0" xfId="0" applyNumberFormat="1"/>
    <xf numFmtId="0" fontId="0" fillId="2" borderId="0" xfId="0" applyFill="1"/>
    <xf numFmtId="0" fontId="0" fillId="4" borderId="0" xfId="0" applyFill="1"/>
    <xf numFmtId="3" fontId="0" fillId="0" borderId="1" xfId="0" applyNumberFormat="1" applyBorder="1"/>
    <xf numFmtId="0" fontId="0" fillId="0" borderId="3" xfId="0" applyBorder="1"/>
    <xf numFmtId="0" fontId="0" fillId="0" borderId="4" xfId="0" applyFill="1" applyBorder="1"/>
    <xf numFmtId="166" fontId="0" fillId="0" borderId="0" xfId="0" applyNumberFormat="1"/>
    <xf numFmtId="0" fontId="0" fillId="0" borderId="0" xfId="0" applyFont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3" fontId="0" fillId="2" borderId="1" xfId="1" applyFont="1" applyFill="1" applyBorder="1"/>
    <xf numFmtId="167" fontId="0" fillId="0" borderId="1" xfId="0" applyNumberFormat="1" applyBorder="1"/>
    <xf numFmtId="168" fontId="0" fillId="0" borderId="0" xfId="0" applyNumberFormat="1"/>
    <xf numFmtId="43" fontId="0" fillId="4" borderId="0" xfId="1" applyFont="1" applyFill="1"/>
    <xf numFmtId="0" fontId="0" fillId="4" borderId="0" xfId="1" applyNumberFormat="1" applyFont="1" applyFill="1"/>
    <xf numFmtId="43" fontId="0" fillId="4" borderId="0" xfId="0" applyNumberFormat="1" applyFill="1"/>
    <xf numFmtId="2" fontId="0" fillId="4" borderId="0" xfId="0" applyNumberFormat="1" applyFill="1"/>
    <xf numFmtId="0" fontId="0" fillId="0" borderId="5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169" fontId="0" fillId="0" borderId="1" xfId="0" applyNumberFormat="1" applyBorder="1" applyAlignment="1">
      <alignment horizontal="right" vertical="center"/>
    </xf>
    <xf numFmtId="169" fontId="0" fillId="0" borderId="1" xfId="0" applyNumberFormat="1" applyBorder="1" applyAlignment="1">
      <alignment horizontal="right"/>
    </xf>
    <xf numFmtId="0" fontId="0" fillId="0" borderId="1" xfId="0" applyBorder="1" applyAlignment="1"/>
    <xf numFmtId="170" fontId="0" fillId="0" borderId="1" xfId="0" applyNumberFormat="1" applyBorder="1"/>
    <xf numFmtId="170" fontId="0" fillId="0" borderId="1" xfId="0" applyNumberFormat="1" applyBorder="1" applyAlignment="1">
      <alignment horizontal="right" vertical="center" wrapText="1"/>
    </xf>
    <xf numFmtId="1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0" fillId="0" borderId="0" xfId="0" applyNumberFormat="1"/>
    <xf numFmtId="3" fontId="9" fillId="0" borderId="0" xfId="0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Normal 2 2" xfId="2" xr:uid="{5922836C-417A-498A-9AE2-B41372C047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'Statistik Industri Besar Sedang'!$O$6:$O$22</c:f>
              <c:numCache>
                <c:formatCode>General</c:formatCode>
                <c:ptCount val="17"/>
                <c:pt idx="0">
                  <c:v>44199.016221105747</c:v>
                </c:pt>
                <c:pt idx="1">
                  <c:v>51280.314889475558</c:v>
                </c:pt>
                <c:pt idx="2">
                  <c:v>59496.136339524637</c:v>
                </c:pt>
                <c:pt idx="3">
                  <c:v>69028.246939602701</c:v>
                </c:pt>
                <c:pt idx="4">
                  <c:v>80087.534564649352</c:v>
                </c:pt>
                <c:pt idx="5">
                  <c:v>92918.674267592825</c:v>
                </c:pt>
                <c:pt idx="6">
                  <c:v>107805.54145636059</c:v>
                </c:pt>
                <c:pt idx="7">
                  <c:v>125077.4923373233</c:v>
                </c:pt>
                <c:pt idx="8">
                  <c:v>145116.65057334714</c:v>
                </c:pt>
                <c:pt idx="9">
                  <c:v>168366.36136606446</c:v>
                </c:pt>
                <c:pt idx="10">
                  <c:v>195341</c:v>
                </c:pt>
                <c:pt idx="11">
                  <c:v>195341</c:v>
                </c:pt>
                <c:pt idx="12">
                  <c:v>226595</c:v>
                </c:pt>
                <c:pt idx="13">
                  <c:v>263560</c:v>
                </c:pt>
                <c:pt idx="14">
                  <c:v>288685</c:v>
                </c:pt>
                <c:pt idx="15">
                  <c:v>358882</c:v>
                </c:pt>
                <c:pt idx="16">
                  <c:v>476455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3-4400-9717-A1D14409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80767"/>
        <c:axId val="183069391"/>
      </c:lineChart>
      <c:catAx>
        <c:axId val="205578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391"/>
        <c:crosses val="autoZero"/>
        <c:auto val="1"/>
        <c:lblAlgn val="ctr"/>
        <c:lblOffset val="100"/>
        <c:noMultiLvlLbl val="0"/>
      </c:catAx>
      <c:valAx>
        <c:axId val="1830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'Tenaga Listrik'!$A$13</c:f>
              <c:strCache>
                <c:ptCount val="1"/>
                <c:pt idx="0">
                  <c:v>tren penjualan listrik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'Tenaga Listrik'!$B$13:$T$13</c:f>
              <c:numCache>
                <c:formatCode>General</c:formatCode>
                <c:ptCount val="19"/>
                <c:pt idx="0">
                  <c:v>0</c:v>
                </c:pt>
                <c:pt idx="1">
                  <c:v>-0.12551827432541476</c:v>
                </c:pt>
                <c:pt idx="2">
                  <c:v>3.7587525001406739E-2</c:v>
                </c:pt>
                <c:pt idx="3">
                  <c:v>-2.9536422584374306E-3</c:v>
                </c:pt>
                <c:pt idx="4">
                  <c:v>9.0410419602340114E-2</c:v>
                </c:pt>
                <c:pt idx="5">
                  <c:v>7.3352631821027414E-2</c:v>
                </c:pt>
                <c:pt idx="6">
                  <c:v>5.7885333698709948E-2</c:v>
                </c:pt>
                <c:pt idx="7">
                  <c:v>7.4091440655612462E-2</c:v>
                </c:pt>
                <c:pt idx="8">
                  <c:v>5.2398623457347047E-2</c:v>
                </c:pt>
                <c:pt idx="9">
                  <c:v>8.9435412195813663E-2</c:v>
                </c:pt>
                <c:pt idx="10">
                  <c:v>3.6551370206178331E-2</c:v>
                </c:pt>
                <c:pt idx="11">
                  <c:v>7.9151938967848751E-2</c:v>
                </c:pt>
                <c:pt idx="12">
                  <c:v>8.6906532225411726E-2</c:v>
                </c:pt>
                <c:pt idx="13">
                  <c:v>7.8857480816547018E-2</c:v>
                </c:pt>
                <c:pt idx="14">
                  <c:v>7.397835487636828E-2</c:v>
                </c:pt>
                <c:pt idx="15">
                  <c:v>1.569266624504146E-2</c:v>
                </c:pt>
                <c:pt idx="16">
                  <c:v>5.9329464689512952E-2</c:v>
                </c:pt>
                <c:pt idx="17">
                  <c:v>2.7787485574295976E-2</c:v>
                </c:pt>
                <c:pt idx="18">
                  <c:v>3.9773315208089917E-2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9-44DD-A988-832B4D85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76639"/>
        <c:axId val="879412159"/>
      </c:lineChart>
      <c:catAx>
        <c:axId val="80227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12159"/>
        <c:crosses val="autoZero"/>
        <c:auto val="1"/>
        <c:lblAlgn val="ctr"/>
        <c:lblOffset val="100"/>
        <c:noMultiLvlLbl val="0"/>
      </c:catAx>
      <c:valAx>
        <c:axId val="8794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Kendaraan!$G$3:$G$21</c:f>
              <c:numCache>
                <c:formatCode>0.0000000000</c:formatCode>
                <c:ptCount val="19"/>
                <c:pt idx="0">
                  <c:v>0.11062008445318729</c:v>
                </c:pt>
                <c:pt idx="1">
                  <c:v>0.11724483161705898</c:v>
                </c:pt>
                <c:pt idx="2">
                  <c:v>0.12457018689654653</c:v>
                </c:pt>
                <c:pt idx="3">
                  <c:v>0.1323532240135242</c:v>
                </c:pt>
                <c:pt idx="4">
                  <c:v>0.14062253853180781</c:v>
                </c:pt>
                <c:pt idx="5">
                  <c:v>0.14940851264121185</c:v>
                </c:pt>
                <c:pt idx="6">
                  <c:v>0.15874342678439046</c:v>
                </c:pt>
                <c:pt idx="7">
                  <c:v>0.16866157825802677</c:v>
                </c:pt>
                <c:pt idx="8">
                  <c:v>0.17919940722412145</c:v>
                </c:pt>
                <c:pt idx="9">
                  <c:v>0.19039563059435707</c:v>
                </c:pt>
                <c:pt idx="10">
                  <c:v>0.20229138427944149</c:v>
                </c:pt>
                <c:pt idx="11">
                  <c:v>0.21569238865300558</c:v>
                </c:pt>
                <c:pt idx="12">
                  <c:v>0.22998115658041535</c:v>
                </c:pt>
                <c:pt idx="13">
                  <c:v>0.24475309753584185</c:v>
                </c:pt>
                <c:pt idx="14">
                  <c:v>0.29281742809876449</c:v>
                </c:pt>
                <c:pt idx="15">
                  <c:v>0.31008489930617855</c:v>
                </c:pt>
                <c:pt idx="16">
                  <c:v>0.33874452280335698</c:v>
                </c:pt>
                <c:pt idx="17">
                  <c:v>0.35548660295437989</c:v>
                </c:pt>
                <c:pt idx="18">
                  <c:v>0.33966755144032923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7-451E-B023-B5E3B96C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898879"/>
        <c:axId val="1941779695"/>
      </c:lineChart>
      <c:catAx>
        <c:axId val="192789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9695"/>
        <c:crosses val="autoZero"/>
        <c:auto val="1"/>
        <c:lblAlgn val="ctr"/>
        <c:lblOffset val="100"/>
        <c:noMultiLvlLbl val="0"/>
      </c:catAx>
      <c:valAx>
        <c:axId val="19417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9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319368</xdr:colOff>
      <xdr:row>23</xdr:row>
      <xdr:rowOff>51547</xdr:rowOff>
    </xdr:from>
    <xdr:to>
      <xdr:col>12</xdr:col>
      <xdr:colOff>509868</xdr:colOff>
      <xdr:row>37</xdr:row>
      <xdr:rowOff>127747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F2C6B-6514-4ECC-9910-5C7EC476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514356</xdr:colOff>
      <xdr:row>16</xdr:row>
      <xdr:rowOff>76200</xdr:rowOff>
    </xdr:from>
    <xdr:to>
      <xdr:col>18</xdr:col>
      <xdr:colOff>285756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503E8-D020-4E9E-A3A7-A42E075E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12</xdr:row>
      <xdr:rowOff>176212</xdr:rowOff>
    </xdr:from>
    <xdr:to>
      <xdr:col>15</xdr:col>
      <xdr:colOff>542925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15415-73CC-49B0-9067-A05FED51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62D4D-562B-45D9-9378-8ED43EA292D9}" name="Table3" displayName="Table3" ref="A1:V21" totalsRowShown="0">
  <autoFilter ref="A1:V21" xr:uid="{91C0D84F-70AF-4BF6-AD92-FB4F9CF4A6E7}"/>
  <tableColumns count="22">
    <tableColumn id="1" xr3:uid="{267694D7-DB0F-4BF7-9878-C996ABEF7E76}" name="Tahun"/>
    <tableColumn id="2" xr3:uid="{DAF1F03A-34F8-4A01-96EC-FBBBB7A1AE7B}" name="2000"/>
    <tableColumn id="3" xr3:uid="{5B7E783B-75BC-44BE-B3FD-EF6B79E1B1F7}" name="2001"/>
    <tableColumn id="4" xr3:uid="{D8B17629-FBBE-45EE-BFF0-36F67DB1E19D}" name="2002"/>
    <tableColumn id="5" xr3:uid="{420CE4B0-2FFE-4E69-A24D-F42010C68577}" name="2003"/>
    <tableColumn id="6" xr3:uid="{FC24B216-B05C-4A01-960C-AD8F2FB85197}" name="2004"/>
    <tableColumn id="7" xr3:uid="{5B1E5D02-9AAC-407D-8676-8582BD281205}" name="2005"/>
    <tableColumn id="8" xr3:uid="{FFC8DC2A-54A6-4731-9A0B-8F0DEFB194A3}" name="2006"/>
    <tableColumn id="9" xr3:uid="{64017692-B66F-48C5-8038-787A8BA33B52}" name="2007"/>
    <tableColumn id="10" xr3:uid="{575905C2-0111-4285-B9FF-22693499192C}" name="2008"/>
    <tableColumn id="11" xr3:uid="{FFB0701C-33DD-4758-9047-C6264EF1A86F}" name="2009"/>
    <tableColumn id="12" xr3:uid="{D8A35352-F602-40C3-9306-F61969CED46C}" name="2010"/>
    <tableColumn id="13" xr3:uid="{9FD3305C-F37D-4ABD-A4C0-C09B22C633B4}" name="2011"/>
    <tableColumn id="14" xr3:uid="{26ADA723-6FC7-4669-8CA3-B19D512FF1B1}" name="2012"/>
    <tableColumn id="15" xr3:uid="{7C37A97E-4B28-4E52-9570-57D58ED3A148}" name="2013"/>
    <tableColumn id="16" xr3:uid="{36B665FC-3C86-4ED2-9C8A-CC83B9DEC85E}" name="2014"/>
    <tableColumn id="17" xr3:uid="{101B4DF0-6DC4-499D-B048-0E3EF52297FD}" name="2015"/>
    <tableColumn id="18" xr3:uid="{BEC49509-D4B4-4E57-A29A-0D106CEFAA75}" name="2016"/>
    <tableColumn id="19" xr3:uid="{5A9B0453-9910-4F83-A452-65B0B3964235}" name="2017"/>
    <tableColumn id="20" xr3:uid="{A02517EE-EBA4-41FA-A4BC-B186132C8557}" name="2018"/>
    <tableColumn id="21" xr3:uid="{60CF2BCC-36C1-42AA-BA47-F25597C39D39}" name="2019"/>
    <tableColumn id="22" xr3:uid="{3442736E-E306-4096-8B1B-965B5680DE76}" name="202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9148-E882-4C46-A558-22A049E238AA}">
  <dimension ref="A1:AZ3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7" sqref="L7"/>
    </sheetView>
  </sheetViews>
  <sheetFormatPr defaultRowHeight="15" x14ac:dyDescent="0.25"/>
  <cols>
    <col min="1" max="1" width="65.140625" customWidth="1"/>
    <col min="2" max="2" width="18.28515625" bestFit="1" customWidth="1"/>
    <col min="3" max="8" width="13.85546875" bestFit="1" customWidth="1"/>
    <col min="9" max="9" width="17" bestFit="1" customWidth="1"/>
    <col min="10" max="10" width="13.85546875" bestFit="1" customWidth="1"/>
    <col min="11" max="20" width="14.85546875" bestFit="1" customWidth="1"/>
    <col min="21" max="22" width="12.5703125" bestFit="1" customWidth="1"/>
  </cols>
  <sheetData>
    <row r="1" spans="1:52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401</v>
      </c>
      <c r="B2" s="31">
        <f>'Tenaga Listrik'!B2</f>
        <v>8438286</v>
      </c>
      <c r="C2" s="31">
        <f>'Tenaga Listrik'!C2</f>
        <v>7951680</v>
      </c>
      <c r="D2" s="31">
        <f>'Tenaga Listrik'!D2</f>
        <v>8709487</v>
      </c>
      <c r="E2" s="31">
        <f>'Tenaga Listrik'!E2</f>
        <v>8716527.1180000007</v>
      </c>
      <c r="F2" s="31">
        <f>'Tenaga Listrik'!F2</f>
        <v>9070313.5830000006</v>
      </c>
      <c r="G2" s="31">
        <f>'Tenaga Listrik'!G2</f>
        <v>9706816.966</v>
      </c>
      <c r="H2" s="31">
        <f>'Tenaga Listrik'!H2</f>
        <v>9706816.966</v>
      </c>
      <c r="I2" s="31">
        <f>'Tenaga Listrik'!I2</f>
        <v>10907518.685000001</v>
      </c>
      <c r="J2" s="31">
        <f>'Tenaga Listrik'!J2</f>
        <v>11536602.516000001</v>
      </c>
      <c r="K2" s="31">
        <f>'Tenaga Listrik'!K2</f>
        <v>12628890.290999999</v>
      </c>
      <c r="L2" s="31">
        <f>'Tenaga Listrik'!L2</f>
        <v>12985322.311000001</v>
      </c>
      <c r="M2" s="31">
        <f>'Tenaga Listrik'!M2</f>
        <v>14398233.092</v>
      </c>
      <c r="N2" s="31">
        <f>'Tenaga Listrik'!N2</f>
        <v>16102578.913000001</v>
      </c>
      <c r="O2" s="31">
        <f>'Tenaga Listrik'!O2</f>
        <v>17998810.967999998</v>
      </c>
      <c r="P2" s="31">
        <f>'Tenaga Listrik'!P2</f>
        <v>19411289.638</v>
      </c>
      <c r="Q2" s="31">
        <f>'Tenaga Listrik'!Q2</f>
        <v>20657458.344999999</v>
      </c>
      <c r="R2" s="31">
        <f>'Tenaga Listrik'!R2</f>
        <v>22178498</v>
      </c>
      <c r="S2" s="31">
        <f>'Tenaga Listrik'!S2</f>
        <v>23467004</v>
      </c>
      <c r="T2" s="31">
        <f>'Tenaga Listrik'!T2</f>
        <v>24854595</v>
      </c>
    </row>
    <row r="3" spans="1:52" x14ac:dyDescent="0.25">
      <c r="A3" t="s">
        <v>381</v>
      </c>
      <c r="B3" s="31">
        <f>B2*PLN!$T$20</f>
        <v>4556648.5052183867</v>
      </c>
      <c r="C3" s="31">
        <f>C2*PLN!$T$20</f>
        <v>4293882.7607851801</v>
      </c>
      <c r="D3" s="31">
        <f>D2*PLN!$T$20</f>
        <v>4703096.2116914466</v>
      </c>
      <c r="E3" s="31">
        <f>E2*PLN!$T$20</f>
        <v>4706897.8537738863</v>
      </c>
      <c r="F3" s="31">
        <f>F2*PLN!$T$20</f>
        <v>4897941.4575233618</v>
      </c>
      <c r="G3" s="31">
        <f>G2*PLN!$T$20</f>
        <v>5241651.3280721195</v>
      </c>
      <c r="H3" s="31">
        <f>H2*PLN!$T$20</f>
        <v>5241651.3280721195</v>
      </c>
      <c r="I3" s="31">
        <f>I2*PLN!$T$20</f>
        <v>5890026.5660167094</v>
      </c>
      <c r="J3" s="31">
        <f>J2*PLN!$T$20</f>
        <v>6229729.9012892051</v>
      </c>
      <c r="K3" s="31">
        <f>K2*PLN!$T$20</f>
        <v>6819561.9426803188</v>
      </c>
      <c r="L3" s="31">
        <f>L2*PLN!$T$20</f>
        <v>7012034.1379987728</v>
      </c>
      <c r="M3" s="31">
        <f>M2*PLN!$T$20</f>
        <v>7775001.6172061134</v>
      </c>
      <c r="N3" s="31">
        <f>N2*PLN!$T$20</f>
        <v>8695343.1222978886</v>
      </c>
      <c r="O3" s="31">
        <f>O2*PLN!$T$20</f>
        <v>9719302.6039939262</v>
      </c>
      <c r="P3" s="31">
        <f>P2*PLN!$T$20</f>
        <v>10482036.744589346</v>
      </c>
      <c r="Q3" s="31">
        <f>Q2*PLN!$T$20</f>
        <v>11154964.016312711</v>
      </c>
      <c r="R3" s="31">
        <f>R2*PLN!$T$20</f>
        <v>11976320.755149679</v>
      </c>
      <c r="S3" s="31">
        <f>S2*PLN!$T$20</f>
        <v>12672110.034970833</v>
      </c>
      <c r="T3" s="31">
        <f>T2*PLN!$T$20</f>
        <v>13421404.910257649</v>
      </c>
    </row>
    <row r="4" spans="1:52" x14ac:dyDescent="0.25">
      <c r="A4" t="s">
        <v>382</v>
      </c>
      <c r="B4" s="31">
        <f>B2*PLN!$T$21</f>
        <v>3881637.4947816133</v>
      </c>
      <c r="C4" s="31">
        <f>C2*PLN!$T$21</f>
        <v>3657797.2392148189</v>
      </c>
      <c r="D4" s="31">
        <f>D2*PLN!$T$21</f>
        <v>4006390.7883085529</v>
      </c>
      <c r="E4" s="31">
        <f>E2*PLN!$T$21</f>
        <v>4009629.2642261139</v>
      </c>
      <c r="F4" s="31">
        <f>F2*PLN!$T$21</f>
        <v>4172372.1254766383</v>
      </c>
      <c r="G4" s="31">
        <f>G2*PLN!$T$21</f>
        <v>4465165.6379278805</v>
      </c>
      <c r="H4" s="31">
        <f>H2*PLN!$T$21</f>
        <v>4465165.6379278805</v>
      </c>
      <c r="I4" s="31">
        <f>I2*PLN!$T$21</f>
        <v>5017492.1189832911</v>
      </c>
      <c r="J4" s="31">
        <f>J2*PLN!$T$21</f>
        <v>5306872.6147107957</v>
      </c>
      <c r="K4" s="31">
        <f>K2*PLN!$T$21</f>
        <v>5809328.3483196795</v>
      </c>
      <c r="L4" s="31">
        <f>L2*PLN!$T$21</f>
        <v>5973288.173001227</v>
      </c>
      <c r="M4" s="31">
        <f>M2*PLN!$T$21</f>
        <v>6623231.4747938858</v>
      </c>
      <c r="N4" s="31">
        <f>N2*PLN!$T$21</f>
        <v>7407235.7907021111</v>
      </c>
      <c r="O4" s="31">
        <f>O2*PLN!$T$21</f>
        <v>8279508.3640060714</v>
      </c>
      <c r="P4" s="31">
        <f>P2*PLN!$T$21</f>
        <v>8929252.8934106529</v>
      </c>
      <c r="Q4" s="31">
        <f>Q2*PLN!$T$21</f>
        <v>9502494.328687286</v>
      </c>
      <c r="R4" s="31">
        <f>R2*PLN!$T$21</f>
        <v>10202177.244850319</v>
      </c>
      <c r="S4" s="31">
        <f>S2*PLN!$T$21</f>
        <v>10794893.965029165</v>
      </c>
      <c r="T4" s="31">
        <f>T2*PLN!$T$21</f>
        <v>11433190.089742349</v>
      </c>
    </row>
    <row r="5" spans="1:52" x14ac:dyDescent="0.25">
      <c r="A5" t="s">
        <v>268</v>
      </c>
      <c r="B5" s="31"/>
      <c r="C5" s="31"/>
      <c r="D5" s="31">
        <f>'Tenaga Listrik'!D4</f>
        <v>22951800530</v>
      </c>
      <c r="E5" s="31"/>
      <c r="F5" s="31">
        <f>'Tenaga Listrik'!F4</f>
        <v>24156196900</v>
      </c>
      <c r="G5" s="31">
        <f>'Tenaga Listrik'!G4</f>
        <v>28405990641</v>
      </c>
      <c r="H5" s="31">
        <f>'Tenaga Listrik'!H4</f>
        <v>27271643895</v>
      </c>
      <c r="I5" s="31"/>
      <c r="J5" s="31"/>
      <c r="K5" s="31"/>
      <c r="L5" s="31">
        <f>'Tenaga Listrik'!L4</f>
        <v>34690926900</v>
      </c>
      <c r="M5" s="31">
        <f>'Tenaga Listrik'!M4</f>
        <v>37328871763</v>
      </c>
      <c r="N5" s="31">
        <f>'Tenaga Listrik'!N4</f>
        <v>40477158604</v>
      </c>
      <c r="O5" s="31">
        <f>'Tenaga Listrik'!O4</f>
        <v>43817826564</v>
      </c>
      <c r="P5" s="31">
        <f>'Tenaga Listrik'!P4</f>
        <v>46462450822</v>
      </c>
      <c r="Q5" s="31">
        <f>'Tenaga Listrik'!Q4</f>
        <v>47105730839</v>
      </c>
      <c r="R5" s="31">
        <f>'Tenaga Listrik'!R4</f>
        <v>47105730839</v>
      </c>
      <c r="S5" s="31">
        <f>'Tenaga Listrik'!S4</f>
        <v>50655175450</v>
      </c>
      <c r="T5" s="31">
        <f>'Tenaga Listrik'!T4</f>
        <v>52845359322</v>
      </c>
    </row>
    <row r="6" spans="1:52" x14ac:dyDescent="0.25">
      <c r="A6" t="s">
        <v>425</v>
      </c>
      <c r="B6" s="31"/>
      <c r="C6" s="31"/>
      <c r="D6" s="31">
        <f>'Listrik,Industri'!D29</f>
        <v>15779770000</v>
      </c>
      <c r="E6" s="31">
        <f>'Listrik,Industri'!E29</f>
        <v>14892085123</v>
      </c>
      <c r="F6" s="31">
        <f>'Listrik,Industri'!F29</f>
        <v>12010453000</v>
      </c>
      <c r="G6" s="31">
        <f>'Listrik,Industri'!G29</f>
        <v>12790710858</v>
      </c>
      <c r="H6" s="31">
        <f>'Listrik,Industri'!H29</f>
        <v>13018709771</v>
      </c>
      <c r="I6" s="31">
        <f>'Listrik,Industri'!I29</f>
        <v>14112842000</v>
      </c>
      <c r="J6" s="31">
        <f>'Listrik,Industri'!J29</f>
        <v>14766840809</v>
      </c>
      <c r="K6" s="31">
        <f>'Listrik,Industri'!K29</f>
        <v>14336095349</v>
      </c>
      <c r="L6" s="31">
        <f>'Listrik,Industri'!L29</f>
        <v>15712295508</v>
      </c>
      <c r="M6" s="31">
        <f>'Listrik,Industri'!M29</f>
        <v>17050460110</v>
      </c>
      <c r="N6" s="31">
        <f>'Listrik,Industri'!N29</f>
        <v>18534385413</v>
      </c>
      <c r="O6" s="31">
        <f>'Listrik,Industri'!O29</f>
        <v>19879769306</v>
      </c>
      <c r="P6" s="31">
        <f>'Listrik,Industri'!P29</f>
        <v>20910417283</v>
      </c>
      <c r="Q6" s="31">
        <f>'Listrik,Industri'!Q29</f>
        <v>26288633624</v>
      </c>
      <c r="R6" s="31">
        <f>'Listrik,Industri'!R29</f>
        <v>22187928000</v>
      </c>
      <c r="S6" s="31">
        <f>'Listrik,Industri'!S29</f>
        <v>22956679000</v>
      </c>
      <c r="T6" s="31">
        <f>'Listrik,Industri'!T29</f>
        <v>23903656000</v>
      </c>
      <c r="U6" s="31"/>
      <c r="V6" s="31"/>
    </row>
    <row r="7" spans="1:52" x14ac:dyDescent="0.25">
      <c r="A7" t="s">
        <v>424</v>
      </c>
      <c r="B7" s="31"/>
      <c r="C7" s="31">
        <f>'JDA Listrik,Household'!C31</f>
        <v>6616848206.932126</v>
      </c>
      <c r="D7" s="31">
        <f>'JDA Listrik,Household'!D31</f>
        <v>7016536000</v>
      </c>
      <c r="E7" s="31">
        <f>'JDA Listrik,Household'!E31</f>
        <v>7660942361</v>
      </c>
      <c r="F7" s="31">
        <f>'JDA Listrik,Household'!F31</f>
        <v>7494798000</v>
      </c>
      <c r="G7" s="31">
        <f>'JDA Listrik,Household'!G31</f>
        <v>8053599900</v>
      </c>
      <c r="H7" s="31">
        <f>'JDA Listrik,Household'!H31</f>
        <v>8631525480</v>
      </c>
      <c r="I7" s="31">
        <f>'JDA Listrik,Household'!I31</f>
        <v>9345913000</v>
      </c>
      <c r="J7" s="31">
        <f>'JDA Listrik,Household'!J31</f>
        <v>9877163690</v>
      </c>
      <c r="K7" s="31">
        <f>'JDA Listrik,Household'!K31</f>
        <v>10723598179</v>
      </c>
      <c r="L7" s="35">
        <f>'JDA Listrik,Household'!L31</f>
        <v>11748726666</v>
      </c>
      <c r="M7" s="31">
        <f>'JDA Listrik,Household'!M31</f>
        <v>12552127051</v>
      </c>
      <c r="N7" s="31">
        <f>'JDA Listrik,Household'!N31</f>
        <v>13627774593</v>
      </c>
      <c r="O7" s="31">
        <f>'JDA Listrik,Household'!O31</f>
        <v>14486337716</v>
      </c>
      <c r="P7" s="31">
        <f>'JDA Listrik,Household'!P31</f>
        <v>15897744962</v>
      </c>
      <c r="Q7" s="31">
        <f>'JDA Listrik,Household'!Q31</f>
        <v>18425554891</v>
      </c>
      <c r="R7" s="31">
        <f>'JDA Listrik,Household'!R31</f>
        <v>17464021000</v>
      </c>
      <c r="S7" s="31">
        <f>'JDA Listrik,Household'!S31</f>
        <v>17555203000</v>
      </c>
      <c r="T7" s="31">
        <f>'JDA Listrik,Household'!T31</f>
        <v>17933627000</v>
      </c>
      <c r="U7" s="31"/>
      <c r="V7" s="31"/>
    </row>
    <row r="8" spans="1:52" x14ac:dyDescent="0.25">
      <c r="A8" t="s">
        <v>426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52" x14ac:dyDescent="0.25">
      <c r="A9" t="s">
        <v>405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52" x14ac:dyDescent="0.25">
      <c r="A10" t="s">
        <v>329</v>
      </c>
      <c r="D10">
        <f>'Listrik,Industri'!D29</f>
        <v>15779770000</v>
      </c>
      <c r="E10">
        <f>'Listrik,Industri'!E29</f>
        <v>14892085123</v>
      </c>
      <c r="F10">
        <f>'Listrik,Industri'!F29</f>
        <v>12010453000</v>
      </c>
      <c r="G10">
        <f>'Listrik,Industri'!G29</f>
        <v>12790710858</v>
      </c>
      <c r="H10">
        <f>'Listrik,Industri'!H29</f>
        <v>13018709771</v>
      </c>
      <c r="I10">
        <f>'Listrik,Industri'!I29</f>
        <v>14112842000</v>
      </c>
      <c r="J10">
        <f>'Listrik,Industri'!J29</f>
        <v>14766840809</v>
      </c>
      <c r="K10">
        <f>'Listrik,Industri'!K29</f>
        <v>14336095349</v>
      </c>
      <c r="L10">
        <f>'Listrik,Industri'!L29</f>
        <v>15712295508</v>
      </c>
      <c r="M10">
        <f>'Listrik,Industri'!M29</f>
        <v>17050460110</v>
      </c>
      <c r="N10">
        <f>'Listrik,Industri'!N29</f>
        <v>18534385413</v>
      </c>
      <c r="O10">
        <f>'Listrik,Industri'!O29</f>
        <v>19879769306</v>
      </c>
      <c r="P10">
        <f>'Listrik,Industri'!P29</f>
        <v>20910417283</v>
      </c>
      <c r="Q10">
        <f>'Listrik,Industri'!Q29</f>
        <v>26288633624</v>
      </c>
      <c r="R10">
        <f>'Listrik,Industri'!R29</f>
        <v>22187928000</v>
      </c>
      <c r="S10">
        <f>'Listrik,Industri'!S29</f>
        <v>22956679000</v>
      </c>
      <c r="T10">
        <f>'Listrik,Industri'!T29</f>
        <v>23903656000</v>
      </c>
    </row>
    <row r="11" spans="1:52" x14ac:dyDescent="0.25">
      <c r="A11" t="s">
        <v>330</v>
      </c>
      <c r="B11" s="54">
        <f>'JDA Listrik,Household'!B31</f>
        <v>6239928106.0598679</v>
      </c>
      <c r="C11" s="54">
        <f>'JDA Listrik,Household'!C31</f>
        <v>6616848206.932126</v>
      </c>
      <c r="D11" s="54">
        <f>'JDA Listrik,Household'!D31</f>
        <v>7016536000</v>
      </c>
      <c r="E11" s="54">
        <f>'JDA Listrik,Household'!E31</f>
        <v>7660942361</v>
      </c>
      <c r="F11" s="54">
        <f>'JDA Listrik,Household'!F31</f>
        <v>7494798000</v>
      </c>
      <c r="G11" s="54">
        <f>'JDA Listrik,Household'!G31</f>
        <v>8053599900</v>
      </c>
      <c r="H11" s="54">
        <f>'JDA Listrik,Household'!H31</f>
        <v>8631525480</v>
      </c>
      <c r="I11" s="54">
        <f>'JDA Listrik,Household'!I31</f>
        <v>9345913000</v>
      </c>
      <c r="J11" s="54">
        <f>'JDA Listrik,Household'!J31</f>
        <v>9877163690</v>
      </c>
      <c r="K11" s="54">
        <f>'JDA Listrik,Household'!K31</f>
        <v>10723598179</v>
      </c>
      <c r="L11" s="54">
        <f>'JDA Listrik,Household'!L31</f>
        <v>11748726666</v>
      </c>
      <c r="M11" s="54">
        <f>'JDA Listrik,Household'!M31</f>
        <v>12552127051</v>
      </c>
      <c r="N11" s="54">
        <f>'JDA Listrik,Household'!N31</f>
        <v>13627774593</v>
      </c>
      <c r="O11" s="54">
        <f>'JDA Listrik,Household'!O31</f>
        <v>14486337716</v>
      </c>
      <c r="P11" s="54">
        <f>'JDA Listrik,Household'!P31</f>
        <v>15897744962</v>
      </c>
      <c r="Q11" s="54">
        <f>'JDA Listrik,Household'!Q31</f>
        <v>18425554891</v>
      </c>
      <c r="R11" s="54">
        <f>'JDA Listrik,Household'!R31</f>
        <v>17464021000</v>
      </c>
      <c r="S11" s="54">
        <f>'JDA Listrik,Household'!S31</f>
        <v>17555203000</v>
      </c>
      <c r="T11" s="54">
        <f>'JDA Listrik,Household'!T31</f>
        <v>17933627000</v>
      </c>
      <c r="U11" s="54"/>
    </row>
    <row r="12" spans="1:52" x14ac:dyDescent="0.25">
      <c r="A12" t="s">
        <v>267</v>
      </c>
      <c r="B12" s="81">
        <f>ROUND(Penduduk!C36,0)</f>
        <v>35723473</v>
      </c>
      <c r="C12" s="81">
        <f>ROUND(Penduduk!D36,0)</f>
        <v>36491234</v>
      </c>
      <c r="D12" s="81">
        <f>ROUND(Penduduk!E36,0)</f>
        <v>37184567</v>
      </c>
      <c r="E12" s="81">
        <f>ROUND(Penduduk!F36,0)</f>
        <v>37891074</v>
      </c>
      <c r="F12" s="81">
        <f>ROUND(Penduduk!G36,0)</f>
        <v>38611004</v>
      </c>
      <c r="G12" s="81">
        <f>ROUND(Penduduk!H36,0)</f>
        <v>39344613</v>
      </c>
      <c r="H12" s="81">
        <f>ROUND(Penduduk!I36,0)</f>
        <v>40092161</v>
      </c>
      <c r="I12" s="81">
        <f>ROUND(Penduduk!J36,0)</f>
        <v>40853912</v>
      </c>
      <c r="J12" s="81">
        <f>ROUND(Penduduk!K36,0)</f>
        <v>41630136</v>
      </c>
      <c r="K12" s="81">
        <f>ROUND(Penduduk!L36,0)</f>
        <v>42421109</v>
      </c>
      <c r="L12" s="81">
        <f>ROUND(Penduduk!M36,0)</f>
        <v>43227110</v>
      </c>
      <c r="M12" s="81">
        <f>ROUND(Penduduk!N36,0)</f>
        <v>43892807</v>
      </c>
      <c r="N12" s="81">
        <f>ROUND(Penduduk!O36,0)</f>
        <v>44568757</v>
      </c>
      <c r="O12" s="81">
        <f>ROUND(Penduduk!P36,0)</f>
        <v>45255116</v>
      </c>
      <c r="P12" s="81">
        <f>ROUND(Penduduk!Q36,0)</f>
        <v>45952044</v>
      </c>
      <c r="Q12" s="81">
        <f>ROUND(Penduduk!R36,0)</f>
        <v>46659706</v>
      </c>
      <c r="R12" s="81">
        <f>ROUND(Penduduk!S36,0)</f>
        <v>47378265</v>
      </c>
      <c r="S12" s="81">
        <f>ROUND(Penduduk!T36,0)</f>
        <v>48107891</v>
      </c>
      <c r="T12" s="81">
        <f>ROUND(Penduduk!U36,0)</f>
        <v>48776590</v>
      </c>
      <c r="U12" s="81">
        <f>ROUND(Penduduk!V36,0)</f>
        <v>49454585</v>
      </c>
      <c r="V12" s="81">
        <f>ROUND(Penduduk!W36,0)</f>
        <v>50142004</v>
      </c>
    </row>
    <row r="13" spans="1:52" x14ac:dyDescent="0.25">
      <c r="A13" t="s">
        <v>400</v>
      </c>
      <c r="B13" s="81">
        <f>ROUND(Penduduk!C37,0)</f>
        <v>9448458</v>
      </c>
      <c r="C13" s="81">
        <f>ROUND(Penduduk!D37,0)</f>
        <v>9651522</v>
      </c>
      <c r="D13" s="81">
        <f>ROUND(Penduduk!E37,0)</f>
        <v>9834901</v>
      </c>
      <c r="E13" s="81">
        <f>ROUND(Penduduk!F37,0)</f>
        <v>10021764</v>
      </c>
      <c r="F13" s="81">
        <f>ROUND(Penduduk!G37,0)</f>
        <v>10212178</v>
      </c>
      <c r="G13" s="81">
        <f>ROUND(Penduduk!H37,0)</f>
        <v>10406209</v>
      </c>
      <c r="H13" s="81">
        <f>ROUND(Penduduk!I37,0)</f>
        <v>10603927</v>
      </c>
      <c r="I13" s="81">
        <f>ROUND(Penduduk!J37,0)</f>
        <v>10805402</v>
      </c>
      <c r="J13" s="81">
        <f>ROUND(Penduduk!K37,0)</f>
        <v>11010704</v>
      </c>
      <c r="K13" s="81">
        <f>ROUND(Penduduk!L37,0)</f>
        <v>11219908</v>
      </c>
      <c r="L13" s="81">
        <f>ROUND(Penduduk!M37,0)</f>
        <v>11433086</v>
      </c>
      <c r="M13" s="81">
        <f>ROUND(Penduduk!N37,0)</f>
        <v>11609156</v>
      </c>
      <c r="N13" s="81">
        <f>ROUND(Penduduk!O37,0)</f>
        <v>11787937</v>
      </c>
      <c r="O13" s="81">
        <f>ROUND(Penduduk!P37,0)</f>
        <v>11969471</v>
      </c>
      <c r="P13" s="81">
        <f>ROUND(Penduduk!Q37,0)</f>
        <v>12153801</v>
      </c>
      <c r="Q13" s="81">
        <f>ROUND(Penduduk!R37,0)</f>
        <v>12340969</v>
      </c>
      <c r="R13" s="81">
        <f>ROUND(Penduduk!S37,0)</f>
        <v>12531020</v>
      </c>
      <c r="S13" s="81">
        <f>ROUND(Penduduk!T37,0)</f>
        <v>12723998</v>
      </c>
      <c r="T13" s="81">
        <f>ROUND(Penduduk!U37,0)</f>
        <v>12900861</v>
      </c>
      <c r="U13" s="81">
        <f>ROUND(Penduduk!V37,0)</f>
        <v>13080183</v>
      </c>
      <c r="V13" s="81">
        <f>ROUND(Penduduk!W37,0)</f>
        <v>13261998</v>
      </c>
    </row>
    <row r="14" spans="1:52" x14ac:dyDescent="0.25">
      <c r="A14" t="s">
        <v>278</v>
      </c>
      <c r="B14">
        <v>5349236.2897534845</v>
      </c>
      <c r="C14">
        <v>5620742.8338585971</v>
      </c>
      <c r="D14">
        <v>5906030</v>
      </c>
      <c r="E14">
        <v>6138618</v>
      </c>
      <c r="F14">
        <v>5821881</v>
      </c>
      <c r="G14">
        <v>6060583</v>
      </c>
      <c r="H14">
        <v>6171699</v>
      </c>
      <c r="I14">
        <v>6660238</v>
      </c>
      <c r="J14">
        <v>6999908</v>
      </c>
      <c r="K14">
        <v>7227571</v>
      </c>
      <c r="L14">
        <v>7740064</v>
      </c>
      <c r="M14">
        <v>8204882</v>
      </c>
      <c r="N14">
        <v>8935976</v>
      </c>
      <c r="O14">
        <v>9698693</v>
      </c>
      <c r="P14">
        <v>10354331</v>
      </c>
      <c r="Q14">
        <v>12378723</v>
      </c>
      <c r="R14">
        <v>11747972</v>
      </c>
      <c r="S14">
        <v>12388399</v>
      </c>
      <c r="T14">
        <v>13041471</v>
      </c>
    </row>
    <row r="15" spans="1:52" x14ac:dyDescent="0.25">
      <c r="A15" t="s">
        <v>279</v>
      </c>
      <c r="K15" s="14">
        <v>10636</v>
      </c>
      <c r="L15" s="14">
        <v>10792</v>
      </c>
      <c r="M15" s="14">
        <v>11201</v>
      </c>
      <c r="N15" s="14">
        <v>11778</v>
      </c>
      <c r="O15" s="14">
        <v>12471</v>
      </c>
      <c r="P15" s="14">
        <v>12926</v>
      </c>
      <c r="Q15" s="14">
        <v>14248</v>
      </c>
      <c r="R15" s="14">
        <v>13999</v>
      </c>
      <c r="S15" s="14">
        <v>14590</v>
      </c>
      <c r="T15" s="14">
        <v>15142</v>
      </c>
    </row>
    <row r="16" spans="1:52" x14ac:dyDescent="0.25">
      <c r="A16" t="s">
        <v>302</v>
      </c>
      <c r="B16">
        <v>3588765.4257785468</v>
      </c>
      <c r="C16">
        <v>3829840.1364271501</v>
      </c>
      <c r="D16">
        <v>4087109</v>
      </c>
      <c r="E16">
        <v>4335150</v>
      </c>
      <c r="F16">
        <v>4237805</v>
      </c>
      <c r="G16">
        <v>4556800.45</v>
      </c>
      <c r="H16">
        <v>4681082.8499999996</v>
      </c>
      <c r="I16">
        <v>5117953</v>
      </c>
      <c r="J16">
        <v>5413224.9500000002</v>
      </c>
      <c r="K16">
        <v>5639606.5999999996</v>
      </c>
      <c r="L16">
        <v>6192060.9500000002</v>
      </c>
      <c r="M16">
        <v>6772206.9000000004</v>
      </c>
      <c r="N16">
        <v>7423448.5</v>
      </c>
      <c r="O16">
        <v>8189723.0499999998</v>
      </c>
      <c r="P16">
        <v>8749862.5500000007</v>
      </c>
      <c r="Q16">
        <v>10226279.050000001</v>
      </c>
      <c r="R16">
        <v>11747972</v>
      </c>
      <c r="S16">
        <v>10858705</v>
      </c>
      <c r="T16">
        <v>11566059</v>
      </c>
    </row>
    <row r="17" spans="1:32" x14ac:dyDescent="0.25">
      <c r="A17" t="s">
        <v>303</v>
      </c>
      <c r="D17" s="52">
        <v>4398463</v>
      </c>
      <c r="E17" s="52">
        <v>4392910</v>
      </c>
      <c r="F17" s="52">
        <v>3525224</v>
      </c>
      <c r="G17" s="52">
        <v>3674756</v>
      </c>
      <c r="H17" s="52">
        <v>3713287.3</v>
      </c>
      <c r="I17" s="52">
        <v>3980153</v>
      </c>
      <c r="J17" s="14">
        <v>4152997.85</v>
      </c>
      <c r="K17" s="14">
        <v>4225273.25</v>
      </c>
      <c r="L17" s="14">
        <v>4446774.25</v>
      </c>
      <c r="M17" s="14">
        <v>5051444.2510000002</v>
      </c>
      <c r="N17" s="14">
        <v>5765510.5499999998</v>
      </c>
      <c r="O17" s="14">
        <v>6246436.8499999996</v>
      </c>
      <c r="P17" s="14">
        <v>6696942.1500000004</v>
      </c>
      <c r="Q17" s="14">
        <v>9593763.4499999993</v>
      </c>
      <c r="R17" s="14">
        <v>8526222.445212489</v>
      </c>
      <c r="S17" s="14">
        <v>7948307</v>
      </c>
      <c r="T17" s="14">
        <v>8235088</v>
      </c>
    </row>
    <row r="18" spans="1:32" x14ac:dyDescent="0.25">
      <c r="A18" t="s">
        <v>326</v>
      </c>
      <c r="B18">
        <v>814558</v>
      </c>
      <c r="C18">
        <v>928118</v>
      </c>
      <c r="D18">
        <v>1383537</v>
      </c>
      <c r="E18">
        <v>236343</v>
      </c>
      <c r="F18">
        <v>2576582</v>
      </c>
      <c r="G18">
        <v>2831287</v>
      </c>
      <c r="H18">
        <v>1993956</v>
      </c>
      <c r="I18">
        <v>3655392</v>
      </c>
      <c r="J18">
        <v>3905489</v>
      </c>
      <c r="K18">
        <v>4268461</v>
      </c>
      <c r="L18">
        <v>4726776</v>
      </c>
      <c r="M18">
        <v>5111189</v>
      </c>
      <c r="N18">
        <v>4231158</v>
      </c>
      <c r="O18">
        <v>6613617</v>
      </c>
      <c r="P18">
        <v>7435801</v>
      </c>
      <c r="Q18">
        <v>8126421</v>
      </c>
      <c r="R18">
        <v>9881661</v>
      </c>
      <c r="S18">
        <v>6616046</v>
      </c>
      <c r="T18">
        <v>6572519</v>
      </c>
    </row>
    <row r="19" spans="1:32" x14ac:dyDescent="0.25">
      <c r="A19" t="s">
        <v>325</v>
      </c>
      <c r="B19">
        <v>167588</v>
      </c>
      <c r="C19">
        <v>251674</v>
      </c>
      <c r="D19">
        <v>237630</v>
      </c>
      <c r="E19">
        <v>5754</v>
      </c>
      <c r="F19">
        <v>133162</v>
      </c>
      <c r="G19">
        <v>385993</v>
      </c>
      <c r="H19">
        <v>989792</v>
      </c>
      <c r="I19">
        <v>386706</v>
      </c>
      <c r="J19">
        <v>375606</v>
      </c>
      <c r="K19">
        <v>330719</v>
      </c>
      <c r="L19">
        <v>345414</v>
      </c>
      <c r="M19">
        <v>350110</v>
      </c>
      <c r="N19">
        <v>244520</v>
      </c>
      <c r="O19">
        <v>415950</v>
      </c>
      <c r="P19">
        <v>444490</v>
      </c>
      <c r="Q19">
        <v>465908</v>
      </c>
      <c r="R19">
        <v>551920</v>
      </c>
      <c r="S19">
        <v>353801</v>
      </c>
      <c r="T19">
        <v>358055</v>
      </c>
    </row>
    <row r="20" spans="1:32" x14ac:dyDescent="0.25">
      <c r="A20" t="s">
        <v>331</v>
      </c>
      <c r="I20">
        <f>pertamina!I6</f>
        <v>4515206568.349762</v>
      </c>
      <c r="J20">
        <f>pertamina!J6</f>
        <v>3599306410</v>
      </c>
      <c r="K20">
        <f>pertamina!K6</f>
        <v>5299686636.999999</v>
      </c>
      <c r="L20">
        <f>pertamina!L6</f>
        <v>5649864729.999999</v>
      </c>
      <c r="M20">
        <f>pertamina!M6</f>
        <v>6282854594</v>
      </c>
    </row>
    <row r="21" spans="1:32" x14ac:dyDescent="0.25">
      <c r="A21" t="s">
        <v>337</v>
      </c>
    </row>
    <row r="22" spans="1:32" x14ac:dyDescent="0.25">
      <c r="A22" t="s">
        <v>338</v>
      </c>
    </row>
    <row r="23" spans="1:32" x14ac:dyDescent="0.25">
      <c r="A23" t="s">
        <v>339</v>
      </c>
    </row>
    <row r="24" spans="1:32" x14ac:dyDescent="0.25">
      <c r="A24" t="s">
        <v>402</v>
      </c>
    </row>
    <row r="25" spans="1:32" x14ac:dyDescent="0.25">
      <c r="A25" t="s">
        <v>403</v>
      </c>
    </row>
    <row r="26" spans="1:32" x14ac:dyDescent="0.25">
      <c r="A26" t="s">
        <v>404</v>
      </c>
    </row>
    <row r="27" spans="1:32" x14ac:dyDescent="0.25">
      <c r="A27" t="s">
        <v>406</v>
      </c>
      <c r="L27">
        <f>'data emisi jabar Household'!L38</f>
        <v>968540000</v>
      </c>
      <c r="M27">
        <f>'data emisi jabar Household'!M38</f>
        <v>1108304000</v>
      </c>
      <c r="N27">
        <f>'data emisi jabar Household'!N38</f>
        <v>1248068000</v>
      </c>
      <c r="O27">
        <f>'data emisi jabar Household'!O38</f>
        <v>1387832000</v>
      </c>
      <c r="P27">
        <f>'data emisi jabar Household'!P38</f>
        <v>1527596000</v>
      </c>
      <c r="Q27">
        <f>'data emisi jabar Household'!Q38</f>
        <v>1667360000</v>
      </c>
      <c r="R27">
        <f>'data emisi jabar Household'!R38</f>
        <v>1701688000</v>
      </c>
      <c r="S27">
        <f>'data emisi jabar Household'!S38</f>
        <v>1736016000</v>
      </c>
      <c r="T27">
        <f>'data emisi jabar Household'!T38</f>
        <v>1770344000</v>
      </c>
      <c r="U27">
        <f>'data emisi jabar Household'!U38</f>
        <v>1804672000</v>
      </c>
      <c r="V27">
        <f>'data emisi jabar Household'!V38</f>
        <v>1839000000</v>
      </c>
      <c r="W27">
        <f>'data emisi jabar Household'!W38</f>
        <v>1839000000</v>
      </c>
      <c r="X27">
        <f>'data emisi jabar Household'!X38</f>
        <v>1839000000</v>
      </c>
      <c r="Y27">
        <f>'data emisi jabar Household'!Y38</f>
        <v>1839000000</v>
      </c>
      <c r="Z27">
        <f>'data emisi jabar Household'!Z38</f>
        <v>1839000000</v>
      </c>
      <c r="AA27">
        <f>'data emisi jabar Household'!AA38</f>
        <v>1839000000</v>
      </c>
      <c r="AB27">
        <f>'data emisi jabar Household'!AB38</f>
        <v>1839000000</v>
      </c>
      <c r="AC27">
        <f>'data emisi jabar Household'!AC38</f>
        <v>1839000000</v>
      </c>
      <c r="AD27">
        <f>'data emisi jabar Household'!AD38</f>
        <v>1839000000</v>
      </c>
      <c r="AE27">
        <f>'data emisi jabar Household'!AE38</f>
        <v>1839000000</v>
      </c>
      <c r="AF27">
        <f>'data emisi jabar Household'!AF38</f>
        <v>1839000000</v>
      </c>
    </row>
    <row r="28" spans="1:32" x14ac:dyDescent="0.25">
      <c r="A28" t="s">
        <v>407</v>
      </c>
      <c r="L28">
        <f>'data emisi jabar Household'!L39</f>
        <v>3500000</v>
      </c>
      <c r="M28">
        <f>'data emisi jabar Household'!M39</f>
        <v>3100000</v>
      </c>
      <c r="N28">
        <f>'data emisi jabar Household'!N39</f>
        <v>2700000</v>
      </c>
      <c r="O28">
        <f>'data emisi jabar Household'!O39</f>
        <v>2300000</v>
      </c>
      <c r="P28">
        <f>'data emisi jabar Household'!P39</f>
        <v>1900000</v>
      </c>
      <c r="Q28">
        <f>'data emisi jabar Household'!Q39</f>
        <v>1500000</v>
      </c>
      <c r="R28">
        <f>'data emisi jabar Household'!R39</f>
        <v>1550000</v>
      </c>
      <c r="S28">
        <f>'data emisi jabar Household'!S39</f>
        <v>1600000</v>
      </c>
      <c r="T28">
        <f>'data emisi jabar Household'!T39</f>
        <v>1650000</v>
      </c>
      <c r="U28">
        <f>'data emisi jabar Household'!U39</f>
        <v>1700000</v>
      </c>
      <c r="V28">
        <f>'data emisi jabar Household'!V39</f>
        <v>1750000</v>
      </c>
      <c r="W28">
        <f>'data emisi jabar Household'!W39</f>
        <v>1750000</v>
      </c>
      <c r="X28">
        <f>'data emisi jabar Household'!X39</f>
        <v>1750000</v>
      </c>
      <c r="Y28">
        <f>'data emisi jabar Household'!Y39</f>
        <v>1750000</v>
      </c>
      <c r="Z28">
        <f>'data emisi jabar Household'!Z39</f>
        <v>1750000</v>
      </c>
      <c r="AA28">
        <f>'data emisi jabar Household'!AA39</f>
        <v>1750000</v>
      </c>
      <c r="AB28">
        <f>'data emisi jabar Household'!AB39</f>
        <v>1750000</v>
      </c>
      <c r="AC28">
        <f>'data emisi jabar Household'!AC39</f>
        <v>1750000</v>
      </c>
      <c r="AD28">
        <f>'data emisi jabar Household'!AD39</f>
        <v>1750000</v>
      </c>
      <c r="AE28">
        <f>'data emisi jabar Household'!AE39</f>
        <v>1750000</v>
      </c>
      <c r="AF28">
        <f>'data emisi jabar Household'!AF39</f>
        <v>1750000</v>
      </c>
    </row>
    <row r="29" spans="1:32" x14ac:dyDescent="0.25">
      <c r="A29" t="s">
        <v>410</v>
      </c>
      <c r="L29">
        <f>'data emisi jabar Household'!L40</f>
        <v>3057000000</v>
      </c>
      <c r="M29">
        <f>'data emisi jabar Household'!M40</f>
        <v>3498000000</v>
      </c>
      <c r="N29">
        <f>'data emisi jabar Household'!N40</f>
        <v>3939000000</v>
      </c>
      <c r="O29">
        <f>'data emisi jabar Household'!O40</f>
        <v>4380000000</v>
      </c>
      <c r="P29">
        <f>'data emisi jabar Household'!P40</f>
        <v>4821000000</v>
      </c>
      <c r="Q29">
        <f>'data emisi jabar Household'!Q40</f>
        <v>5262000000</v>
      </c>
      <c r="R29">
        <f>'data emisi jabar Household'!R40</f>
        <v>5371000000</v>
      </c>
      <c r="S29">
        <f>'data emisi jabar Household'!S40</f>
        <v>5479000000</v>
      </c>
      <c r="T29">
        <f>'data emisi jabar Household'!T40</f>
        <v>5587000000</v>
      </c>
      <c r="U29">
        <f>'data emisi jabar Household'!U40</f>
        <v>5696000000</v>
      </c>
      <c r="V29">
        <f>'data emisi jabar Household'!V40</f>
        <v>5804000000</v>
      </c>
      <c r="W29">
        <f>'data emisi jabar Household'!W40</f>
        <v>6036000000</v>
      </c>
      <c r="X29">
        <f>'data emisi jabar Household'!X40</f>
        <v>6160000000</v>
      </c>
      <c r="Y29">
        <f>'data emisi jabar Household'!Y40</f>
        <v>6284000000</v>
      </c>
      <c r="Z29">
        <f>'data emisi jabar Household'!Z40</f>
        <v>6408000000</v>
      </c>
      <c r="AA29">
        <f>'data emisi jabar Household'!AA40</f>
        <v>6423000000</v>
      </c>
      <c r="AB29">
        <f>'data emisi jabar Household'!AB40</f>
        <v>6555000000</v>
      </c>
      <c r="AC29">
        <f>'data emisi jabar Household'!AC40</f>
        <v>6686000000</v>
      </c>
      <c r="AD29">
        <f>'data emisi jabar Household'!AD40</f>
        <v>6818000000</v>
      </c>
      <c r="AE29">
        <f>'data emisi jabar Household'!AE40</f>
        <v>6949000000</v>
      </c>
      <c r="AF29">
        <f>'data emisi jabar Household'!AF40</f>
        <v>7081000000</v>
      </c>
    </row>
    <row r="30" spans="1:32" x14ac:dyDescent="0.25">
      <c r="A30" t="s">
        <v>411</v>
      </c>
      <c r="L30">
        <f>'data emisi jabar Household'!L41</f>
        <v>1548000000</v>
      </c>
      <c r="M30">
        <f>'data emisi jabar Household'!M41</f>
        <v>1364000000</v>
      </c>
      <c r="N30">
        <f>'data emisi jabar Household'!N41</f>
        <v>1188000000</v>
      </c>
      <c r="O30">
        <f>'data emisi jabar Household'!O41</f>
        <v>1012000000</v>
      </c>
      <c r="P30">
        <f>'data emisi jabar Household'!P41</f>
        <v>836000000</v>
      </c>
      <c r="Q30">
        <f>'data emisi jabar Household'!Q41</f>
        <v>660000000</v>
      </c>
      <c r="R30">
        <f>'data emisi jabar Household'!R41</f>
        <v>682000000</v>
      </c>
      <c r="S30">
        <f>'data emisi jabar Household'!S41</f>
        <v>704000000</v>
      </c>
      <c r="T30">
        <f>'data emisi jabar Household'!T41</f>
        <v>726000000</v>
      </c>
      <c r="U30">
        <f>'data emisi jabar Household'!U41</f>
        <v>748000000</v>
      </c>
      <c r="V30">
        <f>'data emisi jabar Household'!V41</f>
        <v>770000000</v>
      </c>
      <c r="W30">
        <f>'data emisi jabar Household'!W41</f>
        <v>792000000</v>
      </c>
      <c r="X30">
        <f>'data emisi jabar Household'!X41</f>
        <v>814000000</v>
      </c>
      <c r="Y30">
        <f>'data emisi jabar Household'!Y41</f>
        <v>836000000</v>
      </c>
      <c r="Z30">
        <f>'data emisi jabar Household'!Z41</f>
        <v>858000000</v>
      </c>
      <c r="AA30">
        <f>'data emisi jabar Household'!AA41</f>
        <v>880000000</v>
      </c>
      <c r="AB30">
        <f>'data emisi jabar Household'!AB41</f>
        <v>1637000000</v>
      </c>
      <c r="AC30">
        <f>'data emisi jabar Household'!AC41</f>
        <v>2393000000</v>
      </c>
      <c r="AD30">
        <f>'data emisi jabar Household'!AD41</f>
        <v>3150000000</v>
      </c>
      <c r="AE30">
        <f>'data emisi jabar Household'!AE41</f>
        <v>3907000000</v>
      </c>
      <c r="AF30">
        <f>'data emisi jabar Household'!AF41</f>
        <v>4664000000</v>
      </c>
    </row>
    <row r="31" spans="1:32" x14ac:dyDescent="0.25">
      <c r="A31" t="s">
        <v>414</v>
      </c>
      <c r="L31">
        <f>'data emisi jabar Household'!L42</f>
        <v>1511000</v>
      </c>
      <c r="M31">
        <f>'data emisi jabar Household'!M42</f>
        <v>1547000</v>
      </c>
      <c r="N31">
        <f>'data emisi jabar Household'!N42</f>
        <v>1582000</v>
      </c>
      <c r="O31">
        <f>'data emisi jabar Household'!O42</f>
        <v>1618000</v>
      </c>
      <c r="P31">
        <f>'data emisi jabar Household'!P42</f>
        <v>1653000</v>
      </c>
      <c r="Q31">
        <f>'data emisi jabar Household'!Q42</f>
        <v>1689000</v>
      </c>
      <c r="R31">
        <f>'data emisi jabar Household'!R42</f>
        <v>1724000</v>
      </c>
      <c r="S31">
        <f>'data emisi jabar Household'!S42</f>
        <v>1760000</v>
      </c>
      <c r="T31">
        <f>'data emisi jabar Household'!T42</f>
        <v>1795000</v>
      </c>
      <c r="U31">
        <f>'data emisi jabar Household'!U42</f>
        <v>1831000</v>
      </c>
      <c r="V31">
        <f>'data emisi jabar Household'!V42</f>
        <v>1867000</v>
      </c>
      <c r="W31">
        <f>'data emisi jabar Household'!W42</f>
        <v>1902000</v>
      </c>
      <c r="X31">
        <f>'data emisi jabar Household'!X42</f>
        <v>1938000</v>
      </c>
      <c r="Y31">
        <f>'data emisi jabar Household'!Y42</f>
        <v>1973000</v>
      </c>
      <c r="Z31">
        <f>'data emisi jabar Household'!Z42</f>
        <v>2009000</v>
      </c>
      <c r="AA31">
        <f>'data emisi jabar Household'!AA42</f>
        <v>2044000</v>
      </c>
      <c r="AB31">
        <f>'data emisi jabar Household'!AB42</f>
        <v>2080000</v>
      </c>
      <c r="AC31">
        <f>'data emisi jabar Household'!AC42</f>
        <v>2115000</v>
      </c>
      <c r="AD31">
        <f>'data emisi jabar Household'!AD42</f>
        <v>2151000</v>
      </c>
      <c r="AE31">
        <f>'data emisi jabar Household'!AE42</f>
        <v>2187000</v>
      </c>
      <c r="AF31">
        <f>'data emisi jabar Household'!AF42</f>
        <v>2222000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3F2-62F8-4FEB-A941-99B81A87218A}">
  <dimension ref="A1:E10"/>
  <sheetViews>
    <sheetView workbookViewId="0">
      <selection activeCell="G17" sqref="G17"/>
    </sheetView>
  </sheetViews>
  <sheetFormatPr defaultRowHeight="15" x14ac:dyDescent="0.25"/>
  <sheetData>
    <row r="1" spans="1:5" x14ac:dyDescent="0.25">
      <c r="A1" s="95" t="s">
        <v>187</v>
      </c>
      <c r="B1" s="103" t="s">
        <v>289</v>
      </c>
      <c r="C1" s="103"/>
      <c r="D1" s="103"/>
      <c r="E1" s="103"/>
    </row>
    <row r="2" spans="1:5" x14ac:dyDescent="0.25">
      <c r="A2" s="95"/>
      <c r="B2" s="14" t="s">
        <v>240</v>
      </c>
      <c r="C2" s="14" t="s">
        <v>241</v>
      </c>
      <c r="D2" s="14" t="s">
        <v>242</v>
      </c>
      <c r="E2" s="14" t="s">
        <v>243</v>
      </c>
    </row>
    <row r="3" spans="1:5" x14ac:dyDescent="0.25">
      <c r="A3" s="14">
        <v>2010</v>
      </c>
      <c r="B3" s="14">
        <v>514888058</v>
      </c>
      <c r="C3" s="14">
        <v>7083365404</v>
      </c>
      <c r="D3" s="14">
        <v>328537</v>
      </c>
      <c r="E3" s="14">
        <f t="shared" ref="E3:E10" si="0">B3+C3-D3</f>
        <v>7597924925</v>
      </c>
    </row>
    <row r="4" spans="1:5" x14ac:dyDescent="0.25">
      <c r="A4" s="14">
        <v>2011</v>
      </c>
      <c r="B4" s="14">
        <v>514888058</v>
      </c>
      <c r="C4" s="14">
        <v>7083365404</v>
      </c>
      <c r="D4" s="14">
        <v>328537</v>
      </c>
      <c r="E4" s="14">
        <f t="shared" si="0"/>
        <v>7597924925</v>
      </c>
    </row>
    <row r="5" spans="1:5" x14ac:dyDescent="0.25">
      <c r="A5" s="14">
        <v>2012</v>
      </c>
      <c r="B5" s="14">
        <v>1121686653</v>
      </c>
      <c r="C5" s="14">
        <v>7747161950</v>
      </c>
      <c r="D5" s="14">
        <v>5080</v>
      </c>
      <c r="E5" s="14">
        <f t="shared" si="0"/>
        <v>8868843523</v>
      </c>
    </row>
    <row r="6" spans="1:5" x14ac:dyDescent="0.25">
      <c r="A6" s="14">
        <v>2013</v>
      </c>
      <c r="B6" s="33">
        <v>1245721132</v>
      </c>
      <c r="C6" s="33">
        <v>9112216482</v>
      </c>
      <c r="D6" s="33">
        <v>51933</v>
      </c>
      <c r="E6" s="14">
        <f t="shared" si="0"/>
        <v>10357885681</v>
      </c>
    </row>
    <row r="7" spans="1:5" x14ac:dyDescent="0.25">
      <c r="A7" s="14">
        <v>2014</v>
      </c>
      <c r="B7" s="14">
        <v>2325045982</v>
      </c>
      <c r="C7" s="14">
        <v>17254740599</v>
      </c>
      <c r="D7" s="14">
        <v>16259030</v>
      </c>
      <c r="E7" s="14">
        <f t="shared" si="0"/>
        <v>19563527551</v>
      </c>
    </row>
    <row r="8" spans="1:5" x14ac:dyDescent="0.25">
      <c r="A8" s="14">
        <v>2015</v>
      </c>
      <c r="B8" s="14">
        <v>2171874978</v>
      </c>
      <c r="C8" s="14">
        <v>16863412302</v>
      </c>
      <c r="D8" s="14">
        <v>27829509</v>
      </c>
      <c r="E8" s="14">
        <f t="shared" si="0"/>
        <v>19007457771</v>
      </c>
    </row>
    <row r="9" spans="1:5" x14ac:dyDescent="0.25">
      <c r="A9" s="14">
        <v>2016</v>
      </c>
      <c r="B9" s="14"/>
      <c r="C9" s="14"/>
      <c r="D9" s="14"/>
      <c r="E9" s="14">
        <f t="shared" si="0"/>
        <v>0</v>
      </c>
    </row>
    <row r="10" spans="1:5" x14ac:dyDescent="0.25">
      <c r="A10" s="14">
        <v>2017</v>
      </c>
      <c r="B10" s="14">
        <v>689861708</v>
      </c>
      <c r="C10" s="14">
        <v>11675012829</v>
      </c>
      <c r="D10" s="14">
        <v>36863052</v>
      </c>
      <c r="E10" s="14">
        <f t="shared" si="0"/>
        <v>12328011485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AEC6-F865-4EBF-920F-1FA53F02E7A6}">
  <dimension ref="A1:U56"/>
  <sheetViews>
    <sheetView topLeftCell="A4" zoomScale="85" zoomScaleNormal="85" workbookViewId="0">
      <selection activeCell="B16" sqref="B16"/>
    </sheetView>
  </sheetViews>
  <sheetFormatPr defaultRowHeight="15" x14ac:dyDescent="0.25"/>
  <cols>
    <col min="1" max="1" width="19.28515625" customWidth="1"/>
    <col min="2" max="2" width="21.5703125" customWidth="1"/>
    <col min="7" max="7" width="13.28515625" bestFit="1" customWidth="1"/>
    <col min="8" max="8" width="11.5703125" bestFit="1" customWidth="1"/>
    <col min="9" max="9" width="16.85546875" customWidth="1"/>
    <col min="10" max="10" width="16.42578125" customWidth="1"/>
    <col min="11" max="11" width="24.85546875" customWidth="1"/>
    <col min="12" max="12" width="24.42578125" customWidth="1"/>
    <col min="20" max="21" width="20.5703125" bestFit="1" customWidth="1"/>
  </cols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</row>
    <row r="2" spans="1:20" ht="33.75" customHeight="1" x14ac:dyDescent="0.25">
      <c r="A2" s="1" t="s">
        <v>199</v>
      </c>
      <c r="B2">
        <v>100</v>
      </c>
      <c r="C2">
        <v>144.51</v>
      </c>
      <c r="D2">
        <v>167.68</v>
      </c>
      <c r="E2">
        <v>166.86</v>
      </c>
      <c r="F2">
        <v>189.22</v>
      </c>
      <c r="G2">
        <v>219.08</v>
      </c>
    </row>
    <row r="5" spans="1:20" ht="60" x14ac:dyDescent="0.25">
      <c r="A5" t="s">
        <v>32</v>
      </c>
      <c r="B5" s="1" t="s">
        <v>200</v>
      </c>
      <c r="D5" t="s">
        <v>91</v>
      </c>
      <c r="F5" t="s">
        <v>32</v>
      </c>
      <c r="G5" s="1" t="s">
        <v>201</v>
      </c>
      <c r="H5" s="1" t="s">
        <v>202</v>
      </c>
      <c r="I5" s="1" t="s">
        <v>203</v>
      </c>
      <c r="J5" s="1" t="s">
        <v>204</v>
      </c>
      <c r="K5" s="1" t="s">
        <v>205</v>
      </c>
      <c r="L5" s="1" t="s">
        <v>206</v>
      </c>
      <c r="M5" s="1" t="s">
        <v>207</v>
      </c>
      <c r="N5" s="1" t="s">
        <v>208</v>
      </c>
      <c r="O5" s="1" t="s">
        <v>209</v>
      </c>
      <c r="P5" s="1" t="s">
        <v>217</v>
      </c>
      <c r="Q5" s="1" t="s">
        <v>216</v>
      </c>
      <c r="R5" s="1" t="s">
        <v>210</v>
      </c>
      <c r="S5" s="1" t="s">
        <v>211</v>
      </c>
      <c r="T5" s="1" t="s">
        <v>219</v>
      </c>
    </row>
    <row r="6" spans="1:20" x14ac:dyDescent="0.25">
      <c r="A6">
        <v>2000</v>
      </c>
      <c r="B6">
        <f t="shared" ref="B6:B10" si="0">ROUND(B7/(1+$D$22), 0)</f>
        <v>940729</v>
      </c>
      <c r="F6">
        <v>2000</v>
      </c>
      <c r="G6" s="45">
        <f t="shared" ref="G6:G9" si="1">ROUND(I6/(R6/100),0)</f>
        <v>66866</v>
      </c>
      <c r="H6" s="45">
        <f>G6-I6</f>
        <v>37418</v>
      </c>
      <c r="I6" s="35">
        <f>ROUND(I7/(1+$E$26),0)</f>
        <v>29448</v>
      </c>
      <c r="J6">
        <f t="shared" ref="J6:J10" si="2">G6-H6</f>
        <v>29448</v>
      </c>
      <c r="O6">
        <f t="shared" ref="O6:O15" si="3">O7/(1+$E$27)</f>
        <v>44199.016221105747</v>
      </c>
      <c r="P6">
        <f t="shared" ref="P6:P15" si="4">O6/1000000</f>
        <v>4.4199016221105746E-2</v>
      </c>
      <c r="R6">
        <v>44.04</v>
      </c>
    </row>
    <row r="7" spans="1:20" x14ac:dyDescent="0.25">
      <c r="A7">
        <v>2001</v>
      </c>
      <c r="B7">
        <f t="shared" si="0"/>
        <v>993920</v>
      </c>
      <c r="F7">
        <v>2001</v>
      </c>
      <c r="G7" s="45">
        <f t="shared" si="1"/>
        <v>83753</v>
      </c>
      <c r="H7" s="45">
        <f t="shared" ref="H7:H10" si="5">G7-I7</f>
        <v>46868</v>
      </c>
      <c r="I7" s="35">
        <f>ROUND(I8/(1+$E$26),0)</f>
        <v>36885</v>
      </c>
      <c r="J7">
        <f t="shared" si="2"/>
        <v>36885</v>
      </c>
      <c r="O7">
        <f t="shared" si="3"/>
        <v>51280.314889475558</v>
      </c>
      <c r="P7">
        <f t="shared" si="4"/>
        <v>5.1280314889475556E-2</v>
      </c>
      <c r="R7">
        <v>44.04</v>
      </c>
    </row>
    <row r="8" spans="1:20" x14ac:dyDescent="0.25">
      <c r="A8">
        <v>2002</v>
      </c>
      <c r="B8">
        <f t="shared" si="0"/>
        <v>1050119</v>
      </c>
      <c r="F8">
        <v>2002</v>
      </c>
      <c r="G8" s="45">
        <f t="shared" si="1"/>
        <v>104905</v>
      </c>
      <c r="H8" s="45">
        <f t="shared" si="5"/>
        <v>58705</v>
      </c>
      <c r="I8" s="35">
        <f>ROUND(I9/(1+$E$26),0)</f>
        <v>46200</v>
      </c>
      <c r="J8">
        <f t="shared" si="2"/>
        <v>46200</v>
      </c>
      <c r="O8">
        <f t="shared" si="3"/>
        <v>59496.136339524637</v>
      </c>
      <c r="P8">
        <f t="shared" si="4"/>
        <v>5.9496136339524636E-2</v>
      </c>
      <c r="R8">
        <v>44.04</v>
      </c>
    </row>
    <row r="9" spans="1:20" x14ac:dyDescent="0.25">
      <c r="A9">
        <v>2003</v>
      </c>
      <c r="B9">
        <f t="shared" si="0"/>
        <v>1109495</v>
      </c>
      <c r="F9">
        <v>2003</v>
      </c>
      <c r="G9" s="45">
        <f t="shared" si="1"/>
        <v>131396</v>
      </c>
      <c r="H9" s="45">
        <f t="shared" si="5"/>
        <v>73529</v>
      </c>
      <c r="I9" s="35">
        <f>ROUND(I10/(1+$E$26),0)</f>
        <v>57867</v>
      </c>
      <c r="J9">
        <f t="shared" si="2"/>
        <v>57867</v>
      </c>
      <c r="O9">
        <f t="shared" si="3"/>
        <v>69028.246939602701</v>
      </c>
      <c r="P9">
        <f t="shared" si="4"/>
        <v>6.9028246939602703E-2</v>
      </c>
      <c r="R9">
        <v>44.04</v>
      </c>
    </row>
    <row r="10" spans="1:20" x14ac:dyDescent="0.25">
      <c r="A10">
        <v>2004</v>
      </c>
      <c r="B10">
        <f t="shared" si="0"/>
        <v>1172228</v>
      </c>
      <c r="F10">
        <v>2004</v>
      </c>
      <c r="G10" s="45">
        <f>ROUND(I10/(R10/100),0)</f>
        <v>164578</v>
      </c>
      <c r="H10" s="45">
        <f t="shared" si="5"/>
        <v>92098</v>
      </c>
      <c r="I10" s="35">
        <f>ROUND(I11/(1+$E$26),0)</f>
        <v>72480</v>
      </c>
      <c r="J10">
        <f t="shared" si="2"/>
        <v>72480</v>
      </c>
      <c r="O10">
        <f t="shared" si="3"/>
        <v>80087.534564649352</v>
      </c>
      <c r="P10">
        <f t="shared" si="4"/>
        <v>8.0087534564649357E-2</v>
      </c>
      <c r="R10">
        <v>44.04</v>
      </c>
    </row>
    <row r="11" spans="1:20" x14ac:dyDescent="0.25">
      <c r="A11">
        <v>2005</v>
      </c>
      <c r="B11">
        <f>ROUND(B12/(1+$D$22), 0)</f>
        <v>1238509</v>
      </c>
      <c r="F11">
        <v>2005</v>
      </c>
      <c r="G11">
        <v>254172</v>
      </c>
      <c r="H11">
        <v>163390</v>
      </c>
      <c r="I11" s="31">
        <v>90783</v>
      </c>
      <c r="J11">
        <f t="shared" ref="J11:J16" si="6">G11-H11</f>
        <v>90782</v>
      </c>
      <c r="K11" s="44"/>
      <c r="O11">
        <f t="shared" si="3"/>
        <v>92918.674267592825</v>
      </c>
      <c r="P11">
        <f t="shared" si="4"/>
        <v>9.291867426759283E-2</v>
      </c>
      <c r="R11">
        <v>44.04</v>
      </c>
    </row>
    <row r="12" spans="1:20" x14ac:dyDescent="0.25">
      <c r="A12">
        <v>2006</v>
      </c>
      <c r="B12">
        <v>1308537</v>
      </c>
      <c r="C12" t="e">
        <f>(B12-B5)/B5</f>
        <v>#VALUE!</v>
      </c>
      <c r="F12">
        <v>2006</v>
      </c>
      <c r="G12">
        <v>296394</v>
      </c>
      <c r="H12">
        <v>184853</v>
      </c>
      <c r="I12" s="31">
        <v>111540</v>
      </c>
      <c r="J12">
        <f t="shared" si="6"/>
        <v>111541</v>
      </c>
      <c r="O12">
        <f t="shared" si="3"/>
        <v>107805.54145636059</v>
      </c>
      <c r="P12">
        <f t="shared" si="4"/>
        <v>0.10780554145636059</v>
      </c>
      <c r="R12">
        <v>44.04</v>
      </c>
    </row>
    <row r="13" spans="1:20" x14ac:dyDescent="0.25">
      <c r="A13">
        <v>2007</v>
      </c>
      <c r="B13">
        <v>1232039</v>
      </c>
      <c r="C13">
        <f t="shared" ref="C13:C22" si="7">(B13-B12)/B12</f>
        <v>-5.846070840946798E-2</v>
      </c>
      <c r="F13">
        <v>2007</v>
      </c>
      <c r="G13">
        <v>337393</v>
      </c>
      <c r="H13">
        <v>204551</v>
      </c>
      <c r="I13" s="31">
        <v>132841</v>
      </c>
      <c r="J13">
        <f t="shared" si="6"/>
        <v>132842</v>
      </c>
      <c r="O13">
        <f t="shared" si="3"/>
        <v>125077.4923373233</v>
      </c>
      <c r="P13">
        <f t="shared" si="4"/>
        <v>0.12507749233732329</v>
      </c>
      <c r="R13">
        <v>44.04</v>
      </c>
    </row>
    <row r="14" spans="1:20" x14ac:dyDescent="0.25">
      <c r="A14">
        <v>2008</v>
      </c>
      <c r="B14">
        <v>1145629</v>
      </c>
      <c r="C14">
        <f t="shared" si="7"/>
        <v>-7.0135766806083244E-2</v>
      </c>
      <c r="F14">
        <v>2008</v>
      </c>
      <c r="G14">
        <v>487577</v>
      </c>
      <c r="H14" s="31">
        <v>286374</v>
      </c>
      <c r="I14" s="31">
        <v>201203</v>
      </c>
      <c r="J14">
        <f t="shared" si="6"/>
        <v>201203</v>
      </c>
      <c r="O14">
        <f t="shared" si="3"/>
        <v>145116.65057334714</v>
      </c>
      <c r="P14">
        <f t="shared" si="4"/>
        <v>0.14511665057334713</v>
      </c>
      <c r="R14">
        <v>44.04</v>
      </c>
    </row>
    <row r="15" spans="1:20" x14ac:dyDescent="0.25">
      <c r="A15">
        <v>2009</v>
      </c>
      <c r="B15">
        <v>1169712</v>
      </c>
      <c r="C15">
        <f t="shared" si="7"/>
        <v>2.10216396407563E-2</v>
      </c>
      <c r="F15">
        <v>2009</v>
      </c>
      <c r="G15">
        <v>565727</v>
      </c>
      <c r="H15">
        <v>330349</v>
      </c>
      <c r="I15" s="31">
        <v>235378</v>
      </c>
      <c r="J15">
        <f t="shared" si="6"/>
        <v>235378</v>
      </c>
      <c r="O15">
        <f t="shared" si="3"/>
        <v>168366.36136606446</v>
      </c>
      <c r="P15">
        <f t="shared" si="4"/>
        <v>0.16836636136606445</v>
      </c>
      <c r="R15">
        <v>44.04</v>
      </c>
    </row>
    <row r="16" spans="1:20" x14ac:dyDescent="0.25">
      <c r="A16">
        <v>2010</v>
      </c>
      <c r="B16" s="46">
        <v>1269108</v>
      </c>
      <c r="C16">
        <f t="shared" si="7"/>
        <v>8.4974763018589194E-2</v>
      </c>
      <c r="F16" s="46">
        <v>2010</v>
      </c>
      <c r="G16" s="60">
        <v>562962</v>
      </c>
      <c r="H16" s="60">
        <v>315053</v>
      </c>
      <c r="I16" s="61">
        <v>247909</v>
      </c>
      <c r="J16" s="4">
        <f t="shared" si="6"/>
        <v>247909</v>
      </c>
      <c r="K16" s="4">
        <v>238351200012</v>
      </c>
      <c r="L16" s="4">
        <v>4576405618</v>
      </c>
      <c r="M16">
        <v>443589</v>
      </c>
      <c r="N16">
        <v>248247</v>
      </c>
      <c r="O16">
        <v>195341</v>
      </c>
      <c r="P16">
        <f>O16/1000000</f>
        <v>0.19534099999999999</v>
      </c>
      <c r="Q16" s="46">
        <f>I16/(O16/1000000)</f>
        <v>1269108.8916305334</v>
      </c>
      <c r="R16">
        <v>44.04</v>
      </c>
      <c r="S16">
        <f t="shared" ref="S16:S19" si="8">I16/G16</f>
        <v>0.44036542430927844</v>
      </c>
      <c r="T16" s="4">
        <f t="shared" ref="T16:T21" si="9">K16-L16</f>
        <v>233774794394</v>
      </c>
    </row>
    <row r="17" spans="1:21" x14ac:dyDescent="0.25">
      <c r="A17">
        <v>2011</v>
      </c>
      <c r="B17" s="46">
        <v>1325532</v>
      </c>
      <c r="C17">
        <f t="shared" si="7"/>
        <v>4.4459573180533098E-2</v>
      </c>
      <c r="F17" s="46">
        <v>2011</v>
      </c>
      <c r="G17" s="60">
        <v>638432</v>
      </c>
      <c r="H17" s="60">
        <v>366588</v>
      </c>
      <c r="I17" s="61">
        <v>271916</v>
      </c>
      <c r="J17" s="4">
        <f t="shared" ref="J17:J20" si="10">G17-H17</f>
        <v>271844</v>
      </c>
      <c r="K17" s="4">
        <v>238351200012</v>
      </c>
      <c r="L17" s="4">
        <v>4576405618</v>
      </c>
      <c r="M17">
        <v>443589</v>
      </c>
      <c r="N17">
        <v>248247</v>
      </c>
      <c r="O17">
        <v>195341</v>
      </c>
      <c r="P17">
        <f t="shared" ref="P17:P22" si="11">O17/1000000</f>
        <v>0.19534099999999999</v>
      </c>
      <c r="Q17" s="46">
        <f t="shared" ref="Q17:Q22" si="12">I17/(O17/1000000)</f>
        <v>1392006.7983679823</v>
      </c>
      <c r="R17">
        <v>44.04</v>
      </c>
      <c r="S17">
        <f t="shared" si="8"/>
        <v>0.42591223497569042</v>
      </c>
      <c r="T17" s="4">
        <f t="shared" si="9"/>
        <v>233774794394</v>
      </c>
    </row>
    <row r="18" spans="1:21" x14ac:dyDescent="0.25">
      <c r="A18">
        <v>2012</v>
      </c>
      <c r="B18" s="46">
        <v>1427004</v>
      </c>
      <c r="C18">
        <f t="shared" si="7"/>
        <v>7.6551905197309464E-2</v>
      </c>
      <c r="F18" s="46">
        <v>2012</v>
      </c>
      <c r="G18" s="60">
        <v>739162</v>
      </c>
      <c r="H18" s="60">
        <v>415810</v>
      </c>
      <c r="I18" s="61">
        <v>323353</v>
      </c>
      <c r="J18" s="4">
        <f t="shared" si="10"/>
        <v>323352</v>
      </c>
      <c r="K18" s="4">
        <v>110492633504</v>
      </c>
      <c r="L18" s="4">
        <v>3475978157</v>
      </c>
      <c r="M18">
        <v>517982</v>
      </c>
      <c r="N18">
        <v>291386</v>
      </c>
      <c r="O18">
        <v>226595</v>
      </c>
      <c r="P18">
        <f t="shared" si="11"/>
        <v>0.22659499999999999</v>
      </c>
      <c r="Q18" s="46">
        <f t="shared" si="12"/>
        <v>1427008.5394646837</v>
      </c>
      <c r="R18">
        <v>43.75</v>
      </c>
      <c r="S18">
        <f t="shared" si="8"/>
        <v>0.43745890616671312</v>
      </c>
      <c r="T18" s="4">
        <f t="shared" si="9"/>
        <v>107016655347</v>
      </c>
    </row>
    <row r="19" spans="1:21" x14ac:dyDescent="0.25">
      <c r="A19">
        <v>2013</v>
      </c>
      <c r="B19" s="46">
        <v>1458467</v>
      </c>
      <c r="C19">
        <f t="shared" si="7"/>
        <v>2.204829138530796E-2</v>
      </c>
      <c r="F19" s="46">
        <v>2013</v>
      </c>
      <c r="G19" s="60">
        <v>798416</v>
      </c>
      <c r="H19" s="60">
        <v>414022</v>
      </c>
      <c r="I19" s="61">
        <v>384394</v>
      </c>
      <c r="J19" s="4">
        <f t="shared" si="10"/>
        <v>384394</v>
      </c>
      <c r="K19" s="4">
        <v>159146226641</v>
      </c>
      <c r="L19" s="4">
        <v>2713131828</v>
      </c>
      <c r="M19" s="31">
        <v>547435</v>
      </c>
      <c r="N19" s="31">
        <v>756295</v>
      </c>
      <c r="O19" s="31">
        <v>263560</v>
      </c>
      <c r="P19">
        <f t="shared" si="11"/>
        <v>0.26356000000000002</v>
      </c>
      <c r="Q19" s="46">
        <f t="shared" si="12"/>
        <v>1458468.6598876915</v>
      </c>
      <c r="R19">
        <v>43.75</v>
      </c>
      <c r="S19">
        <f t="shared" si="8"/>
        <v>0.48144576260996774</v>
      </c>
      <c r="T19" s="4">
        <f t="shared" si="9"/>
        <v>156433094813</v>
      </c>
    </row>
    <row r="20" spans="1:21" x14ac:dyDescent="0.25">
      <c r="A20">
        <v>2014</v>
      </c>
      <c r="B20" s="46">
        <v>1545457</v>
      </c>
      <c r="C20">
        <f t="shared" si="7"/>
        <v>5.9644818840604553E-2</v>
      </c>
      <c r="F20" s="46">
        <v>2014</v>
      </c>
      <c r="G20" s="60">
        <v>970818</v>
      </c>
      <c r="H20" s="60">
        <v>524667</v>
      </c>
      <c r="I20" s="61">
        <v>446151</v>
      </c>
      <c r="J20" s="4">
        <f t="shared" si="10"/>
        <v>446151</v>
      </c>
      <c r="K20" s="4">
        <v>1315767541102</v>
      </c>
      <c r="L20" s="4">
        <v>53809572882</v>
      </c>
      <c r="M20">
        <v>628175</v>
      </c>
      <c r="N20">
        <v>339490</v>
      </c>
      <c r="O20">
        <v>288685</v>
      </c>
      <c r="P20">
        <f t="shared" si="11"/>
        <v>0.28868500000000002</v>
      </c>
      <c r="Q20" s="46">
        <f t="shared" si="12"/>
        <v>1545459.5839756134</v>
      </c>
      <c r="R20">
        <v>45.96</v>
      </c>
      <c r="S20">
        <f>I20/G20</f>
        <v>0.45956193642886722</v>
      </c>
      <c r="T20" s="4">
        <f t="shared" si="9"/>
        <v>1261957968220</v>
      </c>
    </row>
    <row r="21" spans="1:21" x14ac:dyDescent="0.25">
      <c r="A21">
        <v>2015</v>
      </c>
      <c r="B21" s="46">
        <v>1588155</v>
      </c>
      <c r="C21">
        <f t="shared" si="7"/>
        <v>2.7628073767176957E-2</v>
      </c>
      <c r="F21" s="46">
        <v>2015</v>
      </c>
      <c r="G21" s="60">
        <v>1300507</v>
      </c>
      <c r="H21" s="60">
        <v>730546</v>
      </c>
      <c r="I21" s="61">
        <v>569960</v>
      </c>
      <c r="J21" s="4">
        <f>G21-H21</f>
        <v>569961</v>
      </c>
      <c r="K21" s="4">
        <v>1485627034477</v>
      </c>
      <c r="L21" s="4">
        <v>14459377349</v>
      </c>
      <c r="M21">
        <v>818879</v>
      </c>
      <c r="N21">
        <v>459997</v>
      </c>
      <c r="O21">
        <v>358882</v>
      </c>
      <c r="P21">
        <f t="shared" si="11"/>
        <v>0.35888199999999998</v>
      </c>
      <c r="Q21" s="46">
        <f t="shared" si="12"/>
        <v>1588154.3237052849</v>
      </c>
      <c r="R21">
        <v>43.83</v>
      </c>
      <c r="S21">
        <f>I21/G21</f>
        <v>0.43825984789009209</v>
      </c>
      <c r="T21" s="4">
        <f t="shared" si="9"/>
        <v>1471167657128</v>
      </c>
      <c r="U21" s="13"/>
    </row>
    <row r="22" spans="1:21" x14ac:dyDescent="0.25">
      <c r="A22">
        <v>2016</v>
      </c>
      <c r="B22" s="46">
        <v>2268064</v>
      </c>
      <c r="C22">
        <f t="shared" si="7"/>
        <v>0.42811249531689288</v>
      </c>
      <c r="D22">
        <f>(B22/B12)^(1/10)-1</f>
        <v>5.6542398637514202E-2</v>
      </c>
      <c r="F22" s="46">
        <v>2016</v>
      </c>
      <c r="G22" s="60">
        <v>1918739</v>
      </c>
      <c r="H22" s="60">
        <v>838109</v>
      </c>
      <c r="I22" s="61">
        <v>1080630</v>
      </c>
      <c r="J22" s="4">
        <f>G22-H22</f>
        <v>1080630</v>
      </c>
      <c r="K22" s="4">
        <v>338048774797</v>
      </c>
      <c r="L22" s="4">
        <v>6553103099</v>
      </c>
      <c r="M22">
        <v>845981</v>
      </c>
      <c r="N22">
        <v>369526</v>
      </c>
      <c r="O22">
        <v>476455</v>
      </c>
      <c r="P22">
        <f t="shared" si="11"/>
        <v>0.47645500000000002</v>
      </c>
      <c r="Q22" s="46">
        <f t="shared" si="12"/>
        <v>2268063.0909529757</v>
      </c>
      <c r="R22">
        <v>56.32</v>
      </c>
      <c r="S22">
        <f>I22/G22</f>
        <v>0.56319801703097716</v>
      </c>
      <c r="T22" s="4">
        <f>K22-L22</f>
        <v>331495671698</v>
      </c>
    </row>
    <row r="23" spans="1:21" x14ac:dyDescent="0.25">
      <c r="A23">
        <v>2017</v>
      </c>
      <c r="F23">
        <v>2017</v>
      </c>
      <c r="I23">
        <f t="shared" ref="I23:I37" si="13">I22*(1+$E$26)</f>
        <v>1353522.3400143147</v>
      </c>
      <c r="O23">
        <v>476455</v>
      </c>
    </row>
    <row r="24" spans="1:21" x14ac:dyDescent="0.25">
      <c r="D24" s="16" t="s">
        <v>213</v>
      </c>
      <c r="E24" s="16">
        <f>(G22/G11)^(1/11)-1</f>
        <v>0.20173308488789488</v>
      </c>
      <c r="F24">
        <v>2018</v>
      </c>
      <c r="I24">
        <f t="shared" si="13"/>
        <v>1695328.3963223549</v>
      </c>
      <c r="O24">
        <v>476455</v>
      </c>
    </row>
    <row r="25" spans="1:21" x14ac:dyDescent="0.25">
      <c r="D25" s="16" t="s">
        <v>212</v>
      </c>
      <c r="E25" s="16">
        <f>(H22/G12)^(1/11)-1</f>
        <v>9.910501783266179E-2</v>
      </c>
      <c r="F25">
        <v>2019</v>
      </c>
      <c r="I25">
        <f t="shared" si="13"/>
        <v>2123451.0036580046</v>
      </c>
      <c r="O25">
        <v>476455</v>
      </c>
    </row>
    <row r="26" spans="1:21" x14ac:dyDescent="0.25">
      <c r="D26" s="16" t="s">
        <v>214</v>
      </c>
      <c r="E26" s="16">
        <f>(I22/I11)^(1/11)-1</f>
        <v>0.25253078298244058</v>
      </c>
      <c r="F26">
        <v>2020</v>
      </c>
      <c r="I26">
        <f t="shared" si="13"/>
        <v>2659687.7482366096</v>
      </c>
      <c r="O26">
        <v>476455</v>
      </c>
    </row>
    <row r="27" spans="1:21" x14ac:dyDescent="0.25">
      <c r="D27" s="16" t="s">
        <v>215</v>
      </c>
      <c r="E27" s="16">
        <f>(O22/O16)^(1/6)-1</f>
        <v>0.16021394306483172</v>
      </c>
      <c r="F27">
        <v>2021</v>
      </c>
      <c r="I27">
        <f t="shared" si="13"/>
        <v>3331340.7777876048</v>
      </c>
      <c r="O27">
        <v>476455</v>
      </c>
    </row>
    <row r="28" spans="1:21" x14ac:dyDescent="0.25">
      <c r="F28">
        <v>2022</v>
      </c>
      <c r="I28">
        <f t="shared" si="13"/>
        <v>4172606.8727836413</v>
      </c>
      <c r="O28">
        <v>476455</v>
      </c>
    </row>
    <row r="29" spans="1:21" x14ac:dyDescent="0.25">
      <c r="F29">
        <v>2023</v>
      </c>
      <c r="I29">
        <f t="shared" si="13"/>
        <v>5226318.5534456074</v>
      </c>
      <c r="O29">
        <v>476455</v>
      </c>
    </row>
    <row r="30" spans="1:21" x14ac:dyDescent="0.25">
      <c r="F30">
        <v>2024</v>
      </c>
      <c r="I30">
        <f t="shared" si="13"/>
        <v>6546124.8698628834</v>
      </c>
      <c r="O30">
        <v>476455</v>
      </c>
    </row>
    <row r="31" spans="1:21" x14ac:dyDescent="0.25">
      <c r="F31">
        <v>2025</v>
      </c>
      <c r="I31">
        <f t="shared" si="13"/>
        <v>8199222.9087501839</v>
      </c>
      <c r="O31">
        <v>476455</v>
      </c>
    </row>
    <row r="32" spans="1:21" x14ac:dyDescent="0.25">
      <c r="F32">
        <v>2026</v>
      </c>
      <c r="I32">
        <f t="shared" si="13"/>
        <v>10269779.089744432</v>
      </c>
      <c r="O32">
        <v>476455</v>
      </c>
    </row>
    <row r="33" spans="6:15" x14ac:dyDescent="0.25">
      <c r="F33">
        <v>2027</v>
      </c>
      <c r="I33">
        <f t="shared" si="13"/>
        <v>12863214.444334289</v>
      </c>
      <c r="O33">
        <v>476455</v>
      </c>
    </row>
    <row r="34" spans="6:15" x14ac:dyDescent="0.25">
      <c r="F34">
        <v>2028</v>
      </c>
      <c r="I34">
        <f t="shared" si="13"/>
        <v>16111572.059633067</v>
      </c>
      <c r="O34">
        <v>476455</v>
      </c>
    </row>
    <row r="35" spans="6:15" x14ac:dyDescent="0.25">
      <c r="F35">
        <v>2029</v>
      </c>
      <c r="I35">
        <f t="shared" si="13"/>
        <v>20180239.966930218</v>
      </c>
      <c r="O35">
        <v>476455</v>
      </c>
    </row>
    <row r="36" spans="6:15" x14ac:dyDescent="0.25">
      <c r="F36">
        <v>2030</v>
      </c>
      <c r="I36">
        <f t="shared" si="13"/>
        <v>25276371.766552646</v>
      </c>
      <c r="O36">
        <v>476455</v>
      </c>
    </row>
    <row r="37" spans="6:15" x14ac:dyDescent="0.25">
      <c r="F37">
        <v>2031</v>
      </c>
      <c r="I37">
        <f t="shared" si="13"/>
        <v>31659433.719715439</v>
      </c>
      <c r="O37">
        <v>476455</v>
      </c>
    </row>
    <row r="38" spans="6:15" x14ac:dyDescent="0.25">
      <c r="F38">
        <v>2032</v>
      </c>
      <c r="I38">
        <f t="shared" ref="I38:I56" si="14">I37*(1+$E$26)</f>
        <v>39654415.305735856</v>
      </c>
      <c r="O38">
        <v>476455</v>
      </c>
    </row>
    <row r="39" spans="6:15" x14ac:dyDescent="0.25">
      <c r="F39">
        <v>2033</v>
      </c>
      <c r="I39">
        <f t="shared" si="14"/>
        <v>49668375.851604208</v>
      </c>
      <c r="O39">
        <v>476455</v>
      </c>
    </row>
    <row r="40" spans="6:15" x14ac:dyDescent="0.25">
      <c r="F40">
        <v>2034</v>
      </c>
      <c r="I40">
        <f t="shared" si="14"/>
        <v>62211169.694875963</v>
      </c>
      <c r="O40">
        <v>476455</v>
      </c>
    </row>
    <row r="41" spans="6:15" x14ac:dyDescent="0.25">
      <c r="F41">
        <v>2035</v>
      </c>
      <c r="I41">
        <f t="shared" si="14"/>
        <v>77921405.088176474</v>
      </c>
      <c r="O41">
        <v>476455</v>
      </c>
    </row>
    <row r="42" spans="6:15" x14ac:dyDescent="0.25">
      <c r="F42">
        <v>2036</v>
      </c>
      <c r="I42">
        <f t="shared" si="14"/>
        <v>97598958.526185602</v>
      </c>
      <c r="O42">
        <v>476455</v>
      </c>
    </row>
    <row r="43" spans="6:15" x14ac:dyDescent="0.25">
      <c r="F43">
        <v>2037</v>
      </c>
      <c r="I43">
        <f t="shared" si="14"/>
        <v>122245699.941074</v>
      </c>
      <c r="O43">
        <v>476455</v>
      </c>
    </row>
    <row r="44" spans="6:15" x14ac:dyDescent="0.25">
      <c r="F44">
        <v>2038</v>
      </c>
      <c r="I44">
        <f t="shared" si="14"/>
        <v>153116502.26342991</v>
      </c>
      <c r="O44">
        <v>476455</v>
      </c>
    </row>
    <row r="45" spans="6:15" x14ac:dyDescent="0.25">
      <c r="F45">
        <v>2039</v>
      </c>
      <c r="I45">
        <f t="shared" si="14"/>
        <v>191783132.46754649</v>
      </c>
      <c r="O45">
        <v>476455</v>
      </c>
    </row>
    <row r="46" spans="6:15" x14ac:dyDescent="0.25">
      <c r="F46">
        <v>2040</v>
      </c>
      <c r="I46">
        <f t="shared" si="14"/>
        <v>240214277.07240114</v>
      </c>
      <c r="O46">
        <v>476455</v>
      </c>
    </row>
    <row r="47" spans="6:15" x14ac:dyDescent="0.25">
      <c r="F47">
        <v>2041</v>
      </c>
      <c r="I47">
        <f t="shared" si="14"/>
        <v>300875776.54505551</v>
      </c>
      <c r="O47">
        <v>476455</v>
      </c>
    </row>
    <row r="48" spans="6:15" x14ac:dyDescent="0.25">
      <c r="F48">
        <v>2042</v>
      </c>
      <c r="I48">
        <f t="shared" si="14"/>
        <v>376856171.97642821</v>
      </c>
      <c r="O48">
        <v>476455</v>
      </c>
    </row>
    <row r="49" spans="6:15" x14ac:dyDescent="0.25">
      <c r="F49">
        <v>2043</v>
      </c>
      <c r="I49">
        <f t="shared" si="14"/>
        <v>472023956.15740091</v>
      </c>
      <c r="O49">
        <v>476455</v>
      </c>
    </row>
    <row r="50" spans="6:15" x14ac:dyDescent="0.25">
      <c r="F50">
        <v>2044</v>
      </c>
      <c r="I50">
        <f t="shared" si="14"/>
        <v>591224535.39229858</v>
      </c>
      <c r="O50">
        <v>476455</v>
      </c>
    </row>
    <row r="51" spans="6:15" x14ac:dyDescent="0.25">
      <c r="F51">
        <v>2045</v>
      </c>
      <c r="I51">
        <f t="shared" si="14"/>
        <v>740526930.23334539</v>
      </c>
      <c r="O51">
        <v>476455</v>
      </c>
    </row>
    <row r="52" spans="6:15" x14ac:dyDescent="0.25">
      <c r="F52">
        <v>2046</v>
      </c>
      <c r="I52">
        <f t="shared" si="14"/>
        <v>927532775.74475527</v>
      </c>
      <c r="O52">
        <v>476455</v>
      </c>
    </row>
    <row r="53" spans="6:15" x14ac:dyDescent="0.25">
      <c r="F53">
        <v>2047</v>
      </c>
      <c r="I53">
        <f t="shared" si="14"/>
        <v>1161763353.8454547</v>
      </c>
      <c r="O53">
        <v>476455</v>
      </c>
    </row>
    <row r="54" spans="6:15" x14ac:dyDescent="0.25">
      <c r="F54">
        <v>2048</v>
      </c>
      <c r="I54">
        <f t="shared" si="14"/>
        <v>1455144363.2323534</v>
      </c>
      <c r="O54">
        <v>476455</v>
      </c>
    </row>
    <row r="55" spans="6:15" x14ac:dyDescent="0.25">
      <c r="F55">
        <v>2049</v>
      </c>
      <c r="I55">
        <f t="shared" si="14"/>
        <v>1822613108.6319046</v>
      </c>
      <c r="O55">
        <v>476455</v>
      </c>
    </row>
    <row r="56" spans="6:15" x14ac:dyDescent="0.25">
      <c r="F56">
        <v>2050</v>
      </c>
      <c r="I56">
        <f t="shared" si="14"/>
        <v>2282879024.0287795</v>
      </c>
      <c r="O56">
        <v>476455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B37"/>
  <sheetViews>
    <sheetView zoomScale="70" zoomScaleNormal="70" workbookViewId="0">
      <pane ySplit="2" topLeftCell="A21" activePane="bottomLeft" state="frozen"/>
      <selection activeCell="F1" sqref="F1"/>
      <selection pane="bottomLeft" activeCell="E45" sqref="E45"/>
    </sheetView>
  </sheetViews>
  <sheetFormatPr defaultRowHeight="15" x14ac:dyDescent="0.25"/>
  <cols>
    <col min="1" max="1" width="18.85546875" bestFit="1" customWidth="1"/>
    <col min="2" max="2" width="25.7109375" customWidth="1"/>
    <col min="3" max="3" width="22.85546875" bestFit="1" customWidth="1"/>
    <col min="4" max="4" width="20.85546875" customWidth="1"/>
    <col min="5" max="5" width="22.28515625" customWidth="1"/>
    <col min="6" max="6" width="17.140625" customWidth="1"/>
    <col min="7" max="7" width="15.42578125" bestFit="1" customWidth="1"/>
    <col min="8" max="8" width="28.5703125" bestFit="1" customWidth="1"/>
    <col min="9" max="9" width="25.7109375" customWidth="1"/>
    <col min="10" max="10" width="15.85546875" bestFit="1" customWidth="1"/>
    <col min="11" max="12" width="15.42578125" bestFit="1" customWidth="1"/>
    <col min="13" max="13" width="18.28515625" customWidth="1"/>
    <col min="14" max="14" width="15.42578125" bestFit="1" customWidth="1"/>
    <col min="15" max="15" width="23" customWidth="1"/>
    <col min="16" max="16" width="15.85546875" bestFit="1" customWidth="1"/>
    <col min="17" max="18" width="16.42578125" bestFit="1" customWidth="1"/>
    <col min="19" max="19" width="15.42578125" bestFit="1" customWidth="1"/>
    <col min="20" max="20" width="16.42578125" bestFit="1" customWidth="1"/>
    <col min="21" max="22" width="15.85546875" bestFit="1" customWidth="1"/>
    <col min="23" max="23" width="16.42578125" bestFit="1" customWidth="1"/>
    <col min="24" max="27" width="13.7109375" bestFit="1" customWidth="1"/>
    <col min="28" max="28" width="14.28515625" bestFit="1" customWidth="1"/>
  </cols>
  <sheetData>
    <row r="1" spans="1:28" x14ac:dyDescent="0.25">
      <c r="A1" s="95" t="s">
        <v>32</v>
      </c>
      <c r="B1" s="105" t="s">
        <v>397</v>
      </c>
      <c r="C1" s="95" t="s">
        <v>99</v>
      </c>
      <c r="D1" s="108" t="s">
        <v>399</v>
      </c>
      <c r="E1" s="107" t="s">
        <v>390</v>
      </c>
      <c r="F1" s="107" t="s">
        <v>336</v>
      </c>
      <c r="H1" s="1"/>
      <c r="I1" s="1"/>
      <c r="J1" s="1"/>
      <c r="K1" s="104" t="s">
        <v>23</v>
      </c>
      <c r="L1" s="104"/>
      <c r="M1" s="104"/>
      <c r="N1" s="104" t="s">
        <v>26</v>
      </c>
      <c r="O1" s="104"/>
      <c r="P1" s="1"/>
      <c r="Q1" s="1"/>
      <c r="R1" s="111" t="s">
        <v>29</v>
      </c>
      <c r="S1" s="111"/>
      <c r="T1" s="111"/>
      <c r="U1" s="111"/>
      <c r="V1" s="111"/>
      <c r="W1" s="111"/>
      <c r="X1" s="111"/>
      <c r="Y1" s="111"/>
      <c r="Z1" s="98" t="s">
        <v>42</v>
      </c>
      <c r="AA1" s="98"/>
      <c r="AB1" s="98"/>
    </row>
    <row r="2" spans="1:28" ht="15" customHeight="1" x14ac:dyDescent="0.25">
      <c r="A2" s="95"/>
      <c r="B2" s="106"/>
      <c r="C2" s="95"/>
      <c r="D2" s="108"/>
      <c r="E2" s="107"/>
      <c r="F2" s="107"/>
      <c r="H2" s="109" t="s">
        <v>0</v>
      </c>
      <c r="I2" s="109"/>
      <c r="J2" s="11">
        <v>2000</v>
      </c>
      <c r="K2" s="2">
        <v>2010</v>
      </c>
      <c r="L2" s="2">
        <v>2016</v>
      </c>
      <c r="M2" s="2">
        <v>2017</v>
      </c>
      <c r="N2" s="2" t="s">
        <v>27</v>
      </c>
      <c r="O2" s="2" t="s">
        <v>28</v>
      </c>
      <c r="P2" s="1"/>
      <c r="Q2" s="9">
        <v>2000</v>
      </c>
      <c r="R2" s="9">
        <v>2010</v>
      </c>
      <c r="S2" s="9">
        <v>2011</v>
      </c>
      <c r="T2" s="9">
        <v>2012</v>
      </c>
      <c r="U2" s="9">
        <v>2013</v>
      </c>
      <c r="V2" s="9">
        <v>2014</v>
      </c>
      <c r="W2" s="9">
        <v>2015</v>
      </c>
      <c r="X2" s="9">
        <v>2016</v>
      </c>
      <c r="Y2" s="10">
        <v>2017</v>
      </c>
      <c r="Z2" s="21">
        <v>2018</v>
      </c>
      <c r="AA2" s="21">
        <v>2019</v>
      </c>
      <c r="AB2" s="21">
        <v>2020</v>
      </c>
    </row>
    <row r="3" spans="1:28" x14ac:dyDescent="0.25">
      <c r="A3" s="14">
        <v>2000</v>
      </c>
      <c r="B3" s="24"/>
      <c r="C3" s="4">
        <v>35723473</v>
      </c>
      <c r="D3" s="4">
        <f>52008.3*1000</f>
        <v>52008300</v>
      </c>
      <c r="F3" s="13">
        <f>C3/$J$33</f>
        <v>9448458.226098394</v>
      </c>
      <c r="H3" s="1">
        <v>1</v>
      </c>
      <c r="I3" s="1" t="s">
        <v>2</v>
      </c>
      <c r="J3" s="1"/>
      <c r="K3" s="3">
        <v>4813.88</v>
      </c>
      <c r="L3" s="3">
        <v>5459.67</v>
      </c>
      <c r="M3" s="3">
        <v>5715.01</v>
      </c>
      <c r="N3" s="3">
        <v>2.5099999999999998</v>
      </c>
      <c r="O3" s="3">
        <v>2.2799999999999998</v>
      </c>
      <c r="P3" s="1"/>
      <c r="Q3" s="1"/>
      <c r="R3" s="8">
        <f t="shared" ref="R3:R20" si="0">K3*1000</f>
        <v>4813880</v>
      </c>
      <c r="S3" s="8"/>
      <c r="T3" s="8"/>
      <c r="U3" s="8"/>
      <c r="V3" s="8"/>
      <c r="W3" s="8"/>
      <c r="X3" s="8">
        <f t="shared" ref="X3:Y3" si="1">L3*1000</f>
        <v>5459670</v>
      </c>
      <c r="Y3" s="8">
        <f t="shared" si="1"/>
        <v>5715010</v>
      </c>
    </row>
    <row r="4" spans="1:28" x14ac:dyDescent="0.25">
      <c r="A4" s="16">
        <v>2001</v>
      </c>
      <c r="B4" s="16"/>
      <c r="C4" s="29">
        <f t="shared" ref="C4:C12" si="2">C5/(1+$B$28/100)</f>
        <v>36491233.60572809</v>
      </c>
      <c r="D4" s="80"/>
      <c r="E4" s="13"/>
      <c r="F4" s="13">
        <f t="shared" ref="F4:F23" si="3">C4/$J$33</f>
        <v>9651522.3013876546</v>
      </c>
      <c r="H4" s="1">
        <v>2</v>
      </c>
      <c r="I4" s="1" t="s">
        <v>3</v>
      </c>
      <c r="J4" s="1"/>
      <c r="K4" s="3">
        <v>2358.42</v>
      </c>
      <c r="L4" s="3">
        <v>2434.2199999999998</v>
      </c>
      <c r="M4" s="3">
        <v>2453.5</v>
      </c>
      <c r="N4" s="3">
        <v>0.6</v>
      </c>
      <c r="O4" s="3">
        <v>0.36</v>
      </c>
      <c r="P4" s="1"/>
      <c r="Q4" s="1"/>
      <c r="R4" s="5">
        <f t="shared" si="0"/>
        <v>2358420</v>
      </c>
      <c r="S4" s="5"/>
      <c r="T4" s="5"/>
      <c r="U4" s="5"/>
      <c r="V4" s="5"/>
      <c r="W4" s="5"/>
      <c r="X4" s="5">
        <f t="shared" ref="X4:X20" si="4">L4*1000</f>
        <v>2434220</v>
      </c>
      <c r="Y4" s="5">
        <f t="shared" ref="Y4:Y20" si="5">M4*1000</f>
        <v>2453500</v>
      </c>
    </row>
    <row r="5" spans="1:28" x14ac:dyDescent="0.25">
      <c r="A5" s="16">
        <v>2002</v>
      </c>
      <c r="B5" s="16"/>
      <c r="C5" s="29">
        <f t="shared" si="2"/>
        <v>37184567.044236921</v>
      </c>
      <c r="D5">
        <f>55041*1000</f>
        <v>55041000</v>
      </c>
      <c r="E5" s="13"/>
      <c r="F5" s="13">
        <f t="shared" si="3"/>
        <v>9834901.2251140196</v>
      </c>
      <c r="H5" s="1">
        <v>3</v>
      </c>
      <c r="I5" s="1" t="s">
        <v>4</v>
      </c>
      <c r="J5" s="1"/>
      <c r="K5" s="3">
        <v>2186.79</v>
      </c>
      <c r="L5" s="3">
        <v>2243.9</v>
      </c>
      <c r="M5" s="3">
        <v>2256.59</v>
      </c>
      <c r="N5" s="3">
        <v>0.48</v>
      </c>
      <c r="O5" s="3">
        <v>0.25</v>
      </c>
      <c r="P5" s="1"/>
      <c r="Q5" s="1"/>
      <c r="R5" s="5">
        <f t="shared" si="0"/>
        <v>2186790</v>
      </c>
      <c r="S5" s="5"/>
      <c r="T5" s="5"/>
      <c r="U5" s="5"/>
      <c r="V5" s="5"/>
      <c r="W5" s="5"/>
      <c r="X5" s="5">
        <f t="shared" si="4"/>
        <v>2243900</v>
      </c>
      <c r="Y5" s="5">
        <f t="shared" si="5"/>
        <v>2256590</v>
      </c>
    </row>
    <row r="6" spans="1:28" x14ac:dyDescent="0.25">
      <c r="A6" s="16">
        <v>2003</v>
      </c>
      <c r="B6" s="16"/>
      <c r="C6" s="29">
        <f t="shared" si="2"/>
        <v>37891073.818077415</v>
      </c>
      <c r="D6">
        <f>56623*1000</f>
        <v>56623000</v>
      </c>
      <c r="E6" s="13"/>
      <c r="F6" s="13">
        <f t="shared" si="3"/>
        <v>10021764.348391185</v>
      </c>
      <c r="H6" s="1">
        <v>4</v>
      </c>
      <c r="I6" s="1" t="s">
        <v>5</v>
      </c>
      <c r="J6" s="1"/>
      <c r="K6" s="3">
        <v>3205.12</v>
      </c>
      <c r="L6" s="3">
        <v>3534.11</v>
      </c>
      <c r="M6" s="3">
        <v>3657.6</v>
      </c>
      <c r="N6" s="3">
        <v>1.94</v>
      </c>
      <c r="O6" s="3">
        <v>1.7</v>
      </c>
      <c r="P6" s="1"/>
      <c r="Q6" s="1"/>
      <c r="R6" s="5">
        <f t="shared" si="0"/>
        <v>3205120</v>
      </c>
      <c r="S6" s="5"/>
      <c r="T6" s="5"/>
      <c r="U6" s="5"/>
      <c r="V6" s="5"/>
      <c r="W6" s="5"/>
      <c r="X6" s="5">
        <f t="shared" si="4"/>
        <v>3534110</v>
      </c>
      <c r="Y6" s="5">
        <f t="shared" si="5"/>
        <v>3657600</v>
      </c>
    </row>
    <row r="7" spans="1:28" x14ac:dyDescent="0.25">
      <c r="A7" s="16">
        <v>2004</v>
      </c>
      <c r="B7" s="16"/>
      <c r="C7" s="29">
        <f t="shared" si="2"/>
        <v>38611004.220620885</v>
      </c>
      <c r="D7">
        <f>58253*1000</f>
        <v>58253000</v>
      </c>
      <c r="E7" s="13"/>
      <c r="F7" s="13">
        <f t="shared" si="3"/>
        <v>10212177.871010616</v>
      </c>
      <c r="H7" s="1">
        <v>5</v>
      </c>
      <c r="I7" s="1" t="s">
        <v>6</v>
      </c>
      <c r="J7" s="1"/>
      <c r="K7" s="3">
        <v>2422.33</v>
      </c>
      <c r="L7" s="3">
        <v>2548.7199999999998</v>
      </c>
      <c r="M7" s="3">
        <v>2588.84</v>
      </c>
      <c r="N7" s="3">
        <v>0.99</v>
      </c>
      <c r="O7" s="3">
        <v>0.75</v>
      </c>
      <c r="P7" s="1"/>
      <c r="Q7" s="1"/>
      <c r="R7" s="5">
        <f t="shared" si="0"/>
        <v>2422330</v>
      </c>
      <c r="S7" s="5"/>
      <c r="T7" s="5"/>
      <c r="U7" s="5"/>
      <c r="V7" s="5"/>
      <c r="W7" s="5"/>
      <c r="X7" s="5">
        <f t="shared" si="4"/>
        <v>2548720</v>
      </c>
      <c r="Y7" s="5">
        <f t="shared" si="5"/>
        <v>2588840</v>
      </c>
    </row>
    <row r="8" spans="1:28" x14ac:dyDescent="0.25">
      <c r="A8" s="16">
        <v>2005</v>
      </c>
      <c r="B8" s="16"/>
      <c r="C8" s="29">
        <f t="shared" si="2"/>
        <v>39344613.300812677</v>
      </c>
      <c r="D8">
        <f>55118.6*1000</f>
        <v>55118600</v>
      </c>
      <c r="E8">
        <v>2.1</v>
      </c>
      <c r="F8" s="13">
        <f t="shared" si="3"/>
        <v>10406209.250559816</v>
      </c>
      <c r="H8" s="1">
        <v>6</v>
      </c>
      <c r="I8" s="1" t="s">
        <v>7</v>
      </c>
      <c r="J8" s="1"/>
      <c r="K8" s="3">
        <v>1687.78</v>
      </c>
      <c r="L8" s="3">
        <v>1736</v>
      </c>
      <c r="M8" s="3">
        <v>1747.32</v>
      </c>
      <c r="N8" s="3">
        <v>0.53</v>
      </c>
      <c r="O8" s="3">
        <v>0.28999999999999998</v>
      </c>
      <c r="P8" s="1"/>
      <c r="Q8" s="1"/>
      <c r="R8" s="5">
        <f t="shared" si="0"/>
        <v>1687780</v>
      </c>
      <c r="S8" s="5"/>
      <c r="T8" s="5"/>
      <c r="U8" s="5"/>
      <c r="V8" s="5"/>
      <c r="W8" s="5"/>
      <c r="X8" s="5">
        <f t="shared" si="4"/>
        <v>1736000</v>
      </c>
      <c r="Y8" s="5">
        <f t="shared" si="5"/>
        <v>1747320</v>
      </c>
    </row>
    <row r="9" spans="1:28" x14ac:dyDescent="0.25">
      <c r="A9" s="16">
        <v>2006</v>
      </c>
      <c r="B9" s="16"/>
      <c r="C9" s="29">
        <f t="shared" si="2"/>
        <v>40092160.953528114</v>
      </c>
      <c r="D9">
        <f>55942*1000</f>
        <v>55942000</v>
      </c>
      <c r="E9">
        <v>1.91</v>
      </c>
      <c r="F9" s="13">
        <f t="shared" si="3"/>
        <v>10603927.226320453</v>
      </c>
      <c r="H9" s="1">
        <v>7</v>
      </c>
      <c r="I9" s="1" t="s">
        <v>8</v>
      </c>
      <c r="J9" s="1"/>
      <c r="K9" s="3">
        <v>1135.72</v>
      </c>
      <c r="L9" s="3">
        <v>1168.68</v>
      </c>
      <c r="M9" s="3">
        <v>1181.98</v>
      </c>
      <c r="N9" s="3">
        <v>0.56999999999999995</v>
      </c>
      <c r="O9" s="3">
        <v>0.56000000000000005</v>
      </c>
      <c r="P9" s="1"/>
      <c r="Q9" s="1"/>
      <c r="R9" s="5">
        <f t="shared" si="0"/>
        <v>1135720</v>
      </c>
      <c r="S9" s="5"/>
      <c r="T9" s="5"/>
      <c r="U9" s="5"/>
      <c r="V9" s="5"/>
      <c r="W9" s="5"/>
      <c r="X9" s="5">
        <f t="shared" si="4"/>
        <v>1168680</v>
      </c>
      <c r="Y9" s="5">
        <f t="shared" si="5"/>
        <v>1181980</v>
      </c>
    </row>
    <row r="10" spans="1:28" x14ac:dyDescent="0.25">
      <c r="A10" s="16">
        <v>2007</v>
      </c>
      <c r="B10" s="16"/>
      <c r="C10" s="29">
        <f t="shared" si="2"/>
        <v>40853912.011645146</v>
      </c>
      <c r="D10">
        <f>57006.4*1000</f>
        <v>57006400</v>
      </c>
      <c r="E10">
        <v>1.83</v>
      </c>
      <c r="F10" s="13">
        <f t="shared" si="3"/>
        <v>10805401.843620541</v>
      </c>
      <c r="H10" s="1">
        <v>8</v>
      </c>
      <c r="I10" s="1" t="s">
        <v>9</v>
      </c>
      <c r="J10" s="1"/>
      <c r="K10" s="3">
        <v>1023.91</v>
      </c>
      <c r="L10" s="3">
        <v>1055.42</v>
      </c>
      <c r="M10" s="3">
        <v>1068.2</v>
      </c>
      <c r="N10" s="3">
        <v>0.61</v>
      </c>
      <c r="O10" s="3">
        <v>0.59</v>
      </c>
      <c r="P10" s="1"/>
      <c r="Q10" s="1"/>
      <c r="R10" s="5">
        <f t="shared" si="0"/>
        <v>1023910</v>
      </c>
      <c r="S10" s="5"/>
      <c r="T10" s="5"/>
      <c r="U10" s="5"/>
      <c r="V10" s="5"/>
      <c r="W10" s="5"/>
      <c r="X10" s="5">
        <f t="shared" si="4"/>
        <v>1055420</v>
      </c>
      <c r="Y10" s="5">
        <f t="shared" si="5"/>
        <v>1068200</v>
      </c>
    </row>
    <row r="11" spans="1:28" x14ac:dyDescent="0.25">
      <c r="A11" s="16">
        <v>2008</v>
      </c>
      <c r="B11" s="16"/>
      <c r="C11" s="29">
        <f t="shared" si="2"/>
        <v>41630136.3398664</v>
      </c>
      <c r="D11">
        <f>57716.1*1000</f>
        <v>57716100</v>
      </c>
      <c r="E11">
        <v>1.71</v>
      </c>
      <c r="F11" s="13">
        <f t="shared" si="3"/>
        <v>11010704.478649329</v>
      </c>
      <c r="H11" s="1">
        <v>9</v>
      </c>
      <c r="I11" s="1" t="s">
        <v>10</v>
      </c>
      <c r="J11" s="1"/>
      <c r="K11" s="3">
        <v>2044.18</v>
      </c>
      <c r="L11" s="3">
        <v>2126.1799999999998</v>
      </c>
      <c r="M11" s="3">
        <v>2159.58</v>
      </c>
      <c r="N11" s="3">
        <v>0.79</v>
      </c>
      <c r="O11" s="3">
        <v>0.77</v>
      </c>
      <c r="P11" s="1"/>
      <c r="Q11" s="1"/>
      <c r="R11" s="5">
        <f t="shared" si="0"/>
        <v>2044180</v>
      </c>
      <c r="S11" s="5"/>
      <c r="T11" s="5"/>
      <c r="U11" s="5"/>
      <c r="V11" s="5"/>
      <c r="W11" s="5"/>
      <c r="X11" s="5">
        <f t="shared" si="4"/>
        <v>2126180</v>
      </c>
      <c r="Y11" s="5">
        <f t="shared" si="5"/>
        <v>2159580</v>
      </c>
    </row>
    <row r="12" spans="1:28" x14ac:dyDescent="0.25">
      <c r="A12" s="16">
        <v>2009</v>
      </c>
      <c r="B12" s="16"/>
      <c r="C12" s="29">
        <f t="shared" si="2"/>
        <v>42421108.930323854</v>
      </c>
      <c r="D12">
        <f>58421.9*1000</f>
        <v>58421900</v>
      </c>
      <c r="E12">
        <v>1.18</v>
      </c>
      <c r="F12" s="13">
        <f t="shared" si="3"/>
        <v>11219907.863743665</v>
      </c>
      <c r="H12" s="1">
        <v>10</v>
      </c>
      <c r="I12" s="1" t="s">
        <v>11</v>
      </c>
      <c r="J12" s="1"/>
      <c r="K12" s="3">
        <v>1153.23</v>
      </c>
      <c r="L12" s="3">
        <v>1182.1099999999999</v>
      </c>
      <c r="M12" s="3">
        <v>1193.73</v>
      </c>
      <c r="N12" s="3">
        <v>0.5</v>
      </c>
      <c r="O12" s="3">
        <v>0.48</v>
      </c>
      <c r="P12" s="1"/>
      <c r="Q12" s="1"/>
      <c r="R12" s="5">
        <f t="shared" si="0"/>
        <v>1153230</v>
      </c>
      <c r="S12" s="5"/>
      <c r="T12" s="5"/>
      <c r="U12" s="5"/>
      <c r="V12" s="5"/>
      <c r="W12" s="5"/>
      <c r="X12" s="5">
        <f t="shared" si="4"/>
        <v>1182110</v>
      </c>
      <c r="Y12" s="5">
        <f t="shared" si="5"/>
        <v>1193730</v>
      </c>
    </row>
    <row r="13" spans="1:28" x14ac:dyDescent="0.25">
      <c r="A13" s="16">
        <v>2010</v>
      </c>
      <c r="B13" s="16"/>
      <c r="C13" s="29">
        <f>R31</f>
        <v>43227110</v>
      </c>
      <c r="D13">
        <f>61390.3*1000</f>
        <v>61390300</v>
      </c>
      <c r="E13">
        <v>0.77</v>
      </c>
      <c r="F13" s="13">
        <f t="shared" si="3"/>
        <v>11433086.113154793</v>
      </c>
      <c r="H13" s="1">
        <v>11</v>
      </c>
      <c r="I13" s="1" t="s">
        <v>12</v>
      </c>
      <c r="J13" s="1"/>
      <c r="K13" s="3">
        <v>1101.58</v>
      </c>
      <c r="L13" s="3">
        <v>1137.27</v>
      </c>
      <c r="M13" s="3">
        <v>1146.44</v>
      </c>
      <c r="N13" s="3">
        <v>0.6</v>
      </c>
      <c r="O13" s="3">
        <v>0.38</v>
      </c>
      <c r="P13" s="1"/>
      <c r="Q13" s="1"/>
      <c r="R13" s="5">
        <f t="shared" si="0"/>
        <v>1101580</v>
      </c>
      <c r="S13" s="5"/>
      <c r="T13" s="5"/>
      <c r="U13" s="5"/>
      <c r="V13" s="5"/>
      <c r="W13" s="5"/>
      <c r="X13" s="5">
        <f t="shared" si="4"/>
        <v>1137270</v>
      </c>
      <c r="Y13" s="5">
        <f t="shared" si="5"/>
        <v>1146440</v>
      </c>
    </row>
    <row r="14" spans="1:28" x14ac:dyDescent="0.25">
      <c r="A14" s="14">
        <v>2011</v>
      </c>
      <c r="B14" s="14"/>
      <c r="C14" s="18">
        <f t="shared" ref="C14:C20" si="6">C13*(1+$N$31/100)</f>
        <v>43892807.494000003</v>
      </c>
      <c r="E14">
        <v>0.53</v>
      </c>
      <c r="F14" s="13">
        <f t="shared" si="3"/>
        <v>11609155.639297377</v>
      </c>
      <c r="H14" s="1">
        <v>12</v>
      </c>
      <c r="I14" s="1" t="s">
        <v>13</v>
      </c>
      <c r="J14" s="1"/>
      <c r="K14" s="3">
        <v>1645.02</v>
      </c>
      <c r="L14" s="3">
        <v>1691.39</v>
      </c>
      <c r="M14" s="3">
        <v>1709.99</v>
      </c>
      <c r="N14" s="3">
        <v>0.56000000000000005</v>
      </c>
      <c r="O14" s="3">
        <v>0.54</v>
      </c>
      <c r="P14" s="1"/>
      <c r="Q14" s="1"/>
      <c r="R14" s="5">
        <f t="shared" si="0"/>
        <v>1645020</v>
      </c>
      <c r="S14" s="5"/>
      <c r="T14" s="5"/>
      <c r="U14" s="5"/>
      <c r="V14" s="5"/>
      <c r="W14" s="5"/>
      <c r="X14" s="5">
        <f t="shared" si="4"/>
        <v>1691390</v>
      </c>
      <c r="Y14" s="5">
        <f t="shared" si="5"/>
        <v>1709990</v>
      </c>
    </row>
    <row r="15" spans="1:28" x14ac:dyDescent="0.25">
      <c r="A15" s="14">
        <v>2012</v>
      </c>
      <c r="B15" s="14"/>
      <c r="C15" s="18">
        <f t="shared" si="6"/>
        <v>44568756.729407609</v>
      </c>
      <c r="D15" s="80"/>
      <c r="E15">
        <v>1.65</v>
      </c>
      <c r="F15" s="13">
        <f t="shared" si="3"/>
        <v>11787936.636142557</v>
      </c>
      <c r="H15" s="1">
        <v>13</v>
      </c>
      <c r="I15" s="1" t="s">
        <v>14</v>
      </c>
      <c r="J15" s="1"/>
      <c r="K15" s="3">
        <v>1449.21</v>
      </c>
      <c r="L15" s="3">
        <v>1529.39</v>
      </c>
      <c r="M15" s="3">
        <v>1562.51</v>
      </c>
      <c r="N15" s="3">
        <v>1.08</v>
      </c>
      <c r="O15" s="3">
        <v>1.07</v>
      </c>
      <c r="P15" s="1"/>
      <c r="Q15" s="1"/>
      <c r="R15" s="5">
        <f t="shared" si="0"/>
        <v>1449210</v>
      </c>
      <c r="S15" s="5"/>
      <c r="T15" s="5"/>
      <c r="U15" s="5"/>
      <c r="V15" s="5"/>
      <c r="W15" s="5"/>
      <c r="X15" s="5">
        <f t="shared" si="4"/>
        <v>1529390</v>
      </c>
      <c r="Y15" s="5">
        <f t="shared" si="5"/>
        <v>1562510</v>
      </c>
    </row>
    <row r="16" spans="1:28" x14ac:dyDescent="0.25">
      <c r="A16" s="14">
        <v>2013</v>
      </c>
      <c r="B16" s="14"/>
      <c r="C16" s="18">
        <f t="shared" si="6"/>
        <v>45255115.583040491</v>
      </c>
      <c r="D16">
        <f>64041.2*1000</f>
        <v>64041200</v>
      </c>
      <c r="E16">
        <v>1.78</v>
      </c>
      <c r="F16" s="13">
        <f t="shared" si="3"/>
        <v>11969470.860339155</v>
      </c>
      <c r="H16" s="1">
        <v>14</v>
      </c>
      <c r="I16" s="1" t="s">
        <v>15</v>
      </c>
      <c r="J16" s="1"/>
      <c r="K16" s="3">
        <v>859.19</v>
      </c>
      <c r="L16" s="3">
        <v>921.6</v>
      </c>
      <c r="M16" s="3">
        <v>943.34</v>
      </c>
      <c r="N16" s="3">
        <v>1.38</v>
      </c>
      <c r="O16" s="3">
        <v>1.1399999999999999</v>
      </c>
      <c r="P16" s="1"/>
      <c r="Q16" s="1"/>
      <c r="R16" s="5">
        <f t="shared" si="0"/>
        <v>859190</v>
      </c>
      <c r="S16" s="5"/>
      <c r="T16" s="5"/>
      <c r="U16" s="5"/>
      <c r="V16" s="5"/>
      <c r="W16" s="5"/>
      <c r="X16" s="5">
        <f t="shared" si="4"/>
        <v>921600</v>
      </c>
      <c r="Y16" s="5">
        <f t="shared" si="5"/>
        <v>943340</v>
      </c>
    </row>
    <row r="17" spans="1:28" x14ac:dyDescent="0.25">
      <c r="A17" s="14">
        <v>2014</v>
      </c>
      <c r="B17" s="14"/>
      <c r="C17" s="18">
        <f t="shared" si="6"/>
        <v>45952044.363019317</v>
      </c>
      <c r="D17">
        <f>64771.6*1000</f>
        <v>64771600</v>
      </c>
      <c r="E17" s="13"/>
      <c r="F17" s="13">
        <f t="shared" si="3"/>
        <v>12153800.711588379</v>
      </c>
      <c r="H17" s="1">
        <v>15</v>
      </c>
      <c r="I17" s="1" t="s">
        <v>16</v>
      </c>
      <c r="J17" s="1"/>
      <c r="K17" s="3">
        <v>2144.19</v>
      </c>
      <c r="L17" s="3">
        <v>2273.58</v>
      </c>
      <c r="M17" s="3">
        <v>2316.4899999999998</v>
      </c>
      <c r="N17" s="3">
        <v>1.1499999999999999</v>
      </c>
      <c r="O17" s="3">
        <v>0.9</v>
      </c>
      <c r="P17" s="1"/>
      <c r="Q17" s="1"/>
      <c r="R17" s="5">
        <f t="shared" si="0"/>
        <v>2144190</v>
      </c>
      <c r="S17" s="5"/>
      <c r="T17" s="5"/>
      <c r="U17" s="5"/>
      <c r="V17" s="5"/>
      <c r="W17" s="5"/>
      <c r="X17" s="5">
        <f t="shared" si="4"/>
        <v>2273580</v>
      </c>
      <c r="Y17" s="5">
        <f t="shared" si="5"/>
        <v>2316490</v>
      </c>
    </row>
    <row r="18" spans="1:28" x14ac:dyDescent="0.25">
      <c r="A18" s="14">
        <v>2015</v>
      </c>
      <c r="B18" s="14"/>
      <c r="C18" s="18">
        <f t="shared" si="6"/>
        <v>46659705.846209817</v>
      </c>
      <c r="D18">
        <f>65588.4*1000</f>
        <v>65588399.999999993</v>
      </c>
      <c r="E18" s="13"/>
      <c r="F18" s="13">
        <f t="shared" si="3"/>
        <v>12340969.24254684</v>
      </c>
      <c r="H18" s="1">
        <v>16</v>
      </c>
      <c r="I18" s="1" t="s">
        <v>17</v>
      </c>
      <c r="J18" s="1"/>
      <c r="K18" s="3">
        <v>2656.88</v>
      </c>
      <c r="L18" s="3">
        <v>3246.01</v>
      </c>
      <c r="M18" s="3">
        <v>3500.02</v>
      </c>
      <c r="N18" s="3">
        <v>4.05</v>
      </c>
      <c r="O18" s="3">
        <v>3.81</v>
      </c>
      <c r="P18" s="1"/>
      <c r="Q18" s="1"/>
      <c r="R18" s="5">
        <f t="shared" si="0"/>
        <v>2656880</v>
      </c>
      <c r="S18" s="5"/>
      <c r="T18" s="5"/>
      <c r="U18" s="5"/>
      <c r="V18" s="5"/>
      <c r="W18" s="5"/>
      <c r="X18" s="5">
        <f t="shared" si="4"/>
        <v>3246010</v>
      </c>
      <c r="Y18" s="5">
        <f t="shared" si="5"/>
        <v>3500020</v>
      </c>
    </row>
    <row r="19" spans="1:28" x14ac:dyDescent="0.25">
      <c r="A19" s="14">
        <v>2016</v>
      </c>
      <c r="B19" s="14"/>
      <c r="C19" s="18">
        <f t="shared" si="6"/>
        <v>47378265.316241451</v>
      </c>
      <c r="D19">
        <f>66385.4*1000</f>
        <v>66385399.999999993</v>
      </c>
      <c r="E19" s="13"/>
      <c r="F19" s="13">
        <f t="shared" si="3"/>
        <v>12531020.168882063</v>
      </c>
      <c r="H19" s="1">
        <v>17</v>
      </c>
      <c r="I19" s="1" t="s">
        <v>22</v>
      </c>
      <c r="J19" s="1"/>
      <c r="K19" s="3">
        <v>1522.08</v>
      </c>
      <c r="L19" s="3">
        <v>1629.42</v>
      </c>
      <c r="M19" s="3">
        <v>1666.51</v>
      </c>
      <c r="N19" s="3">
        <v>1.34</v>
      </c>
      <c r="O19" s="3">
        <v>1.1000000000000001</v>
      </c>
      <c r="P19" s="1"/>
      <c r="Q19" s="1"/>
      <c r="R19" s="5">
        <f t="shared" si="0"/>
        <v>1522080</v>
      </c>
      <c r="S19" s="5"/>
      <c r="T19" s="5"/>
      <c r="U19" s="5"/>
      <c r="V19" s="5"/>
      <c r="W19" s="5"/>
      <c r="X19" s="5">
        <f t="shared" si="4"/>
        <v>1629420</v>
      </c>
      <c r="Y19" s="5">
        <f t="shared" si="5"/>
        <v>1666510</v>
      </c>
    </row>
    <row r="20" spans="1:28" x14ac:dyDescent="0.25">
      <c r="A20" s="14">
        <v>2017</v>
      </c>
      <c r="B20" s="14"/>
      <c r="C20" s="18">
        <f t="shared" si="6"/>
        <v>48107890.602111571</v>
      </c>
      <c r="D20" s="80"/>
      <c r="E20" s="13"/>
      <c r="F20" s="13">
        <f t="shared" si="3"/>
        <v>12723997.879482847</v>
      </c>
      <c r="H20" s="1">
        <v>18</v>
      </c>
      <c r="I20" s="1" t="s">
        <v>18</v>
      </c>
      <c r="J20" s="1"/>
      <c r="K20" s="3">
        <v>379.52</v>
      </c>
      <c r="L20" s="3">
        <v>390.48</v>
      </c>
      <c r="M20" s="3">
        <v>395.1</v>
      </c>
      <c r="N20" s="3">
        <v>0.57999999999999996</v>
      </c>
      <c r="O20" s="3">
        <v>0.57999999999999996</v>
      </c>
      <c r="P20" s="1"/>
      <c r="Q20" s="1"/>
      <c r="R20" s="5">
        <f t="shared" si="0"/>
        <v>379520</v>
      </c>
      <c r="S20" s="5"/>
      <c r="T20" s="5"/>
      <c r="U20" s="5"/>
      <c r="V20" s="5"/>
      <c r="W20" s="5"/>
      <c r="X20" s="5">
        <f t="shared" si="4"/>
        <v>390480</v>
      </c>
      <c r="Y20" s="5">
        <f t="shared" si="5"/>
        <v>395100</v>
      </c>
    </row>
    <row r="21" spans="1:28" x14ac:dyDescent="0.25">
      <c r="A21" s="14">
        <v>2018</v>
      </c>
      <c r="B21" s="14"/>
      <c r="C21" s="18">
        <f>C20*(1+$O$31/100)</f>
        <v>48776590.281480923</v>
      </c>
      <c r="D21" s="80"/>
      <c r="E21" s="13"/>
      <c r="F21" s="13">
        <f t="shared" si="3"/>
        <v>12900861.450007658</v>
      </c>
      <c r="H21" s="110" t="s">
        <v>1</v>
      </c>
      <c r="I21" s="110"/>
      <c r="J21" s="7"/>
      <c r="K21" s="3"/>
      <c r="L21" s="3"/>
      <c r="M21" s="3"/>
      <c r="N21" s="3" t="s">
        <v>25</v>
      </c>
      <c r="O21" s="3"/>
      <c r="P21" s="1"/>
      <c r="Q21" s="1"/>
      <c r="R21" s="5"/>
      <c r="S21" s="5"/>
      <c r="T21" s="5"/>
      <c r="U21" s="5"/>
      <c r="V21" s="5"/>
      <c r="W21" s="5"/>
      <c r="X21" s="5"/>
      <c r="Y21" s="5"/>
    </row>
    <row r="22" spans="1:28" x14ac:dyDescent="0.25">
      <c r="A22" s="14">
        <v>2019</v>
      </c>
      <c r="B22" s="14"/>
      <c r="C22" s="18">
        <f>C21*(1+$O$31/100)</f>
        <v>49454584.88639351</v>
      </c>
      <c r="D22" s="80"/>
      <c r="E22" s="13"/>
      <c r="F22" s="13">
        <f t="shared" si="3"/>
        <v>13080183.424162766</v>
      </c>
      <c r="H22" s="1">
        <v>19</v>
      </c>
      <c r="I22" s="1" t="s">
        <v>2</v>
      </c>
      <c r="J22" s="1"/>
      <c r="K22" s="3">
        <v>958.08</v>
      </c>
      <c r="L22" s="3">
        <v>1047.92</v>
      </c>
      <c r="M22" s="3">
        <v>1081.01</v>
      </c>
      <c r="N22" s="3">
        <v>1.77</v>
      </c>
      <c r="O22" s="3">
        <v>1.53</v>
      </c>
      <c r="P22" s="1"/>
      <c r="Q22" s="1"/>
      <c r="R22" s="5">
        <f t="shared" ref="R22:R31" si="7">K22*1000</f>
        <v>958080</v>
      </c>
      <c r="S22" s="5"/>
      <c r="T22" s="5"/>
      <c r="U22" s="5"/>
      <c r="V22" s="5"/>
      <c r="W22" s="5"/>
      <c r="X22" s="5">
        <f t="shared" ref="X22:X31" si="8">L22*1000</f>
        <v>1047920.0000000001</v>
      </c>
      <c r="Y22" s="5">
        <f t="shared" ref="Y22:Y31" si="9">M22*1000</f>
        <v>1081010</v>
      </c>
    </row>
    <row r="23" spans="1:28" x14ac:dyDescent="0.25">
      <c r="A23" s="14">
        <v>2020</v>
      </c>
      <c r="B23" s="14"/>
      <c r="C23" s="18">
        <f>C22*(1+$O$31/100)</f>
        <v>50142003.616314381</v>
      </c>
      <c r="D23" s="80"/>
      <c r="E23" s="13"/>
      <c r="F23" s="13">
        <f t="shared" si="3"/>
        <v>13261997.973758629</v>
      </c>
      <c r="H23" s="1">
        <v>20</v>
      </c>
      <c r="I23" s="1" t="s">
        <v>3</v>
      </c>
      <c r="J23" s="1"/>
      <c r="K23" s="3">
        <v>301.01</v>
      </c>
      <c r="L23" s="3">
        <v>318.12</v>
      </c>
      <c r="M23" s="3">
        <v>323.79000000000002</v>
      </c>
      <c r="N23" s="3">
        <v>1.08</v>
      </c>
      <c r="O23" s="3">
        <v>0.84</v>
      </c>
      <c r="P23" s="1"/>
      <c r="Q23" s="1"/>
      <c r="R23" s="5">
        <f t="shared" si="7"/>
        <v>301010</v>
      </c>
      <c r="S23" s="5"/>
      <c r="T23" s="5"/>
      <c r="U23" s="5"/>
      <c r="V23" s="5"/>
      <c r="W23" s="5"/>
      <c r="X23" s="5">
        <f t="shared" si="8"/>
        <v>318120</v>
      </c>
      <c r="Y23" s="5">
        <f t="shared" si="9"/>
        <v>323790</v>
      </c>
    </row>
    <row r="24" spans="1:28" x14ac:dyDescent="0.25">
      <c r="A24" s="14" t="s">
        <v>92</v>
      </c>
      <c r="B24" s="14"/>
      <c r="C24" s="14">
        <f>(C13/C3)^(1/(A13-A3))-1</f>
        <v>1.924890306579119E-2</v>
      </c>
      <c r="H24" s="1">
        <v>21</v>
      </c>
      <c r="I24" s="1" t="s">
        <v>5</v>
      </c>
      <c r="J24" s="1"/>
      <c r="K24" s="3">
        <v>22412.09</v>
      </c>
      <c r="L24" s="3">
        <v>22481.47</v>
      </c>
      <c r="M24" s="3">
        <v>22497.94</v>
      </c>
      <c r="N24" s="3">
        <v>0.54</v>
      </c>
      <c r="O24" s="3">
        <v>0.28999999999999998</v>
      </c>
      <c r="R24" s="5">
        <f t="shared" si="7"/>
        <v>22412090</v>
      </c>
      <c r="S24" s="5"/>
      <c r="T24" s="5"/>
      <c r="U24" s="5"/>
      <c r="V24" s="5"/>
      <c r="W24" s="5"/>
      <c r="X24" s="5">
        <f t="shared" si="8"/>
        <v>22481470</v>
      </c>
      <c r="Y24" s="5">
        <f t="shared" si="9"/>
        <v>22497940</v>
      </c>
    </row>
    <row r="25" spans="1:28" x14ac:dyDescent="0.25">
      <c r="A25" t="s">
        <v>266</v>
      </c>
      <c r="C25">
        <f>(C23/C14)^(1/9)-1</f>
        <v>1.4899753589348252E-2</v>
      </c>
      <c r="H25" s="1">
        <v>22</v>
      </c>
      <c r="I25" s="1" t="s">
        <v>10</v>
      </c>
      <c r="J25" s="1"/>
      <c r="K25" s="3">
        <v>293.20999999999998</v>
      </c>
      <c r="L25" s="3">
        <v>307.49</v>
      </c>
      <c r="M25" s="3">
        <v>313.33</v>
      </c>
      <c r="N25" s="3">
        <v>0.96</v>
      </c>
      <c r="O25" s="3">
        <v>0.91</v>
      </c>
      <c r="P25" s="1"/>
      <c r="Q25" s="1"/>
      <c r="R25" s="5">
        <f t="shared" si="7"/>
        <v>293210</v>
      </c>
      <c r="S25" s="5"/>
      <c r="T25" s="5"/>
      <c r="U25" s="5"/>
      <c r="V25" s="5"/>
      <c r="W25" s="5"/>
      <c r="X25" s="5">
        <f t="shared" si="8"/>
        <v>307490</v>
      </c>
      <c r="Y25" s="5">
        <f t="shared" si="9"/>
        <v>313330</v>
      </c>
    </row>
    <row r="26" spans="1:28" x14ac:dyDescent="0.25">
      <c r="A26" t="s">
        <v>269</v>
      </c>
      <c r="C26">
        <f>(C23/C3)^(1/20)-1+0.0008</f>
        <v>1.7897063619002649E-2</v>
      </c>
      <c r="H26" s="1">
        <v>23</v>
      </c>
      <c r="I26" s="1" t="s">
        <v>17</v>
      </c>
      <c r="J26" s="1"/>
      <c r="K26" s="3">
        <v>2356.1</v>
      </c>
      <c r="L26" s="3">
        <v>2714.83</v>
      </c>
      <c r="M26" s="3">
        <v>2859.63</v>
      </c>
      <c r="N26" s="3">
        <v>2.84</v>
      </c>
      <c r="O26" s="3">
        <v>2.6</v>
      </c>
      <c r="R26" s="5">
        <f t="shared" si="7"/>
        <v>2356100</v>
      </c>
      <c r="S26" s="5"/>
      <c r="T26" s="5"/>
      <c r="U26" s="5"/>
      <c r="V26" s="5"/>
      <c r="W26" s="5"/>
      <c r="X26" s="5">
        <f t="shared" si="8"/>
        <v>2714830</v>
      </c>
      <c r="Y26" s="5">
        <f t="shared" si="9"/>
        <v>2859630</v>
      </c>
    </row>
    <row r="27" spans="1:28" x14ac:dyDescent="0.25">
      <c r="H27" s="1">
        <v>24</v>
      </c>
      <c r="I27" s="1" t="s">
        <v>19</v>
      </c>
      <c r="J27" s="1"/>
      <c r="K27" s="3">
        <v>1755.61</v>
      </c>
      <c r="L27" s="3">
        <v>2106.1</v>
      </c>
      <c r="M27" s="3">
        <v>2254.5100000000002</v>
      </c>
      <c r="N27" s="3">
        <v>3.67</v>
      </c>
      <c r="O27" s="3">
        <v>3.43</v>
      </c>
      <c r="R27" s="5">
        <f t="shared" si="7"/>
        <v>1755610</v>
      </c>
      <c r="S27" s="5"/>
      <c r="T27" s="5"/>
      <c r="U27" s="5"/>
      <c r="V27" s="5"/>
      <c r="W27" s="5"/>
      <c r="X27" s="5">
        <f t="shared" si="8"/>
        <v>2106100</v>
      </c>
      <c r="Y27" s="5">
        <f t="shared" si="9"/>
        <v>2254510</v>
      </c>
    </row>
    <row r="28" spans="1:28" ht="45" x14ac:dyDescent="0.25">
      <c r="A28" s="72" t="s">
        <v>398</v>
      </c>
      <c r="B28">
        <v>1.9</v>
      </c>
      <c r="C28" t="s">
        <v>389</v>
      </c>
      <c r="H28" s="1">
        <v>25</v>
      </c>
      <c r="I28" s="1" t="s">
        <v>20</v>
      </c>
      <c r="J28" s="1"/>
      <c r="K28" s="3">
        <v>545.51</v>
      </c>
      <c r="L28" s="3">
        <v>586.58000000000004</v>
      </c>
      <c r="M28" s="3">
        <v>601.1</v>
      </c>
      <c r="N28" s="3">
        <v>1.43</v>
      </c>
      <c r="O28" s="3">
        <v>1.19</v>
      </c>
      <c r="P28" s="1"/>
      <c r="Q28" s="1"/>
      <c r="R28" s="5">
        <f t="shared" si="7"/>
        <v>545510</v>
      </c>
      <c r="S28" s="5"/>
      <c r="T28" s="5"/>
      <c r="U28" s="5"/>
      <c r="V28" s="5"/>
      <c r="W28" s="5"/>
      <c r="X28" s="5">
        <f t="shared" si="8"/>
        <v>586580</v>
      </c>
      <c r="Y28" s="5">
        <f t="shared" si="9"/>
        <v>601100</v>
      </c>
    </row>
    <row r="29" spans="1:28" x14ac:dyDescent="0.25">
      <c r="H29" s="1">
        <v>26</v>
      </c>
      <c r="I29" s="1" t="s">
        <v>7</v>
      </c>
      <c r="J29" s="1"/>
      <c r="K29" s="3">
        <v>639.99</v>
      </c>
      <c r="L29" s="3">
        <v>657.48</v>
      </c>
      <c r="M29" s="3">
        <v>661.4</v>
      </c>
      <c r="N29" s="3">
        <v>0.5</v>
      </c>
      <c r="O29" s="3">
        <v>0.27</v>
      </c>
      <c r="P29" s="1"/>
      <c r="Q29" s="1"/>
      <c r="R29" s="5">
        <f t="shared" si="7"/>
        <v>639990</v>
      </c>
      <c r="S29" s="5"/>
      <c r="T29" s="5"/>
      <c r="U29" s="5"/>
      <c r="V29" s="5"/>
      <c r="W29" s="5"/>
      <c r="X29" s="5">
        <f t="shared" si="8"/>
        <v>657480</v>
      </c>
      <c r="Y29" s="5">
        <f t="shared" si="9"/>
        <v>661400</v>
      </c>
    </row>
    <row r="30" spans="1:28" x14ac:dyDescent="0.25">
      <c r="H30" s="1">
        <v>27</v>
      </c>
      <c r="I30" s="1" t="s">
        <v>21</v>
      </c>
      <c r="J30" s="1"/>
      <c r="K30" s="3">
        <v>176.51</v>
      </c>
      <c r="L30" s="3">
        <v>181.43</v>
      </c>
      <c r="M30" s="3">
        <v>182.39</v>
      </c>
      <c r="N30" s="3">
        <v>0.5</v>
      </c>
      <c r="O30" s="3">
        <v>0.27</v>
      </c>
      <c r="P30" s="1"/>
      <c r="Q30" s="1"/>
      <c r="R30" s="5">
        <f t="shared" si="7"/>
        <v>176510</v>
      </c>
      <c r="S30" s="5"/>
      <c r="T30" s="5"/>
      <c r="U30" s="5"/>
      <c r="V30" s="5"/>
      <c r="W30" s="5"/>
      <c r="X30" s="5">
        <f t="shared" si="8"/>
        <v>181430</v>
      </c>
      <c r="Y30" s="5">
        <f t="shared" si="9"/>
        <v>182390</v>
      </c>
    </row>
    <row r="31" spans="1:28" x14ac:dyDescent="0.25">
      <c r="H31" s="109" t="s">
        <v>24</v>
      </c>
      <c r="I31" s="109"/>
      <c r="J31" s="20">
        <v>43552.923000000003</v>
      </c>
      <c r="K31" s="19">
        <v>43227.11</v>
      </c>
      <c r="L31" s="3">
        <v>46709.57</v>
      </c>
      <c r="M31" s="3">
        <v>48037.83</v>
      </c>
      <c r="N31" s="3">
        <v>1.54</v>
      </c>
      <c r="O31" s="3">
        <v>1.39</v>
      </c>
      <c r="Q31" s="5">
        <f>J31*1000</f>
        <v>43552923</v>
      </c>
      <c r="R31" s="5">
        <f t="shared" si="7"/>
        <v>43227110</v>
      </c>
      <c r="S31" s="14">
        <v>43938796</v>
      </c>
      <c r="T31" s="14">
        <v>44643586</v>
      </c>
      <c r="U31" s="14">
        <v>45340799</v>
      </c>
      <c r="V31" s="14">
        <v>46029668</v>
      </c>
      <c r="W31" s="5">
        <f>46709569</f>
        <v>46709569</v>
      </c>
      <c r="X31" s="5">
        <f t="shared" si="8"/>
        <v>46709570</v>
      </c>
      <c r="Y31" s="5">
        <f t="shared" si="9"/>
        <v>48037830</v>
      </c>
      <c r="Z31" s="22">
        <f>48.6*1000000</f>
        <v>48600000</v>
      </c>
      <c r="AA31" s="22">
        <f>49.2*1000000</f>
        <v>49200000</v>
      </c>
      <c r="AB31" s="6">
        <f>49.8*1000000</f>
        <v>49800000</v>
      </c>
    </row>
    <row r="32" spans="1:28" x14ac:dyDescent="0.25">
      <c r="H32" t="s">
        <v>30</v>
      </c>
      <c r="J32" s="14">
        <v>11519.26</v>
      </c>
    </row>
    <row r="33" spans="1:23" x14ac:dyDescent="0.25">
      <c r="H33" t="s">
        <v>31</v>
      </c>
      <c r="J33" s="14">
        <f>J31/J32</f>
        <v>3.7808785460177132</v>
      </c>
    </row>
    <row r="35" spans="1:23" x14ac:dyDescent="0.25">
      <c r="A35" t="s">
        <v>32</v>
      </c>
      <c r="C35">
        <v>2000</v>
      </c>
      <c r="D35">
        <v>2001</v>
      </c>
      <c r="E35">
        <v>2002</v>
      </c>
      <c r="F35">
        <v>2003</v>
      </c>
      <c r="G35">
        <v>2004</v>
      </c>
      <c r="H35">
        <v>2005</v>
      </c>
      <c r="I35">
        <v>2006</v>
      </c>
      <c r="J35">
        <v>2007</v>
      </c>
      <c r="K35">
        <v>2008</v>
      </c>
      <c r="L35">
        <v>2009</v>
      </c>
      <c r="M35">
        <v>2010</v>
      </c>
      <c r="N35">
        <v>2011</v>
      </c>
      <c r="O35">
        <v>2012</v>
      </c>
      <c r="P35">
        <v>2013</v>
      </c>
      <c r="Q35">
        <v>2014</v>
      </c>
      <c r="R35">
        <v>2015</v>
      </c>
      <c r="S35">
        <v>2016</v>
      </c>
      <c r="T35">
        <v>2017</v>
      </c>
      <c r="U35">
        <v>2018</v>
      </c>
      <c r="V35">
        <v>2019</v>
      </c>
      <c r="W35">
        <v>2020</v>
      </c>
    </row>
    <row r="36" spans="1:23" x14ac:dyDescent="0.25">
      <c r="A36" t="s">
        <v>29</v>
      </c>
      <c r="C36">
        <f>VLOOKUP(C35,$A$3:$F$23,3)</f>
        <v>35723473</v>
      </c>
      <c r="D36">
        <f t="shared" ref="D36:W36" si="10">VLOOKUP(D35,$A$3:$F$23,3)</f>
        <v>36491233.60572809</v>
      </c>
      <c r="E36">
        <f t="shared" si="10"/>
        <v>37184567.044236921</v>
      </c>
      <c r="F36">
        <f t="shared" si="10"/>
        <v>37891073.818077415</v>
      </c>
      <c r="G36">
        <f t="shared" si="10"/>
        <v>38611004.220620885</v>
      </c>
      <c r="H36">
        <f t="shared" si="10"/>
        <v>39344613.300812677</v>
      </c>
      <c r="I36">
        <f t="shared" si="10"/>
        <v>40092160.953528114</v>
      </c>
      <c r="J36">
        <f t="shared" si="10"/>
        <v>40853912.011645146</v>
      </c>
      <c r="K36">
        <f t="shared" si="10"/>
        <v>41630136.3398664</v>
      </c>
      <c r="L36">
        <f t="shared" si="10"/>
        <v>42421108.930323854</v>
      </c>
      <c r="M36">
        <f t="shared" si="10"/>
        <v>43227110</v>
      </c>
      <c r="N36">
        <f t="shared" si="10"/>
        <v>43892807.494000003</v>
      </c>
      <c r="O36">
        <f t="shared" si="10"/>
        <v>44568756.729407609</v>
      </c>
      <c r="P36">
        <f t="shared" si="10"/>
        <v>45255115.583040491</v>
      </c>
      <c r="Q36">
        <f t="shared" si="10"/>
        <v>45952044.363019317</v>
      </c>
      <c r="R36">
        <f t="shared" si="10"/>
        <v>46659705.846209817</v>
      </c>
      <c r="S36">
        <f t="shared" si="10"/>
        <v>47378265.316241451</v>
      </c>
      <c r="T36">
        <f t="shared" si="10"/>
        <v>48107890.602111571</v>
      </c>
      <c r="U36">
        <f t="shared" si="10"/>
        <v>48776590.281480923</v>
      </c>
      <c r="V36">
        <f t="shared" si="10"/>
        <v>49454584.88639351</v>
      </c>
      <c r="W36">
        <f t="shared" si="10"/>
        <v>50142003.616314381</v>
      </c>
    </row>
    <row r="37" spans="1:23" x14ac:dyDescent="0.25">
      <c r="A37" t="s">
        <v>336</v>
      </c>
      <c r="C37" s="13">
        <f>VLOOKUP(C35,$A$3:$F$23,6)</f>
        <v>9448458.226098394</v>
      </c>
      <c r="D37" s="13">
        <f>VLOOKUP(D35,$A$3:$F$23,6)</f>
        <v>9651522.3013876546</v>
      </c>
      <c r="E37" s="13">
        <f t="shared" ref="E37:W37" si="11">VLOOKUP(E35,$A$3:$F$23,6)</f>
        <v>9834901.2251140196</v>
      </c>
      <c r="F37" s="13">
        <f t="shared" si="11"/>
        <v>10021764.348391185</v>
      </c>
      <c r="G37" s="13">
        <f t="shared" si="11"/>
        <v>10212177.871010616</v>
      </c>
      <c r="H37" s="13">
        <f t="shared" si="11"/>
        <v>10406209.250559816</v>
      </c>
      <c r="I37" s="13">
        <f t="shared" si="11"/>
        <v>10603927.226320453</v>
      </c>
      <c r="J37" s="13">
        <f t="shared" si="11"/>
        <v>10805401.843620541</v>
      </c>
      <c r="K37" s="13">
        <f t="shared" si="11"/>
        <v>11010704.478649329</v>
      </c>
      <c r="L37" s="13">
        <f t="shared" si="11"/>
        <v>11219907.863743665</v>
      </c>
      <c r="M37" s="13">
        <f t="shared" si="11"/>
        <v>11433086.113154793</v>
      </c>
      <c r="N37" s="13">
        <f t="shared" si="11"/>
        <v>11609155.639297377</v>
      </c>
      <c r="O37" s="13">
        <f t="shared" si="11"/>
        <v>11787936.636142557</v>
      </c>
      <c r="P37" s="13">
        <f t="shared" si="11"/>
        <v>11969470.860339155</v>
      </c>
      <c r="Q37" s="13">
        <f t="shared" si="11"/>
        <v>12153800.711588379</v>
      </c>
      <c r="R37" s="13">
        <f t="shared" si="11"/>
        <v>12340969.24254684</v>
      </c>
      <c r="S37" s="13">
        <f t="shared" si="11"/>
        <v>12531020.168882063</v>
      </c>
      <c r="T37" s="13">
        <f t="shared" si="11"/>
        <v>12723997.879482847</v>
      </c>
      <c r="U37" s="13">
        <f t="shared" si="11"/>
        <v>12900861.450007658</v>
      </c>
      <c r="V37" s="13">
        <f t="shared" si="11"/>
        <v>13080183.424162766</v>
      </c>
      <c r="W37" s="13">
        <f t="shared" si="11"/>
        <v>13261997.973758629</v>
      </c>
    </row>
  </sheetData>
  <mergeCells count="13">
    <mergeCell ref="H31:I31"/>
    <mergeCell ref="H2:I2"/>
    <mergeCell ref="H21:I21"/>
    <mergeCell ref="R1:Y1"/>
    <mergeCell ref="Z1:AB1"/>
    <mergeCell ref="N1:O1"/>
    <mergeCell ref="A1:A2"/>
    <mergeCell ref="C1:C2"/>
    <mergeCell ref="K1:M1"/>
    <mergeCell ref="B1:B2"/>
    <mergeCell ref="F1:F2"/>
    <mergeCell ref="E1:E2"/>
    <mergeCell ref="D1:D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AC3-49A4-468D-B448-34A3E71420FF}">
  <dimension ref="A1:V27"/>
  <sheetViews>
    <sheetView workbookViewId="0">
      <pane xSplit="1" topLeftCell="B1" activePane="topRight" state="frozen"/>
      <selection pane="topRight" activeCell="T13" sqref="T13"/>
    </sheetView>
  </sheetViews>
  <sheetFormatPr defaultRowHeight="15" x14ac:dyDescent="0.25"/>
  <cols>
    <col min="1" max="1" width="20.42578125" bestFit="1" customWidth="1"/>
    <col min="2" max="3" width="18" bestFit="1" customWidth="1"/>
    <col min="4" max="4" width="18.140625" bestFit="1" customWidth="1"/>
    <col min="5" max="10" width="18" bestFit="1" customWidth="1"/>
    <col min="11" max="11" width="18.7109375" bestFit="1" customWidth="1"/>
    <col min="12" max="20" width="18" bestFit="1" customWidth="1"/>
  </cols>
  <sheetData>
    <row r="1" spans="1:22" x14ac:dyDescent="0.25">
      <c r="A1" t="s">
        <v>187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188</v>
      </c>
      <c r="B2" s="4">
        <v>8438286</v>
      </c>
      <c r="C2" s="4">
        <v>7951680</v>
      </c>
      <c r="D2" s="4">
        <v>8709487</v>
      </c>
      <c r="E2" s="4">
        <v>8716527.1180000007</v>
      </c>
      <c r="F2" s="4">
        <v>9070313.5830000006</v>
      </c>
      <c r="G2" s="4">
        <v>9706816.966</v>
      </c>
      <c r="H2" s="4">
        <v>9706816.966</v>
      </c>
      <c r="I2" s="4">
        <v>10907518.685000001</v>
      </c>
      <c r="J2" s="4">
        <v>11536602.516000001</v>
      </c>
      <c r="K2" s="4">
        <v>12628890.290999999</v>
      </c>
      <c r="L2" s="4">
        <v>12985322.311000001</v>
      </c>
      <c r="M2" s="4">
        <v>14398233.092</v>
      </c>
      <c r="N2" s="4">
        <v>16102578.913000001</v>
      </c>
      <c r="O2" s="4">
        <v>17998810.967999998</v>
      </c>
      <c r="P2" s="4">
        <v>19411289.638</v>
      </c>
      <c r="Q2" s="4">
        <v>20657458.344999999</v>
      </c>
      <c r="R2" s="4">
        <v>22178498</v>
      </c>
      <c r="S2" s="4">
        <v>23467004</v>
      </c>
      <c r="T2" s="4">
        <v>24854595</v>
      </c>
    </row>
    <row r="3" spans="1:22" x14ac:dyDescent="0.25">
      <c r="A3" t="s">
        <v>195</v>
      </c>
      <c r="B3" s="4">
        <v>22070117000</v>
      </c>
      <c r="C3" s="4">
        <v>19299914000</v>
      </c>
      <c r="D3" s="4">
        <f>1000*20025350</f>
        <v>20025350000</v>
      </c>
      <c r="E3" s="4">
        <v>19966202280</v>
      </c>
      <c r="F3" s="4">
        <v>21771355006</v>
      </c>
      <c r="G3" s="4">
        <v>23368341194</v>
      </c>
      <c r="H3" s="4">
        <v>24721025422</v>
      </c>
      <c r="I3" s="4">
        <v>26552641810</v>
      </c>
      <c r="J3" s="4">
        <v>27943963690</v>
      </c>
      <c r="K3" s="4">
        <v>30443143601</v>
      </c>
      <c r="L3" s="4">
        <v>31555882213</v>
      </c>
      <c r="M3" s="4">
        <v>34053591476</v>
      </c>
      <c r="N3" s="4">
        <v>37013071021</v>
      </c>
      <c r="O3" s="4">
        <v>39931828559</v>
      </c>
      <c r="P3" s="4">
        <v>42885919543</v>
      </c>
      <c r="Q3" s="4">
        <v>43558913965</v>
      </c>
      <c r="R3" s="4">
        <v>46143241013</v>
      </c>
      <c r="S3" s="4">
        <v>47425445657</v>
      </c>
      <c r="T3" s="4">
        <v>49311712856</v>
      </c>
    </row>
    <row r="4" spans="1:22" x14ac:dyDescent="0.25">
      <c r="A4" t="s">
        <v>191</v>
      </c>
      <c r="B4" s="4"/>
      <c r="C4" s="4"/>
      <c r="D4" s="4">
        <f>1000*22951800.53</f>
        <v>22951800530</v>
      </c>
      <c r="E4" s="4"/>
      <c r="F4" s="4">
        <v>24156196900</v>
      </c>
      <c r="G4" s="4">
        <v>28405990641</v>
      </c>
      <c r="H4" s="4">
        <v>27271643895</v>
      </c>
      <c r="I4" s="4"/>
      <c r="J4" s="4"/>
      <c r="K4" s="4"/>
      <c r="L4" s="4">
        <v>34690926900</v>
      </c>
      <c r="M4" s="4">
        <v>37328871763</v>
      </c>
      <c r="N4" s="4">
        <v>40477158604</v>
      </c>
      <c r="O4" s="4">
        <v>43817826564</v>
      </c>
      <c r="P4" s="4">
        <v>46462450822</v>
      </c>
      <c r="Q4" s="4">
        <v>47105730839</v>
      </c>
      <c r="R4" s="4">
        <v>47105730839</v>
      </c>
      <c r="S4" s="4">
        <v>50655175450</v>
      </c>
      <c r="T4" s="4">
        <v>52845359322</v>
      </c>
    </row>
    <row r="5" spans="1:22" x14ac:dyDescent="0.25">
      <c r="A5" t="s">
        <v>189</v>
      </c>
      <c r="B5" s="4">
        <f t="shared" ref="B5:C5" si="0">B4/B2</f>
        <v>0</v>
      </c>
      <c r="C5" s="4">
        <f t="shared" si="0"/>
        <v>0</v>
      </c>
      <c r="D5" s="4">
        <f>D4/D2</f>
        <v>2635.2643422052297</v>
      </c>
      <c r="E5" s="4">
        <f t="shared" ref="E5:T5" si="1">E4/E2</f>
        <v>0</v>
      </c>
      <c r="F5" s="4">
        <f t="shared" si="1"/>
        <v>2663.2151886429438</v>
      </c>
      <c r="G5" s="4">
        <f t="shared" si="1"/>
        <v>2926.3960307995367</v>
      </c>
      <c r="H5" s="4">
        <f t="shared" si="1"/>
        <v>2809.5351947527388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2671.549159054216</v>
      </c>
      <c r="M5" s="4">
        <f t="shared" si="1"/>
        <v>2592.6008784884034</v>
      </c>
      <c r="N5" s="4">
        <f t="shared" si="1"/>
        <v>2513.7065821998121</v>
      </c>
      <c r="O5" s="4">
        <f t="shared" si="1"/>
        <v>2434.4845135550067</v>
      </c>
      <c r="P5" s="4">
        <f t="shared" si="1"/>
        <v>2393.5787723781118</v>
      </c>
      <c r="Q5" s="4">
        <f t="shared" si="1"/>
        <v>2280.3255876055841</v>
      </c>
      <c r="R5" s="4">
        <f t="shared" si="1"/>
        <v>2123.9369248088847</v>
      </c>
      <c r="S5" s="4">
        <f>S4/S2</f>
        <v>2158.5701971159165</v>
      </c>
      <c r="T5" s="4">
        <f t="shared" si="1"/>
        <v>2126.1806648629758</v>
      </c>
    </row>
    <row r="6" spans="1:22" x14ac:dyDescent="0.25">
      <c r="A6" t="s">
        <v>196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2" x14ac:dyDescent="0.25">
      <c r="A7" t="s">
        <v>190</v>
      </c>
      <c r="B7">
        <f>AVERAGE(B5:T5)</f>
        <v>1701.5444229720713</v>
      </c>
    </row>
    <row r="8" spans="1:22" x14ac:dyDescent="0.25">
      <c r="A8" t="s">
        <v>192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f>S10-S3</f>
        <v>531302598</v>
      </c>
      <c r="T8" s="4">
        <v>124770633</v>
      </c>
    </row>
    <row r="9" spans="1:22" x14ac:dyDescent="0.25">
      <c r="A9" t="s">
        <v>193</v>
      </c>
      <c r="B9" s="4"/>
      <c r="C9" s="4"/>
      <c r="D9" s="4"/>
      <c r="E9" s="4"/>
      <c r="F9" s="4">
        <v>2138406582</v>
      </c>
      <c r="G9" s="4">
        <v>2616222304</v>
      </c>
      <c r="H9" s="4">
        <v>2550618473</v>
      </c>
      <c r="I9" s="4"/>
      <c r="J9" s="4"/>
      <c r="K9" s="4"/>
      <c r="L9" s="4">
        <v>2463841649</v>
      </c>
      <c r="M9" s="4">
        <v>2401842059</v>
      </c>
      <c r="N9" s="4">
        <v>2530584275</v>
      </c>
      <c r="O9" s="4">
        <v>3148707698</v>
      </c>
      <c r="P9" s="4">
        <v>2855017848</v>
      </c>
      <c r="Q9" s="4">
        <v>2858390527</v>
      </c>
      <c r="R9" s="4">
        <v>2858390527</v>
      </c>
      <c r="S9" s="4">
        <v>2698427195</v>
      </c>
      <c r="T9" s="4">
        <v>2969406723</v>
      </c>
    </row>
    <row r="10" spans="1:22" x14ac:dyDescent="0.25">
      <c r="B10" s="43"/>
      <c r="F10" s="13">
        <f>F4-F9</f>
        <v>22017790318</v>
      </c>
      <c r="G10" s="13">
        <f t="shared" ref="G10:T10" si="2">G4-G9</f>
        <v>25789768337</v>
      </c>
      <c r="H10" s="13">
        <f t="shared" si="2"/>
        <v>24721025422</v>
      </c>
      <c r="I10" s="13">
        <f t="shared" si="2"/>
        <v>0</v>
      </c>
      <c r="J10" s="13">
        <f t="shared" si="2"/>
        <v>0</v>
      </c>
      <c r="K10" s="13">
        <f t="shared" si="2"/>
        <v>0</v>
      </c>
      <c r="L10" s="13">
        <f t="shared" si="2"/>
        <v>32227085251</v>
      </c>
      <c r="M10" s="13">
        <f t="shared" si="2"/>
        <v>34927029704</v>
      </c>
      <c r="N10" s="13">
        <f t="shared" si="2"/>
        <v>37946574329</v>
      </c>
      <c r="O10" s="13">
        <f t="shared" si="2"/>
        <v>40669118866</v>
      </c>
      <c r="P10" s="13">
        <f t="shared" si="2"/>
        <v>43607432974</v>
      </c>
      <c r="Q10" s="13">
        <f t="shared" si="2"/>
        <v>44247340312</v>
      </c>
      <c r="R10" s="13">
        <f t="shared" si="2"/>
        <v>44247340312</v>
      </c>
      <c r="S10" s="13">
        <f t="shared" si="2"/>
        <v>47956748255</v>
      </c>
      <c r="T10" s="13">
        <f t="shared" si="2"/>
        <v>49875952599</v>
      </c>
    </row>
    <row r="11" spans="1:22" x14ac:dyDescent="0.25">
      <c r="A11" t="s">
        <v>194</v>
      </c>
      <c r="B11" t="e">
        <f t="shared" ref="B11:K11" si="3">B9/B4</f>
        <v>#DIV/0!</v>
      </c>
      <c r="C11" t="e">
        <f t="shared" si="3"/>
        <v>#DIV/0!</v>
      </c>
      <c r="D11">
        <f t="shared" si="3"/>
        <v>0</v>
      </c>
      <c r="E11" t="e">
        <f t="shared" si="3"/>
        <v>#DIV/0!</v>
      </c>
      <c r="F11">
        <f t="shared" si="3"/>
        <v>8.8524141066261969E-2</v>
      </c>
      <c r="G11">
        <f t="shared" si="3"/>
        <v>9.2101076039356855E-2</v>
      </c>
      <c r="H11">
        <f t="shared" si="3"/>
        <v>9.3526392571722891E-2</v>
      </c>
      <c r="I11" t="e">
        <f t="shared" si="3"/>
        <v>#DIV/0!</v>
      </c>
      <c r="J11" t="e">
        <f t="shared" si="3"/>
        <v>#DIV/0!</v>
      </c>
      <c r="K11" t="e">
        <f t="shared" si="3"/>
        <v>#DIV/0!</v>
      </c>
      <c r="L11">
        <f t="shared" ref="L11:P11" si="4">L9/L4</f>
        <v>7.1022652582972634E-2</v>
      </c>
      <c r="M11">
        <f t="shared" si="4"/>
        <v>6.4342744518217171E-2</v>
      </c>
      <c r="N11">
        <f t="shared" si="4"/>
        <v>6.2518822028923851E-2</v>
      </c>
      <c r="O11">
        <f t="shared" si="4"/>
        <v>7.1859057030156895E-2</v>
      </c>
      <c r="P11">
        <f t="shared" si="4"/>
        <v>6.144785299720236E-2</v>
      </c>
      <c r="Q11">
        <f>Q9/Q4</f>
        <v>6.0680313755655982E-2</v>
      </c>
      <c r="R11">
        <f>R9/R4</f>
        <v>6.0680313755655982E-2</v>
      </c>
      <c r="S11">
        <f>S9/S4</f>
        <v>5.3270513250191498E-2</v>
      </c>
      <c r="T11">
        <f>T9/T4</f>
        <v>5.6190491674144208E-2</v>
      </c>
    </row>
    <row r="12" spans="1:22" x14ac:dyDescent="0.25">
      <c r="B12" s="43"/>
      <c r="L12">
        <f t="shared" ref="L12:R12" si="5">(M11-L11)/L11</f>
        <v>-9.4053204461092485E-2</v>
      </c>
      <c r="M12">
        <f t="shared" si="5"/>
        <v>-2.8346979957886598E-2</v>
      </c>
      <c r="N12">
        <f t="shared" si="5"/>
        <v>0.14939876821274489</v>
      </c>
      <c r="O12">
        <f t="shared" si="5"/>
        <v>-0.14488367177689646</v>
      </c>
      <c r="P12">
        <f t="shared" si="5"/>
        <v>-1.2490904142433142E-2</v>
      </c>
      <c r="Q12">
        <f t="shared" si="5"/>
        <v>0</v>
      </c>
      <c r="R12">
        <f t="shared" si="5"/>
        <v>-0.12211209940841514</v>
      </c>
      <c r="S12">
        <f>(T11-S11)/S11</f>
        <v>5.481415976299446E-2</v>
      </c>
    </row>
    <row r="13" spans="1:22" x14ac:dyDescent="0.25">
      <c r="A13" t="s">
        <v>197</v>
      </c>
      <c r="B13">
        <v>0</v>
      </c>
      <c r="C13">
        <f t="shared" ref="C13:S13" si="6">(C3-B3)/B3</f>
        <v>-0.12551827432541476</v>
      </c>
      <c r="D13">
        <f t="shared" si="6"/>
        <v>3.7587525001406739E-2</v>
      </c>
      <c r="E13">
        <f t="shared" si="6"/>
        <v>-2.9536422584374306E-3</v>
      </c>
      <c r="F13">
        <f t="shared" si="6"/>
        <v>9.0410419602340114E-2</v>
      </c>
      <c r="G13">
        <f t="shared" si="6"/>
        <v>7.3352631821027414E-2</v>
      </c>
      <c r="H13">
        <f t="shared" si="6"/>
        <v>5.7885333698709948E-2</v>
      </c>
      <c r="I13">
        <f t="shared" si="6"/>
        <v>7.4091440655612462E-2</v>
      </c>
      <c r="J13">
        <f t="shared" si="6"/>
        <v>5.2398623457347047E-2</v>
      </c>
      <c r="K13">
        <f t="shared" si="6"/>
        <v>8.9435412195813663E-2</v>
      </c>
      <c r="L13">
        <f t="shared" si="6"/>
        <v>3.6551370206178331E-2</v>
      </c>
      <c r="M13">
        <f t="shared" si="6"/>
        <v>7.9151938967848751E-2</v>
      </c>
      <c r="N13">
        <f t="shared" si="6"/>
        <v>8.6906532225411726E-2</v>
      </c>
      <c r="O13">
        <f t="shared" si="6"/>
        <v>7.8857480816547018E-2</v>
      </c>
      <c r="P13">
        <f t="shared" si="6"/>
        <v>7.397835487636828E-2</v>
      </c>
      <c r="Q13">
        <f t="shared" si="6"/>
        <v>1.569266624504146E-2</v>
      </c>
      <c r="R13">
        <f t="shared" si="6"/>
        <v>5.9329464689512952E-2</v>
      </c>
      <c r="S13">
        <f t="shared" si="6"/>
        <v>2.7787485574295976E-2</v>
      </c>
      <c r="T13">
        <f>(T3-S3)/S3</f>
        <v>3.9773315208089917E-2</v>
      </c>
    </row>
    <row r="14" spans="1:22" x14ac:dyDescent="0.25">
      <c r="B14" s="43">
        <f>(T3/B3)^(1/18)-1</f>
        <v>4.5675588845098813E-2</v>
      </c>
    </row>
    <row r="15" spans="1:22" x14ac:dyDescent="0.25">
      <c r="B15" s="43"/>
    </row>
    <row r="16" spans="1:2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  <row r="20" spans="2:2" x14ac:dyDescent="0.25">
      <c r="B20" s="43"/>
    </row>
    <row r="21" spans="2:2" x14ac:dyDescent="0.25">
      <c r="B21" s="43"/>
    </row>
    <row r="22" spans="2:2" x14ac:dyDescent="0.25">
      <c r="B22" s="43"/>
    </row>
    <row r="23" spans="2:2" x14ac:dyDescent="0.25">
      <c r="B23" s="43"/>
    </row>
    <row r="24" spans="2:2" x14ac:dyDescent="0.25">
      <c r="B24" s="43"/>
    </row>
    <row r="25" spans="2:2" x14ac:dyDescent="0.25">
      <c r="B25" s="43"/>
    </row>
    <row r="26" spans="2:2" x14ac:dyDescent="0.25">
      <c r="B26" s="43"/>
    </row>
    <row r="27" spans="2:2" x14ac:dyDescent="0.25">
      <c r="B27" s="4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2"/>
  <sheetViews>
    <sheetView workbookViewId="0">
      <pane xSplit="1" topLeftCell="I1" activePane="topRight" state="frozen"/>
      <selection pane="topRight" activeCell="A22" sqref="A22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17" width="12" bestFit="1" customWidth="1"/>
    <col min="18" max="22" width="14.5703125" bestFit="1" customWidth="1"/>
  </cols>
  <sheetData>
    <row r="1" spans="1:22" x14ac:dyDescent="0.25">
      <c r="A1" s="31" t="s">
        <v>34</v>
      </c>
      <c r="B1" s="31">
        <v>2000</v>
      </c>
      <c r="C1" s="31">
        <v>2001</v>
      </c>
      <c r="D1" s="31">
        <v>2002</v>
      </c>
      <c r="E1" s="31">
        <v>2003</v>
      </c>
      <c r="F1" s="31">
        <v>2004</v>
      </c>
      <c r="G1" s="31">
        <v>2005</v>
      </c>
      <c r="H1" s="31">
        <v>2006</v>
      </c>
      <c r="I1" s="31">
        <v>2007</v>
      </c>
      <c r="J1" s="31">
        <v>2008</v>
      </c>
      <c r="K1" s="31">
        <v>2009</v>
      </c>
      <c r="L1" s="31">
        <v>2010</v>
      </c>
      <c r="M1" s="31">
        <v>2011</v>
      </c>
      <c r="N1" s="31">
        <v>2012</v>
      </c>
      <c r="O1" s="31">
        <v>2013</v>
      </c>
      <c r="P1" s="31">
        <v>2014</v>
      </c>
      <c r="Q1" s="31">
        <v>2015</v>
      </c>
      <c r="R1" s="31">
        <v>2016</v>
      </c>
      <c r="S1" s="31">
        <v>2017</v>
      </c>
      <c r="T1" s="31">
        <v>2018</v>
      </c>
      <c r="U1" s="31">
        <v>2019</v>
      </c>
      <c r="V1" s="31">
        <v>2020</v>
      </c>
    </row>
    <row r="2" spans="1:22" x14ac:dyDescent="0.25">
      <c r="A2" s="31" t="s">
        <v>111</v>
      </c>
      <c r="B2" s="31">
        <v>539660831802368.88</v>
      </c>
      <c r="C2" s="31">
        <v>558900841077390.44</v>
      </c>
      <c r="D2" s="31">
        <v>583607396033510</v>
      </c>
      <c r="E2" s="31">
        <v>611044825246918.13</v>
      </c>
      <c r="F2" s="31">
        <v>641304755450308.25</v>
      </c>
      <c r="G2" s="31">
        <v>677305457235871.88</v>
      </c>
      <c r="H2" s="31">
        <v>714027667526391.63</v>
      </c>
      <c r="I2" s="31">
        <v>758762756039639.63</v>
      </c>
      <c r="J2" s="31">
        <v>803790956937286.13</v>
      </c>
      <c r="K2" s="31">
        <v>840367173780809.75</v>
      </c>
      <c r="L2" s="31">
        <v>892001573423794.25</v>
      </c>
      <c r="M2" s="31">
        <v>964611393502064.5</v>
      </c>
      <c r="N2" s="31">
        <v>1026685972275960.1</v>
      </c>
      <c r="O2" s="31">
        <v>1091477006278855.5</v>
      </c>
      <c r="P2" s="31">
        <v>1147278039134041</v>
      </c>
      <c r="Q2" s="34">
        <v>1207000000000000</v>
      </c>
      <c r="R2" s="34">
        <f>1268*1000000000000</f>
        <v>1268000000000000</v>
      </c>
      <c r="S2" s="34">
        <f>1333*1000000000000</f>
        <v>1333000000000000</v>
      </c>
      <c r="T2" s="34">
        <f>1400*1000000000000</f>
        <v>1400000000000000</v>
      </c>
      <c r="U2" s="34">
        <f>1472*1000000000000</f>
        <v>1472000000000000</v>
      </c>
      <c r="V2" s="34">
        <f>1547*1000000000000</f>
        <v>1547000000000000</v>
      </c>
    </row>
    <row r="3" spans="1:22" x14ac:dyDescent="0.25">
      <c r="A3" s="31" t="s">
        <v>112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f>0.051</f>
        <v>5.0999999999999997E-2</v>
      </c>
      <c r="R3" s="31">
        <f t="shared" ref="R3:V3" si="0">0.051</f>
        <v>5.0999999999999997E-2</v>
      </c>
      <c r="S3" s="31">
        <f t="shared" si="0"/>
        <v>5.0999999999999997E-2</v>
      </c>
      <c r="T3" s="31">
        <f t="shared" si="0"/>
        <v>5.0999999999999997E-2</v>
      </c>
      <c r="U3" s="31">
        <f t="shared" si="0"/>
        <v>5.0999999999999997E-2</v>
      </c>
      <c r="V3" s="31">
        <f t="shared" si="0"/>
        <v>5.0999999999999997E-2</v>
      </c>
    </row>
    <row r="4" spans="1:22" x14ac:dyDescent="0.25">
      <c r="A4" s="31" t="s">
        <v>115</v>
      </c>
      <c r="B4" s="31">
        <f>B2/B6</f>
        <v>12390921.082435016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5">
        <f>25.8*1000000</f>
        <v>25800000</v>
      </c>
      <c r="R4" s="35">
        <f>26.9*1000000</f>
        <v>26900000</v>
      </c>
      <c r="S4" s="35">
        <f>27.8*1000000</f>
        <v>27800000</v>
      </c>
      <c r="T4" s="35">
        <f>28.8*1000000</f>
        <v>28800000</v>
      </c>
      <c r="U4" s="35">
        <f>29.9*1000000</f>
        <v>29900000</v>
      </c>
      <c r="V4" s="35">
        <f>31.1*1000000</f>
        <v>31100000</v>
      </c>
    </row>
    <row r="5" spans="1:22" x14ac:dyDescent="0.25">
      <c r="A5" s="31" t="s">
        <v>116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>
        <f>3.5/100</f>
        <v>3.5000000000000003E-2</v>
      </c>
      <c r="R5" s="31">
        <f>3.7/100</f>
        <v>3.7000000000000005E-2</v>
      </c>
      <c r="S5" s="31">
        <f t="shared" ref="S5:T5" si="1">3.7/100</f>
        <v>3.7000000000000005E-2</v>
      </c>
      <c r="T5" s="31">
        <f t="shared" si="1"/>
        <v>3.7000000000000005E-2</v>
      </c>
      <c r="U5" s="31">
        <f>3.8/100</f>
        <v>3.7999999999999999E-2</v>
      </c>
      <c r="V5" s="31">
        <f>3.8/100</f>
        <v>3.7999999999999999E-2</v>
      </c>
    </row>
    <row r="6" spans="1:22" x14ac:dyDescent="0.25">
      <c r="A6" s="31" t="s">
        <v>33</v>
      </c>
      <c r="B6" s="9">
        <f>Penduduk!Q31</f>
        <v>43552923</v>
      </c>
      <c r="C6" s="31">
        <v>43520231.496352419</v>
      </c>
      <c r="D6" s="31">
        <v>43487564.531457625</v>
      </c>
      <c r="E6" s="31">
        <v>43454922.086896457</v>
      </c>
      <c r="F6" s="31">
        <v>43422304.144263558</v>
      </c>
      <c r="G6" s="31">
        <v>43389710.685167402</v>
      </c>
      <c r="H6" s="31">
        <v>43357141.691230267</v>
      </c>
      <c r="I6" s="31">
        <v>43324597.144088216</v>
      </c>
      <c r="J6" s="31">
        <v>43292077.025391109</v>
      </c>
      <c r="K6" s="31">
        <v>43259581.316802576</v>
      </c>
      <c r="L6" s="31">
        <v>43227110</v>
      </c>
      <c r="M6" s="31">
        <v>43892807.494000003</v>
      </c>
      <c r="N6" s="31">
        <v>44568756.729407609</v>
      </c>
      <c r="O6" s="31">
        <v>45255115.583040491</v>
      </c>
      <c r="P6" s="31">
        <v>45952044.363019317</v>
      </c>
      <c r="Q6" s="31">
        <v>46659705.846209817</v>
      </c>
      <c r="R6" s="31">
        <v>47378265.316241451</v>
      </c>
      <c r="S6" s="31">
        <v>48107890.602111571</v>
      </c>
      <c r="T6" s="31">
        <v>48776590.281480923</v>
      </c>
      <c r="U6" s="31">
        <v>49454584.88639351</v>
      </c>
      <c r="V6" s="31">
        <v>50142003.616314381</v>
      </c>
    </row>
    <row r="7" spans="1:22" x14ac:dyDescent="0.25">
      <c r="A7" s="31" t="s">
        <v>47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f>'Energi-Household'!C17</f>
        <v>22142857.142857011</v>
      </c>
      <c r="R7" s="31">
        <f>'Energi-Household'!C18</f>
        <v>24285714.285714138</v>
      </c>
      <c r="S7" s="31">
        <f>'Energi-Household'!C19</f>
        <v>25714285.71428556</v>
      </c>
      <c r="T7" s="31">
        <f>'Energi-Household'!C20</f>
        <v>27857142.857142691</v>
      </c>
      <c r="U7" s="31">
        <f>'Energi-Household'!C21</f>
        <v>29999999.999999821</v>
      </c>
      <c r="V7" s="31">
        <f>'Energi-Household'!C22</f>
        <v>32142857.142856948</v>
      </c>
    </row>
    <row r="8" spans="1:22" x14ac:dyDescent="0.25">
      <c r="A8" s="31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71928571.428571001</v>
      </c>
      <c r="R8" s="31">
        <v>74857142.857142404</v>
      </c>
      <c r="S8" s="32">
        <v>77857142.857142389</v>
      </c>
      <c r="T8" s="32">
        <v>80785714.285713807</v>
      </c>
      <c r="U8" s="31">
        <v>83714285.71428521</v>
      </c>
      <c r="V8" s="31">
        <v>86714285.71428521</v>
      </c>
    </row>
    <row r="9" spans="1:22" x14ac:dyDescent="0.25">
      <c r="A9" s="31" t="s">
        <v>49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5214285.7142856829</v>
      </c>
      <c r="R9" s="31">
        <v>5428571.4285713956</v>
      </c>
      <c r="S9" s="32">
        <v>5714285.7142856801</v>
      </c>
      <c r="T9" s="32">
        <v>5928571.4285713928</v>
      </c>
      <c r="U9" s="31">
        <v>4999999.9999999693</v>
      </c>
      <c r="V9" s="31">
        <v>6499999.9999999609</v>
      </c>
    </row>
    <row r="10" spans="1:22" x14ac:dyDescent="0.25">
      <c r="A10" s="31" t="s">
        <v>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42857142.857142597</v>
      </c>
      <c r="R10" s="31">
        <v>47857142.857142568</v>
      </c>
      <c r="S10" s="32">
        <v>52857142.857142545</v>
      </c>
      <c r="T10" s="32">
        <v>57142857.142856799</v>
      </c>
      <c r="U10" s="31">
        <v>62142857.142856762</v>
      </c>
      <c r="V10" s="31">
        <v>66428571.42857103</v>
      </c>
    </row>
    <row r="11" spans="1:22" x14ac:dyDescent="0.25">
      <c r="A11" s="31" t="s">
        <v>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>
        <v>142857.142857142</v>
      </c>
      <c r="R11">
        <v>142857.142857142</v>
      </c>
      <c r="S11" s="24">
        <v>142857.142857142</v>
      </c>
      <c r="T11" s="24">
        <v>142857.142857142</v>
      </c>
      <c r="U11">
        <v>142857.142857142</v>
      </c>
      <c r="V11">
        <v>142857.142857142</v>
      </c>
    </row>
    <row r="12" spans="1:22" x14ac:dyDescent="0.25">
      <c r="A12" s="31" t="s">
        <v>106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>
        <f>SUM(Q7:Q11)</f>
        <v>142285714.28571343</v>
      </c>
      <c r="R12">
        <f t="shared" ref="R12:U12" si="2">SUM(R7:R11)</f>
        <v>152571428.57142764</v>
      </c>
      <c r="S12">
        <f t="shared" si="2"/>
        <v>162285714.28571332</v>
      </c>
      <c r="T12">
        <f t="shared" si="2"/>
        <v>171857142.85714182</v>
      </c>
      <c r="U12">
        <f t="shared" si="2"/>
        <v>180999999.9999989</v>
      </c>
    </row>
    <row r="13" spans="1:22" x14ac:dyDescent="0.25">
      <c r="A13" s="31" t="s">
        <v>56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>
        <v>11097301</v>
      </c>
      <c r="P13" s="33">
        <v>13478289</v>
      </c>
      <c r="Q13" s="33">
        <v>14483932</v>
      </c>
      <c r="R13" s="33">
        <v>15822611</v>
      </c>
      <c r="S13" s="33">
        <v>17076805</v>
      </c>
      <c r="T13" s="33">
        <v>16507843</v>
      </c>
      <c r="U13" s="31"/>
      <c r="V13" s="31"/>
    </row>
    <row r="14" spans="1:22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>
        <v>217359</v>
      </c>
      <c r="P14" s="33">
        <v>242210</v>
      </c>
      <c r="Q14" s="33">
        <v>252871</v>
      </c>
      <c r="R14" s="33">
        <v>262510</v>
      </c>
      <c r="S14" s="33">
        <v>269760</v>
      </c>
      <c r="T14" s="33">
        <v>258300</v>
      </c>
      <c r="U14" s="31"/>
      <c r="V14" s="31"/>
    </row>
    <row r="15" spans="1:22" x14ac:dyDescent="0.25">
      <c r="A15" s="31" t="s">
        <v>114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>
        <f>SUM(O13:O14)</f>
        <v>11314660</v>
      </c>
      <c r="P15" s="32">
        <f t="shared" ref="P15:T15" si="3">SUM(P13:P14)</f>
        <v>13720499</v>
      </c>
      <c r="Q15" s="32">
        <f t="shared" si="3"/>
        <v>14736803</v>
      </c>
      <c r="R15" s="32">
        <f t="shared" si="3"/>
        <v>16085121</v>
      </c>
      <c r="S15" s="32">
        <f t="shared" si="3"/>
        <v>17346565</v>
      </c>
      <c r="T15" s="32">
        <f t="shared" si="3"/>
        <v>16766143</v>
      </c>
      <c r="U15" s="31"/>
      <c r="V15" s="31"/>
    </row>
    <row r="16" spans="1:22" x14ac:dyDescent="0.25">
      <c r="A16" s="31" t="s">
        <v>107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>
        <f>O13/O$15</f>
        <v>0.98078961276786047</v>
      </c>
      <c r="P16" s="32">
        <f t="shared" ref="P16:T16" si="4">P13/P$15</f>
        <v>0.98234685196216265</v>
      </c>
      <c r="Q16" s="32">
        <f t="shared" si="4"/>
        <v>0.98284085089554363</v>
      </c>
      <c r="R16" s="32">
        <f t="shared" si="4"/>
        <v>0.98367994869295672</v>
      </c>
      <c r="S16" s="32">
        <f t="shared" si="4"/>
        <v>0.98444879432902133</v>
      </c>
      <c r="T16" s="32">
        <f t="shared" si="4"/>
        <v>0.98459395222860735</v>
      </c>
      <c r="U16" s="31"/>
      <c r="V16" s="31"/>
    </row>
    <row r="17" spans="1:22" x14ac:dyDescent="0.25">
      <c r="A17" s="31" t="s">
        <v>113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>
        <f>O14/O$15</f>
        <v>1.9210387232139543E-2</v>
      </c>
      <c r="P17" s="32">
        <f t="shared" ref="P17:T17" si="5">P14/P$15</f>
        <v>1.76531480378374E-2</v>
      </c>
      <c r="Q17" s="32">
        <f t="shared" si="5"/>
        <v>1.7159149104456373E-2</v>
      </c>
      <c r="R17" s="32">
        <f t="shared" si="5"/>
        <v>1.6320051307043323E-2</v>
      </c>
      <c r="S17" s="32">
        <f t="shared" si="5"/>
        <v>1.5551205670978663E-2</v>
      </c>
      <c r="T17" s="32">
        <f t="shared" si="5"/>
        <v>1.5406047771392621E-2</v>
      </c>
      <c r="U17" s="31"/>
      <c r="V17" s="31"/>
    </row>
    <row r="18" spans="1:22" x14ac:dyDescent="0.25">
      <c r="A18" s="31" t="s">
        <v>101</v>
      </c>
      <c r="Q18">
        <f>Q7/Q$12</f>
        <v>0.15562248995983938</v>
      </c>
      <c r="R18">
        <f t="shared" ref="R18:U18" si="6">R7/R$12</f>
        <v>0.15917602996254682</v>
      </c>
      <c r="S18">
        <f t="shared" si="6"/>
        <v>0.1584507042253521</v>
      </c>
      <c r="T18">
        <f t="shared" si="6"/>
        <v>0.16209476309226933</v>
      </c>
      <c r="U18">
        <f t="shared" si="6"/>
        <v>0.16574585635359118</v>
      </c>
    </row>
    <row r="19" spans="1:22" x14ac:dyDescent="0.25">
      <c r="A19" s="31" t="s">
        <v>102</v>
      </c>
      <c r="Q19">
        <f t="shared" ref="Q19:U22" si="7">Q8/Q$12</f>
        <v>0.50552208835341372</v>
      </c>
      <c r="R19">
        <f t="shared" si="7"/>
        <v>0.49063670411985022</v>
      </c>
      <c r="S19">
        <f t="shared" si="7"/>
        <v>0.47975352112676056</v>
      </c>
      <c r="T19">
        <f t="shared" si="7"/>
        <v>0.47007481296758108</v>
      </c>
      <c r="U19">
        <f t="shared" si="7"/>
        <v>0.46250986582478298</v>
      </c>
    </row>
    <row r="20" spans="1:22" x14ac:dyDescent="0.25">
      <c r="A20" s="31" t="s">
        <v>103</v>
      </c>
      <c r="Q20">
        <f t="shared" si="7"/>
        <v>3.6646586345381524E-2</v>
      </c>
      <c r="R20">
        <f t="shared" si="7"/>
        <v>3.5580524344569292E-2</v>
      </c>
      <c r="S20">
        <f t="shared" si="7"/>
        <v>3.5211267605633804E-2</v>
      </c>
      <c r="T20">
        <f t="shared" si="7"/>
        <v>3.4497090606816293E-2</v>
      </c>
      <c r="U20">
        <f t="shared" si="7"/>
        <v>2.7624309392265192E-2</v>
      </c>
    </row>
    <row r="21" spans="1:22" x14ac:dyDescent="0.25">
      <c r="A21" s="31" t="s">
        <v>104</v>
      </c>
      <c r="O21" s="24"/>
      <c r="P21" s="24"/>
      <c r="Q21">
        <f t="shared" si="7"/>
        <v>0.3012048192771084</v>
      </c>
      <c r="R21">
        <f t="shared" si="7"/>
        <v>0.31367041198501872</v>
      </c>
      <c r="S21">
        <f t="shared" si="7"/>
        <v>0.32570422535211269</v>
      </c>
      <c r="T21">
        <f t="shared" si="7"/>
        <v>0.33250207813798838</v>
      </c>
      <c r="U21">
        <f t="shared" si="7"/>
        <v>0.34333070244672453</v>
      </c>
    </row>
    <row r="22" spans="1:22" x14ac:dyDescent="0.25">
      <c r="A22" s="31" t="s">
        <v>105</v>
      </c>
      <c r="O22" s="24"/>
      <c r="P22" s="24"/>
      <c r="Q22">
        <f t="shared" si="7"/>
        <v>1.004016064257028E-3</v>
      </c>
      <c r="R22">
        <f t="shared" si="7"/>
        <v>9.3632958801498128E-4</v>
      </c>
      <c r="S22">
        <f t="shared" si="7"/>
        <v>8.8028169014084498E-4</v>
      </c>
      <c r="T22">
        <f t="shared" si="7"/>
        <v>8.3125519534497092E-4</v>
      </c>
      <c r="U22">
        <f t="shared" si="7"/>
        <v>7.8926598263614849E-4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J53"/>
  <sheetViews>
    <sheetView workbookViewId="0">
      <pane xSplit="1" topLeftCell="B1" activePane="topRight" state="frozen"/>
      <selection pane="topRight" activeCell="C2" sqref="C2"/>
    </sheetView>
  </sheetViews>
  <sheetFormatPr defaultRowHeight="15" x14ac:dyDescent="0.25"/>
  <cols>
    <col min="2" max="2" width="15.28515625" bestFit="1" customWidth="1"/>
    <col min="3" max="4" width="26.7109375" customWidth="1"/>
    <col min="5" max="5" width="47" style="4" customWidth="1"/>
    <col min="6" max="7" width="47" customWidth="1"/>
    <col min="10" max="10" width="15.85546875" bestFit="1" customWidth="1"/>
  </cols>
  <sheetData>
    <row r="1" spans="1:10" x14ac:dyDescent="0.25">
      <c r="A1" s="14" t="s">
        <v>32</v>
      </c>
      <c r="B1" s="14" t="s">
        <v>89</v>
      </c>
      <c r="C1" t="s">
        <v>98</v>
      </c>
      <c r="D1" t="s">
        <v>322</v>
      </c>
      <c r="E1" s="4" t="s">
        <v>108</v>
      </c>
      <c r="F1" t="s">
        <v>109</v>
      </c>
      <c r="H1" t="s">
        <v>32</v>
      </c>
      <c r="I1" t="s">
        <v>96</v>
      </c>
    </row>
    <row r="2" spans="1:10" x14ac:dyDescent="0.25">
      <c r="A2" s="16">
        <v>2000</v>
      </c>
      <c r="B2" s="16">
        <f t="shared" ref="B2:B12" si="0">B3/(1+I3)</f>
        <v>12390921.082435016</v>
      </c>
      <c r="C2" s="13">
        <f>B2*Penduduk!C3</f>
        <v>442646734733498.06</v>
      </c>
      <c r="D2" s="13">
        <f>C2/1000000000</f>
        <v>442646.73473349807</v>
      </c>
      <c r="H2" s="30">
        <v>2000</v>
      </c>
      <c r="I2" s="69">
        <v>4.9200000000000001E-2</v>
      </c>
      <c r="J2" s="103" t="s">
        <v>97</v>
      </c>
    </row>
    <row r="3" spans="1:10" x14ac:dyDescent="0.25">
      <c r="A3" s="16">
        <v>2001</v>
      </c>
      <c r="B3" s="16">
        <f t="shared" si="0"/>
        <v>12842322.337468123</v>
      </c>
      <c r="C3" s="13">
        <f>B3*Penduduk!C4</f>
        <v>468632184456609.31</v>
      </c>
      <c r="D3" s="13">
        <f t="shared" ref="D3:D21" si="1">C3/1000000000</f>
        <v>468632.18445660931</v>
      </c>
      <c r="H3" s="30">
        <v>2001</v>
      </c>
      <c r="I3" s="69">
        <v>3.6429999999999997E-2</v>
      </c>
      <c r="J3" s="103"/>
    </row>
    <row r="4" spans="1:10" x14ac:dyDescent="0.25">
      <c r="A4" s="16">
        <v>2002</v>
      </c>
      <c r="B4" s="16">
        <f t="shared" si="0"/>
        <v>13420098.419430815</v>
      </c>
      <c r="C4" s="13">
        <f>B4*Penduduk!C5</f>
        <v>499020549417583.06</v>
      </c>
      <c r="D4" s="13">
        <f t="shared" si="1"/>
        <v>499020.54941758304</v>
      </c>
      <c r="H4" s="30">
        <v>2002</v>
      </c>
      <c r="I4" s="69">
        <v>4.4990000000000002E-2</v>
      </c>
      <c r="J4" s="103"/>
    </row>
    <row r="5" spans="1:10" x14ac:dyDescent="0.25">
      <c r="A5" s="16">
        <v>2003</v>
      </c>
      <c r="B5" s="16">
        <f t="shared" si="0"/>
        <v>14061579.123879608</v>
      </c>
      <c r="C5" s="13">
        <f>B5*Penduduk!C6</f>
        <v>532808332581658.56</v>
      </c>
      <c r="D5" s="13">
        <f t="shared" si="1"/>
        <v>532808.33258165861</v>
      </c>
      <c r="H5" s="30">
        <v>2003</v>
      </c>
      <c r="I5" s="69">
        <v>4.7800000000000002E-2</v>
      </c>
      <c r="J5" s="103"/>
    </row>
    <row r="6" spans="1:10" x14ac:dyDescent="0.25">
      <c r="A6" s="16">
        <v>2004</v>
      </c>
      <c r="B6" s="16">
        <f t="shared" si="0"/>
        <v>14769017.169601992</v>
      </c>
      <c r="C6" s="13">
        <f>B6*Penduduk!C7</f>
        <v>570246584269924.88</v>
      </c>
      <c r="D6" s="13">
        <f t="shared" si="1"/>
        <v>570246.5842699249</v>
      </c>
      <c r="H6" s="30">
        <v>2004</v>
      </c>
      <c r="I6" s="69">
        <v>5.0310000000000001E-2</v>
      </c>
      <c r="J6" s="103"/>
    </row>
    <row r="7" spans="1:10" x14ac:dyDescent="0.25">
      <c r="A7" s="16">
        <v>2005</v>
      </c>
      <c r="B7" s="16">
        <f t="shared" si="0"/>
        <v>15609817.317067431</v>
      </c>
      <c r="C7" s="13">
        <f>B7*Penduduk!C8</f>
        <v>614162226036347.25</v>
      </c>
      <c r="D7" s="13">
        <f t="shared" si="1"/>
        <v>614162.22603634722</v>
      </c>
      <c r="H7" s="30">
        <v>2005</v>
      </c>
      <c r="I7" s="69">
        <v>5.6930000000000001E-2</v>
      </c>
      <c r="J7" s="103"/>
    </row>
    <row r="8" spans="1:10" x14ac:dyDescent="0.25">
      <c r="A8" s="16">
        <v>2006</v>
      </c>
      <c r="B8" s="16">
        <f t="shared" si="0"/>
        <v>16468513.367679311</v>
      </c>
      <c r="C8" s="13">
        <f>B8*Penduduk!C9</f>
        <v>660258288602328.25</v>
      </c>
      <c r="D8" s="13">
        <f t="shared" si="1"/>
        <v>660258.28860232828</v>
      </c>
      <c r="H8" s="30">
        <v>2006</v>
      </c>
      <c r="I8" s="69">
        <v>5.5010000000000003E-2</v>
      </c>
      <c r="J8" s="103"/>
    </row>
    <row r="9" spans="1:10" x14ac:dyDescent="0.25">
      <c r="A9" s="16">
        <v>2007</v>
      </c>
      <c r="B9" s="16">
        <f t="shared" si="0"/>
        <v>17513440.540858563</v>
      </c>
      <c r="C9" s="13">
        <f>B9*Penduduk!C10</f>
        <v>715492558877414.75</v>
      </c>
      <c r="D9" s="13">
        <f t="shared" si="1"/>
        <v>715492.55887741479</v>
      </c>
      <c r="H9" s="30">
        <v>2007</v>
      </c>
      <c r="I9" s="69">
        <v>6.3450000000000006E-2</v>
      </c>
      <c r="J9" s="103"/>
    </row>
    <row r="10" spans="1:10" x14ac:dyDescent="0.25">
      <c r="A10" s="16">
        <v>2008</v>
      </c>
      <c r="B10" s="16">
        <f t="shared" si="0"/>
        <v>18566698.8549858</v>
      </c>
      <c r="C10" s="13">
        <f>B10*Penduduk!C11</f>
        <v>772934204714300.25</v>
      </c>
      <c r="D10" s="13">
        <f t="shared" si="1"/>
        <v>772934.20471430023</v>
      </c>
      <c r="H10" s="30">
        <v>2008</v>
      </c>
      <c r="I10" s="69">
        <v>6.0139999999999999E-2</v>
      </c>
      <c r="J10" s="103"/>
    </row>
    <row r="11" spans="1:10" x14ac:dyDescent="0.25">
      <c r="A11" s="16">
        <v>2009</v>
      </c>
      <c r="B11" s="16">
        <f t="shared" si="0"/>
        <v>19426151.34498309</v>
      </c>
      <c r="C11" s="13">
        <f>B11*Penduduk!C12</f>
        <v>824078882302484.88</v>
      </c>
      <c r="D11" s="13">
        <f t="shared" si="1"/>
        <v>824078.88230248482</v>
      </c>
      <c r="H11" s="30">
        <v>2009</v>
      </c>
      <c r="I11" s="69">
        <v>4.6289999999999998E-2</v>
      </c>
      <c r="J11" s="103"/>
    </row>
    <row r="12" spans="1:10" x14ac:dyDescent="0.25">
      <c r="A12" s="16">
        <v>2010</v>
      </c>
      <c r="B12" s="16">
        <f t="shared" si="0"/>
        <v>20635235.004694838</v>
      </c>
      <c r="C12" s="13">
        <f>B12*Penduduk!C13</f>
        <v>892001573423794.25</v>
      </c>
      <c r="D12" s="13">
        <f t="shared" si="1"/>
        <v>892001.57342379424</v>
      </c>
      <c r="H12" s="30">
        <v>2010</v>
      </c>
      <c r="I12" s="69">
        <v>6.2239999999999997E-2</v>
      </c>
      <c r="J12" s="103"/>
    </row>
    <row r="13" spans="1:10" x14ac:dyDescent="0.25">
      <c r="A13" s="14">
        <v>2011</v>
      </c>
      <c r="B13" s="14">
        <v>21976525.280000001</v>
      </c>
      <c r="C13" s="13">
        <f>B13*Penduduk!C14</f>
        <v>964611393502064.5</v>
      </c>
      <c r="D13" s="13">
        <f t="shared" si="1"/>
        <v>964611.39350206451</v>
      </c>
      <c r="H13" s="30">
        <v>2011</v>
      </c>
      <c r="I13" s="70">
        <f>6.5/100</f>
        <v>6.5000000000000002E-2</v>
      </c>
      <c r="J13" s="112" t="s">
        <v>110</v>
      </c>
    </row>
    <row r="14" spans="1:10" x14ac:dyDescent="0.25">
      <c r="A14" s="14">
        <v>2012</v>
      </c>
      <c r="B14" s="14">
        <v>23036002.07</v>
      </c>
      <c r="C14" s="13">
        <f>B14*Penduduk!C15</f>
        <v>1026685972275960.1</v>
      </c>
      <c r="D14" s="13">
        <f t="shared" si="1"/>
        <v>1026685.9722759601</v>
      </c>
      <c r="H14" s="30">
        <v>2012</v>
      </c>
      <c r="I14" s="70">
        <f>6.5/100</f>
        <v>6.5000000000000002E-2</v>
      </c>
      <c r="J14" s="113"/>
    </row>
    <row r="15" spans="1:10" x14ac:dyDescent="0.25">
      <c r="A15" s="14">
        <v>2013</v>
      </c>
      <c r="B15" s="14">
        <v>24118312.199999999</v>
      </c>
      <c r="C15" s="13">
        <f>B15*Penduduk!C16</f>
        <v>1091477006278855.5</v>
      </c>
      <c r="D15" s="13">
        <f t="shared" si="1"/>
        <v>1091477.0062788555</v>
      </c>
      <c r="H15" s="30">
        <v>2013</v>
      </c>
      <c r="I15" s="70">
        <f>6.33/100</f>
        <v>6.3299999999999995E-2</v>
      </c>
      <c r="J15" s="113"/>
    </row>
    <row r="16" spans="1:10" x14ac:dyDescent="0.25">
      <c r="A16" s="14">
        <v>2014</v>
      </c>
      <c r="B16" s="14">
        <v>24966855.23</v>
      </c>
      <c r="C16" s="13">
        <f>B16*Penduduk!C17</f>
        <v>1147278039134041</v>
      </c>
      <c r="D16" s="13">
        <f t="shared" si="1"/>
        <v>1147278.0391340409</v>
      </c>
      <c r="H16" s="30">
        <v>2014</v>
      </c>
      <c r="I16" s="70">
        <f>5.09/100</f>
        <v>5.0900000000000001E-2</v>
      </c>
      <c r="J16" s="113"/>
    </row>
    <row r="17" spans="1:10" x14ac:dyDescent="0.25">
      <c r="A17" s="14">
        <v>2015</v>
      </c>
      <c r="B17" s="14">
        <v>25845503.77</v>
      </c>
      <c r="C17" s="13">
        <f>B17*Penduduk!C18</f>
        <v>1205943603355306.8</v>
      </c>
      <c r="D17" s="13">
        <f t="shared" si="1"/>
        <v>1205943.6033553067</v>
      </c>
      <c r="E17" s="4">
        <v>1207000000000000</v>
      </c>
      <c r="H17" s="30">
        <v>2015</v>
      </c>
      <c r="I17" s="70">
        <f>5.05/100</f>
        <v>5.0499999999999996E-2</v>
      </c>
      <c r="J17" s="113"/>
    </row>
    <row r="18" spans="1:10" x14ac:dyDescent="0.25">
      <c r="A18" s="14">
        <v>2016</v>
      </c>
      <c r="B18" s="14">
        <v>26923505.52</v>
      </c>
      <c r="C18" s="13">
        <f>B18*Penduduk!C19</f>
        <v>1275588987769851.3</v>
      </c>
      <c r="D18" s="13">
        <f t="shared" si="1"/>
        <v>1275588.9877698512</v>
      </c>
      <c r="E18" s="4">
        <f>1268*1000000000000</f>
        <v>1268000000000000</v>
      </c>
      <c r="H18" s="30">
        <v>2016</v>
      </c>
      <c r="I18" s="70">
        <f>5.66/100</f>
        <v>5.6600000000000004E-2</v>
      </c>
      <c r="J18" s="113"/>
    </row>
    <row r="19" spans="1:10" x14ac:dyDescent="0.25">
      <c r="A19" s="16">
        <v>2017</v>
      </c>
      <c r="B19" s="16">
        <f>(B20+B18)/2</f>
        <v>28042448.359999999</v>
      </c>
      <c r="C19" s="13">
        <f>B19*Penduduk!C20</f>
        <v>1349063037918243</v>
      </c>
      <c r="D19" s="13">
        <f t="shared" si="1"/>
        <v>1349063.0379182431</v>
      </c>
      <c r="E19" s="4">
        <f>1333*1000000000000</f>
        <v>1333000000000000</v>
      </c>
      <c r="H19" s="30">
        <v>2017</v>
      </c>
      <c r="I19" s="70">
        <f>5.33/100</f>
        <v>5.33E-2</v>
      </c>
      <c r="J19" s="113"/>
    </row>
    <row r="20" spans="1:10" x14ac:dyDescent="0.25">
      <c r="A20" s="14">
        <v>2018</v>
      </c>
      <c r="B20" s="14">
        <v>29161391.199999999</v>
      </c>
      <c r="C20" s="13">
        <f>B20*Penduduk!C21</f>
        <v>1422393230600383.3</v>
      </c>
      <c r="D20" s="13">
        <f t="shared" si="1"/>
        <v>1422393.2306003834</v>
      </c>
      <c r="E20" s="4">
        <f>1400*1000000000000</f>
        <v>1400000000000000</v>
      </c>
      <c r="H20" s="30">
        <v>2018</v>
      </c>
      <c r="I20" s="70">
        <f>5.66/100</f>
        <v>5.6600000000000004E-2</v>
      </c>
      <c r="J20" s="113"/>
    </row>
    <row r="21" spans="1:10" x14ac:dyDescent="0.25">
      <c r="A21" s="14">
        <v>2019</v>
      </c>
      <c r="B21" s="14">
        <v>30247470.829999998</v>
      </c>
      <c r="C21" s="13">
        <f>B21*Penduduk!C22</f>
        <v>1495876113760946.5</v>
      </c>
      <c r="D21" s="13">
        <f t="shared" si="1"/>
        <v>1495876.1137609466</v>
      </c>
      <c r="E21" s="4">
        <f>1472*1000000000000</f>
        <v>1472000000000000</v>
      </c>
      <c r="H21" s="30">
        <v>2019</v>
      </c>
      <c r="I21" s="70">
        <f>5.07/100</f>
        <v>5.0700000000000002E-2</v>
      </c>
      <c r="J21" s="114"/>
    </row>
    <row r="22" spans="1:10" x14ac:dyDescent="0.25">
      <c r="A22" t="s">
        <v>91</v>
      </c>
      <c r="B22">
        <f>(B21/B13)^(1/COUNT(A14:A21))-1</f>
        <v>4.0737623522190347E-2</v>
      </c>
    </row>
    <row r="23" spans="1:10" x14ac:dyDescent="0.25">
      <c r="A23">
        <v>2020</v>
      </c>
      <c r="E23" s="4">
        <f>1547*1000000000000</f>
        <v>1547000000000000</v>
      </c>
    </row>
    <row r="24" spans="1:10" x14ac:dyDescent="0.25">
      <c r="A24">
        <v>2021</v>
      </c>
    </row>
    <row r="25" spans="1:10" x14ac:dyDescent="0.25">
      <c r="A25">
        <v>2022</v>
      </c>
    </row>
    <row r="26" spans="1:10" x14ac:dyDescent="0.25">
      <c r="A26">
        <v>2023</v>
      </c>
    </row>
    <row r="27" spans="1:10" x14ac:dyDescent="0.25">
      <c r="A27">
        <v>2024</v>
      </c>
    </row>
    <row r="28" spans="1:10" x14ac:dyDescent="0.25">
      <c r="A28">
        <v>2025</v>
      </c>
      <c r="E28" s="4">
        <v>1987</v>
      </c>
    </row>
    <row r="29" spans="1:10" x14ac:dyDescent="0.25">
      <c r="A29">
        <v>2026</v>
      </c>
    </row>
    <row r="30" spans="1:10" x14ac:dyDescent="0.25">
      <c r="A30">
        <v>2027</v>
      </c>
    </row>
    <row r="31" spans="1:10" x14ac:dyDescent="0.25">
      <c r="A31">
        <v>2028</v>
      </c>
    </row>
    <row r="32" spans="1:10" x14ac:dyDescent="0.25">
      <c r="A32">
        <v>2029</v>
      </c>
    </row>
    <row r="33" spans="1:5" x14ac:dyDescent="0.25">
      <c r="A33">
        <v>2030</v>
      </c>
    </row>
    <row r="34" spans="1:5" x14ac:dyDescent="0.25">
      <c r="A34">
        <v>2031</v>
      </c>
    </row>
    <row r="35" spans="1:5" x14ac:dyDescent="0.25">
      <c r="A35">
        <v>2032</v>
      </c>
    </row>
    <row r="36" spans="1:5" x14ac:dyDescent="0.25">
      <c r="A36">
        <v>2033</v>
      </c>
    </row>
    <row r="37" spans="1:5" x14ac:dyDescent="0.25">
      <c r="A37">
        <v>2034</v>
      </c>
    </row>
    <row r="38" spans="1:5" x14ac:dyDescent="0.25">
      <c r="A38">
        <v>2035</v>
      </c>
    </row>
    <row r="39" spans="1:5" x14ac:dyDescent="0.25">
      <c r="A39">
        <v>2036</v>
      </c>
    </row>
    <row r="40" spans="1:5" x14ac:dyDescent="0.25">
      <c r="A40">
        <v>2037</v>
      </c>
    </row>
    <row r="41" spans="1:5" x14ac:dyDescent="0.25">
      <c r="A41">
        <v>2038</v>
      </c>
    </row>
    <row r="42" spans="1:5" x14ac:dyDescent="0.25">
      <c r="A42">
        <v>2039</v>
      </c>
    </row>
    <row r="43" spans="1:5" x14ac:dyDescent="0.25">
      <c r="A43">
        <v>2040</v>
      </c>
      <c r="E43" s="4">
        <v>4262</v>
      </c>
    </row>
    <row r="44" spans="1:5" x14ac:dyDescent="0.25">
      <c r="A44">
        <v>2041</v>
      </c>
    </row>
    <row r="45" spans="1:5" x14ac:dyDescent="0.25">
      <c r="A45">
        <v>2042</v>
      </c>
    </row>
    <row r="46" spans="1:5" x14ac:dyDescent="0.25">
      <c r="A46">
        <v>2043</v>
      </c>
    </row>
    <row r="47" spans="1:5" x14ac:dyDescent="0.25">
      <c r="A47">
        <v>2044</v>
      </c>
    </row>
    <row r="48" spans="1:5" x14ac:dyDescent="0.25">
      <c r="A48">
        <v>2045</v>
      </c>
    </row>
    <row r="49" spans="1:5" x14ac:dyDescent="0.25">
      <c r="A49">
        <v>2046</v>
      </c>
    </row>
    <row r="50" spans="1:5" x14ac:dyDescent="0.25">
      <c r="A50">
        <v>2047</v>
      </c>
    </row>
    <row r="51" spans="1:5" x14ac:dyDescent="0.25">
      <c r="A51">
        <v>2048</v>
      </c>
    </row>
    <row r="52" spans="1:5" x14ac:dyDescent="0.25">
      <c r="A52">
        <v>2049</v>
      </c>
    </row>
    <row r="53" spans="1:5" x14ac:dyDescent="0.25">
      <c r="A53">
        <v>2050</v>
      </c>
      <c r="E53" s="4">
        <v>7164</v>
      </c>
    </row>
  </sheetData>
  <mergeCells count="2">
    <mergeCell ref="J2:J12"/>
    <mergeCell ref="J13:J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95" t="s">
        <v>32</v>
      </c>
      <c r="B1" s="14" t="s">
        <v>29</v>
      </c>
      <c r="C1" s="14" t="s">
        <v>43</v>
      </c>
      <c r="D1" s="14" t="s">
        <v>43</v>
      </c>
    </row>
    <row r="2" spans="1:4" x14ac:dyDescent="0.25">
      <c r="A2" s="95"/>
      <c r="B2" s="14" t="s">
        <v>45</v>
      </c>
      <c r="C2" s="14" t="s">
        <v>44</v>
      </c>
      <c r="D2" s="14" t="s">
        <v>46</v>
      </c>
    </row>
    <row r="3" spans="1:4" x14ac:dyDescent="0.25">
      <c r="A3" s="14">
        <v>2000</v>
      </c>
      <c r="B3" s="18">
        <f>Penduduk!Q31</f>
        <v>43552923</v>
      </c>
      <c r="C3" s="14"/>
      <c r="D3" s="14"/>
    </row>
    <row r="4" spans="1:4" x14ac:dyDescent="0.25">
      <c r="A4" s="14">
        <v>2001</v>
      </c>
      <c r="B4" s="14"/>
      <c r="C4" s="14"/>
      <c r="D4" s="14"/>
    </row>
    <row r="5" spans="1:4" x14ac:dyDescent="0.25">
      <c r="A5" s="14">
        <v>2002</v>
      </c>
      <c r="B5" s="14"/>
      <c r="C5" s="14"/>
      <c r="D5" s="14"/>
    </row>
    <row r="6" spans="1:4" x14ac:dyDescent="0.25">
      <c r="A6" s="14">
        <v>2003</v>
      </c>
      <c r="B6" s="14"/>
      <c r="C6" s="14"/>
      <c r="D6" s="14"/>
    </row>
    <row r="7" spans="1:4" x14ac:dyDescent="0.25">
      <c r="A7" s="14">
        <v>2004</v>
      </c>
      <c r="B7" s="14"/>
      <c r="C7" s="14"/>
      <c r="D7" s="14"/>
    </row>
    <row r="8" spans="1:4" x14ac:dyDescent="0.25">
      <c r="A8" s="14">
        <v>2005</v>
      </c>
      <c r="B8" s="14"/>
      <c r="C8" s="14"/>
      <c r="D8" s="14"/>
    </row>
    <row r="9" spans="1:4" x14ac:dyDescent="0.25">
      <c r="A9" s="14">
        <v>2006</v>
      </c>
      <c r="B9" s="14"/>
      <c r="C9" s="14"/>
      <c r="D9" s="14"/>
    </row>
    <row r="10" spans="1:4" x14ac:dyDescent="0.25">
      <c r="A10" s="14">
        <v>2007</v>
      </c>
      <c r="B10" s="14"/>
      <c r="C10" s="14"/>
      <c r="D10" s="14"/>
    </row>
    <row r="11" spans="1:4" x14ac:dyDescent="0.25">
      <c r="A11" s="14">
        <v>2008</v>
      </c>
      <c r="B11" s="14"/>
      <c r="C11" s="14"/>
      <c r="D11" s="14"/>
    </row>
    <row r="12" spans="1:4" x14ac:dyDescent="0.25">
      <c r="A12" s="14">
        <v>2009</v>
      </c>
      <c r="B12" s="14"/>
      <c r="C12" s="14"/>
      <c r="D12" s="14"/>
    </row>
    <row r="13" spans="1:4" x14ac:dyDescent="0.25">
      <c r="A13" s="14">
        <v>2010</v>
      </c>
      <c r="B13" s="14"/>
      <c r="C13" s="14"/>
      <c r="D13" s="14"/>
    </row>
    <row r="14" spans="1:4" x14ac:dyDescent="0.25">
      <c r="A14" s="14">
        <v>2011</v>
      </c>
      <c r="B14" s="14"/>
      <c r="C14" s="14"/>
      <c r="D14" s="14"/>
    </row>
    <row r="15" spans="1:4" x14ac:dyDescent="0.25">
      <c r="A15" s="14">
        <v>2012</v>
      </c>
      <c r="B15" s="14"/>
      <c r="C15" s="14"/>
      <c r="D15" s="14"/>
    </row>
    <row r="16" spans="1:4" x14ac:dyDescent="0.25">
      <c r="A16" s="14">
        <v>2013</v>
      </c>
      <c r="B16" s="14"/>
      <c r="C16" s="14"/>
      <c r="D16" s="14"/>
    </row>
    <row r="17" spans="1:4" x14ac:dyDescent="0.25">
      <c r="A17" s="14">
        <v>2014</v>
      </c>
      <c r="B17" s="14"/>
      <c r="C17" s="14"/>
      <c r="D17" s="14"/>
    </row>
    <row r="18" spans="1:4" x14ac:dyDescent="0.25">
      <c r="A18" s="14">
        <v>2015</v>
      </c>
      <c r="B18" s="18">
        <f>Penduduk!W31</f>
        <v>46709569</v>
      </c>
      <c r="C18" s="14">
        <v>929.8</v>
      </c>
      <c r="D18" s="14">
        <f>C18/1000</f>
        <v>0.92979999999999996</v>
      </c>
    </row>
    <row r="19" spans="1:4" x14ac:dyDescent="0.25">
      <c r="A19" s="14">
        <v>2016</v>
      </c>
      <c r="B19" s="18">
        <f>Penduduk!X31</f>
        <v>46709570</v>
      </c>
      <c r="C19" s="14">
        <v>992.6</v>
      </c>
      <c r="D19" s="14">
        <f t="shared" ref="D19:D23" si="0">C19/1000</f>
        <v>0.99260000000000004</v>
      </c>
    </row>
    <row r="20" spans="1:4" x14ac:dyDescent="0.25">
      <c r="A20" s="14">
        <v>2017</v>
      </c>
      <c r="B20" s="18">
        <f>Penduduk!Y31</f>
        <v>48037830</v>
      </c>
      <c r="C20" s="14">
        <v>1058.4000000000001</v>
      </c>
      <c r="D20" s="14">
        <f t="shared" si="0"/>
        <v>1.0584</v>
      </c>
    </row>
    <row r="21" spans="1:4" x14ac:dyDescent="0.25">
      <c r="A21" s="14">
        <v>2018</v>
      </c>
      <c r="B21" s="18">
        <f>Penduduk!Z31</f>
        <v>48600000</v>
      </c>
      <c r="C21" s="14">
        <v>1127.2</v>
      </c>
      <c r="D21" s="14">
        <f t="shared" si="0"/>
        <v>1.1272</v>
      </c>
    </row>
    <row r="22" spans="1:4" x14ac:dyDescent="0.25">
      <c r="A22" s="14">
        <v>2019</v>
      </c>
      <c r="B22" s="18">
        <f>Penduduk!AA31</f>
        <v>49200000</v>
      </c>
      <c r="C22" s="14">
        <v>1199.0999999999999</v>
      </c>
      <c r="D22" s="14">
        <f t="shared" si="0"/>
        <v>1.1990999999999998</v>
      </c>
    </row>
    <row r="23" spans="1:4" x14ac:dyDescent="0.25">
      <c r="A23" s="14">
        <v>2020</v>
      </c>
      <c r="B23" s="18">
        <f>Penduduk!AB31</f>
        <v>49800000</v>
      </c>
      <c r="C23" s="14">
        <v>1274</v>
      </c>
      <c r="D23" s="14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O24"/>
  <sheetViews>
    <sheetView workbookViewId="0">
      <selection activeCell="L2" sqref="L2:P11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  <col min="13" max="13" width="17.140625" customWidth="1"/>
  </cols>
  <sheetData>
    <row r="2" spans="1:15" x14ac:dyDescent="0.25">
      <c r="B2" s="14" t="s">
        <v>32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5" t="s">
        <v>57</v>
      </c>
      <c r="L2" t="s">
        <v>307</v>
      </c>
    </row>
    <row r="3" spans="1:15" x14ac:dyDescent="0.25">
      <c r="A3" s="95" t="s">
        <v>93</v>
      </c>
      <c r="B3" s="16">
        <v>2000</v>
      </c>
      <c r="C3" s="16">
        <f t="shared" ref="C3:C14" si="0">C4/(1+$C$24)</f>
        <v>84618.727047682696</v>
      </c>
      <c r="D3" s="16">
        <f t="shared" ref="D3:D14" si="1">D4/(1+$D$24)</f>
        <v>3951733.6002211557</v>
      </c>
      <c r="E3" s="16">
        <f t="shared" ref="E3:E14" si="2">E4/(1+$E$24)</f>
        <v>54207.28665242446</v>
      </c>
      <c r="F3" s="14">
        <f t="shared" ref="F3:F15" si="3">SUM(C3:E3)</f>
        <v>4090559.6139212628</v>
      </c>
      <c r="G3" s="23">
        <f>D3/Penduduk!C3</f>
        <v>0.11062008445318729</v>
      </c>
      <c r="H3" s="14">
        <f>C3+E3</f>
        <v>138826.01370010717</v>
      </c>
      <c r="L3" t="s">
        <v>308</v>
      </c>
    </row>
    <row r="4" spans="1:15" x14ac:dyDescent="0.25">
      <c r="A4" s="95"/>
      <c r="B4" s="16">
        <v>2001</v>
      </c>
      <c r="C4" s="16">
        <f t="shared" si="0"/>
        <v>87709.104927983237</v>
      </c>
      <c r="D4" s="16">
        <f t="shared" si="1"/>
        <v>4278408.5396023542</v>
      </c>
      <c r="E4" s="16">
        <f t="shared" si="2"/>
        <v>55985.452373297194</v>
      </c>
      <c r="F4" s="14">
        <f t="shared" si="3"/>
        <v>4422103.0969036343</v>
      </c>
      <c r="G4" s="23">
        <f>D4/Penduduk!C4</f>
        <v>0.11724483161705898</v>
      </c>
      <c r="H4" s="14">
        <f t="shared" ref="H4:H15" si="4">C4+E4</f>
        <v>143694.55730128044</v>
      </c>
      <c r="L4">
        <v>1</v>
      </c>
      <c r="M4" t="s">
        <v>263</v>
      </c>
      <c r="N4">
        <v>1</v>
      </c>
      <c r="O4" t="s">
        <v>263</v>
      </c>
    </row>
    <row r="5" spans="1:15" x14ac:dyDescent="0.25">
      <c r="A5" s="95"/>
      <c r="B5" s="16">
        <v>2002</v>
      </c>
      <c r="C5" s="16">
        <f t="shared" si="0"/>
        <v>90912.347132485549</v>
      </c>
      <c r="D5" s="16">
        <f t="shared" si="1"/>
        <v>4632088.4663677579</v>
      </c>
      <c r="E5" s="16">
        <f t="shared" si="2"/>
        <v>57821.947398699791</v>
      </c>
      <c r="F5" s="14">
        <f t="shared" si="3"/>
        <v>4780822.7608989431</v>
      </c>
      <c r="G5" s="23">
        <f>D5/Penduduk!C5</f>
        <v>0.12457018689654653</v>
      </c>
      <c r="H5" s="14">
        <f t="shared" si="4"/>
        <v>148734.29453118535</v>
      </c>
      <c r="L5">
        <v>1</v>
      </c>
      <c r="M5" t="s">
        <v>309</v>
      </c>
      <c r="N5">
        <v>3</v>
      </c>
      <c r="O5" t="s">
        <v>263</v>
      </c>
    </row>
    <row r="6" spans="1:15" x14ac:dyDescent="0.25">
      <c r="A6" s="95"/>
      <c r="B6" s="16">
        <v>2003</v>
      </c>
      <c r="C6" s="16">
        <f t="shared" si="0"/>
        <v>94232.57560231493</v>
      </c>
      <c r="D6" s="16">
        <f t="shared" si="1"/>
        <v>5015005.7811569814</v>
      </c>
      <c r="E6" s="16">
        <f t="shared" si="2"/>
        <v>59718.685109217084</v>
      </c>
      <c r="F6" s="14">
        <f t="shared" si="3"/>
        <v>5168957.0418685135</v>
      </c>
      <c r="G6" s="23">
        <f>D6/Penduduk!C6</f>
        <v>0.1323532240135242</v>
      </c>
      <c r="H6" s="14">
        <f t="shared" si="4"/>
        <v>153951.26071153203</v>
      </c>
      <c r="L6">
        <v>1</v>
      </c>
      <c r="M6" t="s">
        <v>310</v>
      </c>
      <c r="N6">
        <v>3.5</v>
      </c>
      <c r="O6" t="s">
        <v>263</v>
      </c>
    </row>
    <row r="7" spans="1:15" x14ac:dyDescent="0.25">
      <c r="A7" s="95"/>
      <c r="B7" s="16">
        <v>2004</v>
      </c>
      <c r="C7" s="16">
        <f t="shared" si="0"/>
        <v>97674.062816853664</v>
      </c>
      <c r="D7" s="16">
        <f t="shared" si="1"/>
        <v>5429577.4287660541</v>
      </c>
      <c r="E7" s="16">
        <f t="shared" si="2"/>
        <v>61677.64165020184</v>
      </c>
      <c r="F7" s="14">
        <f t="shared" si="3"/>
        <v>5588929.1332331095</v>
      </c>
      <c r="G7" s="23">
        <f>D7/Penduduk!C7</f>
        <v>0.14062253853180781</v>
      </c>
      <c r="H7" s="14">
        <f t="shared" si="4"/>
        <v>159351.7044670555</v>
      </c>
      <c r="L7">
        <v>1</v>
      </c>
      <c r="M7" t="s">
        <v>165</v>
      </c>
      <c r="N7">
        <v>0.2</v>
      </c>
      <c r="O7" t="s">
        <v>263</v>
      </c>
    </row>
    <row r="8" spans="1:15" x14ac:dyDescent="0.25">
      <c r="A8" s="95"/>
      <c r="B8" s="16">
        <v>2005</v>
      </c>
      <c r="C8" s="16">
        <f t="shared" si="0"/>
        <v>101241.23729157954</v>
      </c>
      <c r="D8" s="16">
        <f t="shared" si="1"/>
        <v>5878420.1537180627</v>
      </c>
      <c r="E8" s="16">
        <f t="shared" si="2"/>
        <v>63700.857990652192</v>
      </c>
      <c r="F8" s="14">
        <f t="shared" si="3"/>
        <v>6043362.2490002941</v>
      </c>
      <c r="G8" s="23">
        <f>D8/Penduduk!C8</f>
        <v>0.14940851264121185</v>
      </c>
      <c r="H8" s="14">
        <f t="shared" si="4"/>
        <v>164942.09528223175</v>
      </c>
    </row>
    <row r="9" spans="1:15" x14ac:dyDescent="0.25">
      <c r="A9" s="95"/>
      <c r="B9" s="16">
        <v>2006</v>
      </c>
      <c r="C9" s="16">
        <f t="shared" si="0"/>
        <v>104938.68927669215</v>
      </c>
      <c r="D9" s="16">
        <f t="shared" si="1"/>
        <v>6364367.0169543885</v>
      </c>
      <c r="E9" s="16">
        <f t="shared" si="2"/>
        <v>65790.442049626552</v>
      </c>
      <c r="F9" s="14">
        <f t="shared" si="3"/>
        <v>6535096.1482807072</v>
      </c>
      <c r="G9" s="23">
        <f>D9/Penduduk!C9</f>
        <v>0.15874342678439046</v>
      </c>
      <c r="H9" s="14">
        <f t="shared" si="4"/>
        <v>170729.13132631872</v>
      </c>
      <c r="L9" t="s">
        <v>311</v>
      </c>
    </row>
    <row r="10" spans="1:15" x14ac:dyDescent="0.25">
      <c r="A10" s="95"/>
      <c r="B10" s="16">
        <v>2007</v>
      </c>
      <c r="C10" s="16">
        <f t="shared" si="0"/>
        <v>108771.17666385975</v>
      </c>
      <c r="D10" s="16">
        <f t="shared" si="1"/>
        <v>6890485.2778986283</v>
      </c>
      <c r="E10" s="16">
        <f t="shared" si="2"/>
        <v>67948.570892411517</v>
      </c>
      <c r="F10" s="14">
        <f t="shared" si="3"/>
        <v>7067205.0254548993</v>
      </c>
      <c r="G10" s="23">
        <f>D10/Penduduk!C10</f>
        <v>0.16866157825802677</v>
      </c>
      <c r="H10" s="14">
        <f t="shared" si="4"/>
        <v>176719.74755627126</v>
      </c>
      <c r="L10">
        <v>0.15</v>
      </c>
      <c r="M10" t="s">
        <v>312</v>
      </c>
    </row>
    <row r="11" spans="1:15" x14ac:dyDescent="0.25">
      <c r="A11" s="95"/>
      <c r="B11" s="16">
        <v>2008</v>
      </c>
      <c r="C11" s="16">
        <f t="shared" si="0"/>
        <v>112743.63110868775</v>
      </c>
      <c r="D11" s="16">
        <f t="shared" si="1"/>
        <v>7460095.754763416</v>
      </c>
      <c r="E11" s="16">
        <f t="shared" si="2"/>
        <v>70177.492998730828</v>
      </c>
      <c r="F11" s="14">
        <f t="shared" si="3"/>
        <v>7643016.8788708346</v>
      </c>
      <c r="G11" s="23">
        <f>D11/Penduduk!C11</f>
        <v>0.17919940722412145</v>
      </c>
      <c r="H11" s="14">
        <f t="shared" si="4"/>
        <v>182921.12410741858</v>
      </c>
      <c r="L11">
        <v>0.85</v>
      </c>
      <c r="M11" t="s">
        <v>313</v>
      </c>
    </row>
    <row r="12" spans="1:15" x14ac:dyDescent="0.25">
      <c r="A12" s="95"/>
      <c r="B12" s="16">
        <v>2009</v>
      </c>
      <c r="C12" s="16">
        <f t="shared" si="0"/>
        <v>116861.16437678711</v>
      </c>
      <c r="D12" s="16">
        <f t="shared" si="1"/>
        <v>8076793.7853009226</v>
      </c>
      <c r="E12" s="16">
        <f t="shared" si="2"/>
        <v>72479.530605358537</v>
      </c>
      <c r="F12" s="14">
        <f t="shared" si="3"/>
        <v>8266134.4802830685</v>
      </c>
      <c r="G12" s="23">
        <f>D12/Penduduk!C12</f>
        <v>0.19039563059435707</v>
      </c>
      <c r="H12" s="14">
        <f t="shared" si="4"/>
        <v>189340.69498214565</v>
      </c>
    </row>
    <row r="13" spans="1:15" x14ac:dyDescent="0.25">
      <c r="A13" s="95"/>
      <c r="B13" s="16">
        <v>2010</v>
      </c>
      <c r="C13" s="16">
        <f t="shared" si="0"/>
        <v>121129.07492160874</v>
      </c>
      <c r="D13" s="16">
        <f t="shared" si="1"/>
        <v>8744471.9202996884</v>
      </c>
      <c r="E13" s="16">
        <f t="shared" si="2"/>
        <v>74857.082125577086</v>
      </c>
      <c r="F13" s="14">
        <f t="shared" si="3"/>
        <v>8940458.0773468725</v>
      </c>
      <c r="G13" s="23">
        <f>D13/Penduduk!C13</f>
        <v>0.20229138427944149</v>
      </c>
      <c r="H13" s="14">
        <f t="shared" si="4"/>
        <v>195986.15704718581</v>
      </c>
    </row>
    <row r="14" spans="1:15" x14ac:dyDescent="0.25">
      <c r="A14" s="95"/>
      <c r="B14" s="16">
        <v>2011</v>
      </c>
      <c r="C14" s="16">
        <f t="shared" si="0"/>
        <v>125552.85470250841</v>
      </c>
      <c r="D14" s="16">
        <f t="shared" si="1"/>
        <v>9467344.4930674043</v>
      </c>
      <c r="E14" s="16">
        <f t="shared" si="2"/>
        <v>77312.624648001103</v>
      </c>
      <c r="F14" s="14">
        <f t="shared" si="3"/>
        <v>9670209.9724179134</v>
      </c>
      <c r="G14" s="23">
        <f>D14/Penduduk!C14</f>
        <v>0.21569238865300558</v>
      </c>
      <c r="H14" s="14">
        <f t="shared" si="4"/>
        <v>202865.47935050953</v>
      </c>
    </row>
    <row r="15" spans="1:15" x14ac:dyDescent="0.25">
      <c r="A15" s="95"/>
      <c r="B15" s="16">
        <v>2012</v>
      </c>
      <c r="C15" s="16">
        <f>C16/(1+$C$24)</f>
        <v>130138.19625181556</v>
      </c>
      <c r="D15" s="16">
        <f>D16/(1+$D$24)</f>
        <v>10249974.219980331</v>
      </c>
      <c r="E15" s="16">
        <f>E16/(1+$E$24)</f>
        <v>79848.716517370238</v>
      </c>
      <c r="F15" s="14">
        <f t="shared" si="3"/>
        <v>10459961.132749517</v>
      </c>
      <c r="G15" s="23">
        <f>D15/Penduduk!C15</f>
        <v>0.22998115658041535</v>
      </c>
      <c r="H15" s="14">
        <f t="shared" si="4"/>
        <v>209986.91276918579</v>
      </c>
    </row>
    <row r="16" spans="1:15" x14ac:dyDescent="0.25">
      <c r="B16" s="14">
        <v>2013</v>
      </c>
      <c r="C16" s="14">
        <v>134891</v>
      </c>
      <c r="D16" s="14">
        <v>11097301</v>
      </c>
      <c r="E16" s="14">
        <v>82468</v>
      </c>
      <c r="F16" s="14">
        <f>SUM(C16:E16)</f>
        <v>11314660</v>
      </c>
      <c r="G16" s="23">
        <f>D16/Penduduk!U31</f>
        <v>0.24475309753584185</v>
      </c>
      <c r="H16" s="14">
        <f>C16+E16</f>
        <v>217359</v>
      </c>
    </row>
    <row r="17" spans="2:8" x14ac:dyDescent="0.25">
      <c r="B17" s="14">
        <v>2014</v>
      </c>
      <c r="C17" s="14">
        <v>152064</v>
      </c>
      <c r="D17" s="14">
        <v>13478289</v>
      </c>
      <c r="E17" s="14">
        <v>90146</v>
      </c>
      <c r="F17" s="14">
        <f t="shared" ref="F17:F21" si="5">SUM(C17:E17)</f>
        <v>13720499</v>
      </c>
      <c r="G17" s="23">
        <f>D17/Penduduk!V31</f>
        <v>0.29281742809876449</v>
      </c>
      <c r="H17" s="14">
        <f t="shared" ref="H17:H21" si="6">C17+E17</f>
        <v>242210</v>
      </c>
    </row>
    <row r="18" spans="2:8" x14ac:dyDescent="0.25">
      <c r="B18" s="14">
        <v>2015</v>
      </c>
      <c r="C18" s="14">
        <v>158085</v>
      </c>
      <c r="D18" s="14">
        <v>14483932</v>
      </c>
      <c r="E18" s="14">
        <v>94786</v>
      </c>
      <c r="F18" s="14">
        <f t="shared" si="5"/>
        <v>14736803</v>
      </c>
      <c r="G18" s="23">
        <f>D18/Penduduk!W31</f>
        <v>0.31008489930617855</v>
      </c>
      <c r="H18" s="14">
        <f t="shared" si="6"/>
        <v>252871</v>
      </c>
    </row>
    <row r="19" spans="2:8" x14ac:dyDescent="0.25">
      <c r="B19" s="14">
        <v>2016</v>
      </c>
      <c r="C19" s="14">
        <v>161087</v>
      </c>
      <c r="D19" s="14">
        <v>15822611</v>
      </c>
      <c r="E19" s="14">
        <v>101423</v>
      </c>
      <c r="F19" s="14">
        <f t="shared" si="5"/>
        <v>16085121</v>
      </c>
      <c r="G19" s="23">
        <f>D19/Penduduk!X31</f>
        <v>0.33874452280335698</v>
      </c>
      <c r="H19" s="14">
        <f t="shared" si="6"/>
        <v>262510</v>
      </c>
    </row>
    <row r="20" spans="2:8" x14ac:dyDescent="0.25">
      <c r="B20" s="14">
        <v>2017</v>
      </c>
      <c r="C20" s="14">
        <v>164017</v>
      </c>
      <c r="D20" s="14">
        <v>17076805</v>
      </c>
      <c r="E20" s="14">
        <v>105743</v>
      </c>
      <c r="F20" s="14">
        <f t="shared" si="5"/>
        <v>17346565</v>
      </c>
      <c r="G20" s="23">
        <f>D20/Penduduk!Y31</f>
        <v>0.35548660295437989</v>
      </c>
      <c r="H20" s="14">
        <f t="shared" si="6"/>
        <v>269760</v>
      </c>
    </row>
    <row r="21" spans="2:8" x14ac:dyDescent="0.25">
      <c r="B21" s="14">
        <v>2018</v>
      </c>
      <c r="C21" s="14">
        <v>161389</v>
      </c>
      <c r="D21" s="14">
        <v>16507843</v>
      </c>
      <c r="E21" s="14">
        <v>96911</v>
      </c>
      <c r="F21" s="14">
        <f t="shared" si="5"/>
        <v>16766143</v>
      </c>
      <c r="G21" s="23">
        <f>D21/Penduduk!Z31</f>
        <v>0.33966755144032923</v>
      </c>
      <c r="H21" s="14">
        <f t="shared" si="6"/>
        <v>258300</v>
      </c>
    </row>
    <row r="22" spans="2:8" x14ac:dyDescent="0.25">
      <c r="B22" s="14">
        <v>2019</v>
      </c>
      <c r="C22" s="14"/>
      <c r="D22" s="14"/>
      <c r="E22" s="14"/>
      <c r="F22" s="14"/>
      <c r="G22" s="14"/>
      <c r="H22" s="14"/>
    </row>
    <row r="23" spans="2:8" x14ac:dyDescent="0.25">
      <c r="B23" s="14">
        <v>2020</v>
      </c>
      <c r="C23" s="14"/>
      <c r="D23" s="14"/>
      <c r="E23" s="14"/>
      <c r="F23" s="14"/>
      <c r="G23" s="14"/>
      <c r="H23" s="14"/>
    </row>
    <row r="24" spans="2:8" x14ac:dyDescent="0.25">
      <c r="B24" t="s">
        <v>94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4CE9-4C33-4D56-9C2D-02775C61F4CA}">
  <dimension ref="A1:V75"/>
  <sheetViews>
    <sheetView topLeftCell="A28" zoomScale="70" zoomScaleNormal="70" workbookViewId="0">
      <selection activeCell="A52" sqref="A52:C74"/>
    </sheetView>
  </sheetViews>
  <sheetFormatPr defaultRowHeight="15" x14ac:dyDescent="0.25"/>
  <cols>
    <col min="2" max="2" width="16.140625" customWidth="1"/>
    <col min="3" max="3" width="13.28515625" customWidth="1"/>
    <col min="5" max="5" width="11.42578125" customWidth="1"/>
    <col min="8" max="8" width="10" bestFit="1" customWidth="1"/>
    <col min="20" max="20" width="15.28515625" customWidth="1"/>
  </cols>
  <sheetData>
    <row r="1" spans="1:22" ht="15" customHeight="1" x14ac:dyDescent="0.25">
      <c r="A1" s="95" t="s">
        <v>32</v>
      </c>
      <c r="B1" s="95" t="s">
        <v>317</v>
      </c>
      <c r="C1" s="95"/>
      <c r="D1" s="98" t="s">
        <v>318</v>
      </c>
      <c r="E1" s="98"/>
      <c r="F1" s="98" t="s">
        <v>319</v>
      </c>
      <c r="G1" s="98"/>
      <c r="H1" s="103" t="s">
        <v>314</v>
      </c>
      <c r="I1" s="103"/>
      <c r="J1" s="14" t="s">
        <v>315</v>
      </c>
      <c r="K1" s="2"/>
      <c r="L1" s="68" t="s">
        <v>316</v>
      </c>
      <c r="M1" s="68"/>
      <c r="N1" s="103" t="s">
        <v>164</v>
      </c>
      <c r="O1" s="103"/>
      <c r="P1" s="14" t="s">
        <v>165</v>
      </c>
      <c r="Q1" s="14"/>
      <c r="S1" t="s">
        <v>307</v>
      </c>
    </row>
    <row r="2" spans="1:22" x14ac:dyDescent="0.25">
      <c r="A2" s="95"/>
      <c r="B2" s="14" t="s">
        <v>159</v>
      </c>
      <c r="C2" s="14" t="s">
        <v>160</v>
      </c>
      <c r="D2" s="14" t="s">
        <v>159</v>
      </c>
      <c r="E2" s="14" t="s">
        <v>160</v>
      </c>
      <c r="F2" s="14" t="s">
        <v>159</v>
      </c>
      <c r="G2" s="14" t="s">
        <v>160</v>
      </c>
      <c r="H2" s="14" t="s">
        <v>159</v>
      </c>
      <c r="I2" s="14" t="s">
        <v>160</v>
      </c>
      <c r="J2" s="14" t="s">
        <v>159</v>
      </c>
      <c r="K2" s="14" t="s">
        <v>160</v>
      </c>
      <c r="L2" s="14" t="s">
        <v>159</v>
      </c>
      <c r="M2" s="14" t="s">
        <v>160</v>
      </c>
      <c r="N2" s="14" t="s">
        <v>159</v>
      </c>
      <c r="O2" s="14" t="s">
        <v>160</v>
      </c>
      <c r="P2" s="14" t="s">
        <v>159</v>
      </c>
      <c r="Q2" s="14" t="s">
        <v>160</v>
      </c>
      <c r="S2" t="s">
        <v>308</v>
      </c>
    </row>
    <row r="3" spans="1:22" x14ac:dyDescent="0.25">
      <c r="A3" s="14">
        <v>2000</v>
      </c>
      <c r="B3" s="14">
        <v>76129</v>
      </c>
      <c r="C3" s="14">
        <v>3791</v>
      </c>
      <c r="D3" s="14">
        <v>37668</v>
      </c>
      <c r="E3" s="14"/>
      <c r="F3" s="49">
        <v>167807</v>
      </c>
      <c r="G3" s="14">
        <v>38553</v>
      </c>
      <c r="H3" s="14">
        <f t="shared" ref="H3:H5" si="0">B3+D3+F3</f>
        <v>281604</v>
      </c>
      <c r="I3" s="14">
        <f t="shared" ref="I3:I5" si="1">C3+E3+G3</f>
        <v>42344</v>
      </c>
      <c r="J3" s="14">
        <v>9963</v>
      </c>
      <c r="K3" s="14">
        <v>9243</v>
      </c>
      <c r="L3" s="14">
        <v>114700</v>
      </c>
      <c r="M3" s="14">
        <v>5831</v>
      </c>
      <c r="N3" s="14">
        <v>91</v>
      </c>
      <c r="O3" s="14"/>
      <c r="P3" s="14">
        <v>768814</v>
      </c>
      <c r="Q3" s="14"/>
      <c r="S3">
        <v>1</v>
      </c>
      <c r="T3" t="s">
        <v>263</v>
      </c>
      <c r="U3">
        <v>1</v>
      </c>
      <c r="V3" t="s">
        <v>263</v>
      </c>
    </row>
    <row r="4" spans="1:22" x14ac:dyDescent="0.25">
      <c r="A4" s="14">
        <v>2001</v>
      </c>
      <c r="B4" s="14">
        <v>127760</v>
      </c>
      <c r="C4" s="14">
        <v>5706</v>
      </c>
      <c r="D4" s="14">
        <v>48527</v>
      </c>
      <c r="E4" s="14"/>
      <c r="F4" s="49">
        <v>237787</v>
      </c>
      <c r="G4" s="14">
        <v>54568</v>
      </c>
      <c r="H4" s="14">
        <f t="shared" si="0"/>
        <v>414074</v>
      </c>
      <c r="I4" s="14">
        <f t="shared" si="1"/>
        <v>60274</v>
      </c>
      <c r="J4" s="14">
        <v>9063</v>
      </c>
      <c r="K4" s="14">
        <v>16954</v>
      </c>
      <c r="L4" s="14">
        <v>155574</v>
      </c>
      <c r="M4" s="14">
        <v>8972</v>
      </c>
      <c r="N4" s="14">
        <v>49</v>
      </c>
      <c r="O4" s="14"/>
      <c r="P4" s="14">
        <v>82144</v>
      </c>
      <c r="Q4" s="14"/>
      <c r="S4">
        <v>1</v>
      </c>
      <c r="T4" t="s">
        <v>309</v>
      </c>
      <c r="U4">
        <v>3</v>
      </c>
      <c r="V4" t="s">
        <v>263</v>
      </c>
    </row>
    <row r="5" spans="1:22" x14ac:dyDescent="0.25">
      <c r="A5" s="14">
        <v>2002</v>
      </c>
      <c r="B5" s="14">
        <v>108869</v>
      </c>
      <c r="C5" s="14">
        <v>6767</v>
      </c>
      <c r="D5" s="14">
        <v>48466</v>
      </c>
      <c r="E5" s="14"/>
      <c r="F5" s="49">
        <v>265825</v>
      </c>
      <c r="G5" s="14">
        <v>53533</v>
      </c>
      <c r="H5" s="14">
        <f t="shared" si="0"/>
        <v>423160</v>
      </c>
      <c r="I5" s="14">
        <f t="shared" si="1"/>
        <v>60300</v>
      </c>
      <c r="J5" s="14">
        <v>9118</v>
      </c>
      <c r="K5" s="14">
        <v>13466</v>
      </c>
      <c r="L5" s="14">
        <v>214385</v>
      </c>
      <c r="M5" s="14">
        <v>8533</v>
      </c>
      <c r="N5" s="14">
        <v>130</v>
      </c>
      <c r="O5" s="14"/>
      <c r="P5" s="14">
        <v>1439506</v>
      </c>
      <c r="Q5" s="14"/>
      <c r="S5">
        <v>1</v>
      </c>
      <c r="T5" t="s">
        <v>310</v>
      </c>
      <c r="U5">
        <v>3.5</v>
      </c>
      <c r="V5" t="s">
        <v>263</v>
      </c>
    </row>
    <row r="6" spans="1:22" x14ac:dyDescent="0.25">
      <c r="A6" s="14">
        <v>2003</v>
      </c>
      <c r="B6" s="14">
        <v>4520</v>
      </c>
      <c r="C6" s="14">
        <v>46</v>
      </c>
      <c r="D6" s="14">
        <v>1596</v>
      </c>
      <c r="E6" s="14"/>
      <c r="F6" s="14">
        <v>22390</v>
      </c>
      <c r="G6" s="14">
        <v>459</v>
      </c>
      <c r="H6" s="14">
        <f>B6+D6+F6</f>
        <v>28506</v>
      </c>
      <c r="I6" s="14">
        <f>C6+E6+G6</f>
        <v>505</v>
      </c>
      <c r="J6" s="14">
        <v>405</v>
      </c>
      <c r="K6" s="14">
        <v>1187</v>
      </c>
      <c r="L6" s="14">
        <v>18659</v>
      </c>
      <c r="M6" s="14">
        <v>220</v>
      </c>
      <c r="N6" s="14">
        <v>0</v>
      </c>
      <c r="O6" s="14">
        <v>0</v>
      </c>
      <c r="P6" s="14">
        <v>482679</v>
      </c>
      <c r="Q6" s="14"/>
      <c r="S6">
        <v>1</v>
      </c>
      <c r="T6" t="s">
        <v>165</v>
      </c>
      <c r="U6">
        <v>0.2</v>
      </c>
      <c r="V6" t="s">
        <v>263</v>
      </c>
    </row>
    <row r="7" spans="1:22" x14ac:dyDescent="0.25">
      <c r="A7" s="14">
        <v>2004</v>
      </c>
      <c r="B7" s="14">
        <v>127286</v>
      </c>
      <c r="C7" s="14">
        <v>8132</v>
      </c>
      <c r="D7" s="14">
        <v>54674</v>
      </c>
      <c r="E7" s="14"/>
      <c r="F7" s="14">
        <v>332593</v>
      </c>
      <c r="G7" s="14">
        <v>8921</v>
      </c>
      <c r="H7" s="14">
        <f t="shared" ref="H7:H21" si="2">B7+D7+F7</f>
        <v>514553</v>
      </c>
      <c r="I7" s="14">
        <f t="shared" ref="I7:I21" si="3">C7+E7+G7</f>
        <v>17053</v>
      </c>
      <c r="J7" s="14">
        <v>9853</v>
      </c>
      <c r="K7" s="14">
        <v>17233</v>
      </c>
      <c r="L7" s="14">
        <v>228672</v>
      </c>
      <c r="M7" s="14">
        <v>13305</v>
      </c>
      <c r="N7" s="14">
        <v>422</v>
      </c>
      <c r="O7" s="14"/>
      <c r="P7" s="14">
        <v>2834662</v>
      </c>
      <c r="Q7" s="14"/>
    </row>
    <row r="8" spans="1:22" x14ac:dyDescent="0.25">
      <c r="A8" s="14">
        <v>2005</v>
      </c>
      <c r="B8" s="14">
        <v>136255</v>
      </c>
      <c r="C8" s="14">
        <v>10823</v>
      </c>
      <c r="D8" s="14">
        <v>63250</v>
      </c>
      <c r="E8" s="14"/>
      <c r="F8" s="14">
        <v>344786</v>
      </c>
      <c r="G8" s="14">
        <v>87343</v>
      </c>
      <c r="H8" s="14">
        <f t="shared" si="2"/>
        <v>544291</v>
      </c>
      <c r="I8" s="14">
        <f t="shared" si="3"/>
        <v>98166</v>
      </c>
      <c r="J8" s="14">
        <v>10235</v>
      </c>
      <c r="K8" s="14">
        <v>17521</v>
      </c>
      <c r="L8" s="14">
        <v>251162</v>
      </c>
      <c r="M8" s="14">
        <v>17308</v>
      </c>
      <c r="N8" s="14">
        <v>251162</v>
      </c>
      <c r="O8" s="14">
        <v>17308</v>
      </c>
      <c r="P8" s="14">
        <v>3438258</v>
      </c>
      <c r="Q8" s="14"/>
      <c r="S8" t="s">
        <v>311</v>
      </c>
    </row>
    <row r="9" spans="1:22" x14ac:dyDescent="0.25">
      <c r="A9" s="14">
        <v>2006</v>
      </c>
      <c r="B9" s="14">
        <v>121966</v>
      </c>
      <c r="C9" s="14">
        <v>7719</v>
      </c>
      <c r="D9" s="14">
        <v>52613</v>
      </c>
      <c r="E9" s="14"/>
      <c r="F9" s="14">
        <v>372457</v>
      </c>
      <c r="G9" s="14">
        <v>62584</v>
      </c>
      <c r="H9" s="14">
        <f t="shared" si="2"/>
        <v>547036</v>
      </c>
      <c r="I9" s="14">
        <f t="shared" si="3"/>
        <v>70303</v>
      </c>
      <c r="J9" s="14">
        <v>7211</v>
      </c>
      <c r="K9" s="14">
        <v>12363</v>
      </c>
      <c r="L9" s="14">
        <v>9012</v>
      </c>
      <c r="M9" s="14">
        <v>216352</v>
      </c>
      <c r="N9" s="14">
        <v>40</v>
      </c>
      <c r="O9" s="14"/>
      <c r="P9" s="14">
        <v>3244156</v>
      </c>
      <c r="Q9" s="14"/>
      <c r="S9">
        <v>0.15</v>
      </c>
      <c r="T9" t="s">
        <v>312</v>
      </c>
    </row>
    <row r="10" spans="1:22" x14ac:dyDescent="0.25">
      <c r="A10" s="14">
        <v>2007</v>
      </c>
      <c r="B10" s="14">
        <v>157688</v>
      </c>
      <c r="C10" s="14">
        <v>12510</v>
      </c>
      <c r="D10" s="14">
        <v>66132</v>
      </c>
      <c r="E10" s="14"/>
      <c r="F10" s="14">
        <v>461082</v>
      </c>
      <c r="G10" s="14">
        <v>92516</v>
      </c>
      <c r="H10" s="14">
        <f t="shared" si="2"/>
        <v>684902</v>
      </c>
      <c r="I10" s="14">
        <f t="shared" si="3"/>
        <v>105026</v>
      </c>
      <c r="J10" s="14">
        <v>11556</v>
      </c>
      <c r="K10" s="14">
        <v>18286</v>
      </c>
      <c r="L10" s="14">
        <v>280013</v>
      </c>
      <c r="M10" s="14">
        <v>11940</v>
      </c>
      <c r="N10" s="14">
        <v>188</v>
      </c>
      <c r="O10" s="14">
        <v>8</v>
      </c>
      <c r="P10" s="14">
        <v>5168061</v>
      </c>
      <c r="Q10" s="14"/>
      <c r="S10">
        <v>0.85</v>
      </c>
      <c r="T10" t="s">
        <v>313</v>
      </c>
    </row>
    <row r="11" spans="1:22" x14ac:dyDescent="0.25">
      <c r="A11" s="14">
        <v>2008</v>
      </c>
      <c r="B11" s="14">
        <v>156482</v>
      </c>
      <c r="C11" s="14">
        <v>13594</v>
      </c>
      <c r="D11" s="14">
        <v>68344</v>
      </c>
      <c r="E11" s="14"/>
      <c r="F11" s="14">
        <v>496857</v>
      </c>
      <c r="G11" s="14">
        <v>88847</v>
      </c>
      <c r="H11" s="14">
        <f t="shared" si="2"/>
        <v>721683</v>
      </c>
      <c r="I11" s="14">
        <f t="shared" si="3"/>
        <v>102441</v>
      </c>
      <c r="J11" s="14">
        <v>10452</v>
      </c>
      <c r="K11" s="14">
        <v>16448</v>
      </c>
      <c r="L11" s="14">
        <v>284287</v>
      </c>
      <c r="M11" s="14">
        <v>13179</v>
      </c>
      <c r="N11" s="14">
        <v>118</v>
      </c>
      <c r="O11" s="14">
        <v>34</v>
      </c>
      <c r="P11" s="14">
        <v>5818657</v>
      </c>
      <c r="Q11" s="14"/>
    </row>
    <row r="12" spans="1:22" x14ac:dyDescent="0.25">
      <c r="A12" s="14">
        <v>2009</v>
      </c>
      <c r="B12" s="14">
        <v>162423</v>
      </c>
      <c r="C12" s="14">
        <v>14311</v>
      </c>
      <c r="D12" s="14">
        <v>70852</v>
      </c>
      <c r="E12" s="14"/>
      <c r="F12" s="14">
        <v>540380</v>
      </c>
      <c r="G12" s="14">
        <v>70852</v>
      </c>
      <c r="H12" s="14">
        <f t="shared" si="2"/>
        <v>773655</v>
      </c>
      <c r="I12" s="14">
        <f t="shared" si="3"/>
        <v>85163</v>
      </c>
      <c r="J12" s="14">
        <v>10622</v>
      </c>
      <c r="K12" s="14">
        <v>17493</v>
      </c>
      <c r="L12" s="14">
        <v>293429</v>
      </c>
      <c r="M12" s="14">
        <v>14678</v>
      </c>
      <c r="N12" s="14">
        <v>125</v>
      </c>
      <c r="O12" s="14">
        <v>36</v>
      </c>
      <c r="P12" s="14">
        <v>6775893</v>
      </c>
      <c r="Q12" s="14"/>
    </row>
    <row r="13" spans="1:22" x14ac:dyDescent="0.25">
      <c r="A13" s="14">
        <v>2010</v>
      </c>
      <c r="B13" s="14">
        <v>168292</v>
      </c>
      <c r="C13" s="14">
        <v>13842</v>
      </c>
      <c r="D13" s="14">
        <v>74968</v>
      </c>
      <c r="E13" s="14">
        <v>4</v>
      </c>
      <c r="F13" s="14">
        <v>627276</v>
      </c>
      <c r="G13" s="14">
        <v>71513</v>
      </c>
      <c r="H13" s="14">
        <f t="shared" si="2"/>
        <v>870536</v>
      </c>
      <c r="I13" s="14">
        <f t="shared" si="3"/>
        <v>85359</v>
      </c>
      <c r="J13" s="14">
        <v>7209</v>
      </c>
      <c r="K13" s="33">
        <v>16375</v>
      </c>
      <c r="L13" s="14">
        <v>300790</v>
      </c>
      <c r="M13" s="14">
        <v>19401</v>
      </c>
      <c r="N13" s="14">
        <v>68</v>
      </c>
      <c r="O13" s="14">
        <v>10</v>
      </c>
      <c r="P13" s="14">
        <v>7636482</v>
      </c>
      <c r="Q13" s="14"/>
    </row>
    <row r="14" spans="1:22" x14ac:dyDescent="0.25">
      <c r="A14" s="14">
        <v>2011</v>
      </c>
      <c r="B14" s="14">
        <v>163185</v>
      </c>
      <c r="C14" s="14">
        <v>14870</v>
      </c>
      <c r="D14" s="14">
        <v>78212</v>
      </c>
      <c r="E14" s="14">
        <v>3</v>
      </c>
      <c r="F14" s="14">
        <v>689990</v>
      </c>
      <c r="G14" s="14">
        <v>68896</v>
      </c>
      <c r="H14" s="14">
        <f t="shared" si="2"/>
        <v>931387</v>
      </c>
      <c r="I14" s="14">
        <f t="shared" si="3"/>
        <v>83769</v>
      </c>
      <c r="J14" s="14">
        <v>7467</v>
      </c>
      <c r="K14" s="14">
        <v>16995</v>
      </c>
      <c r="L14" s="14">
        <v>312050</v>
      </c>
      <c r="M14" s="14">
        <v>22161</v>
      </c>
      <c r="N14" s="14">
        <v>79</v>
      </c>
      <c r="O14" s="14">
        <v>15</v>
      </c>
      <c r="P14" s="14">
        <v>8426228</v>
      </c>
      <c r="Q14" s="14"/>
    </row>
    <row r="15" spans="1:22" x14ac:dyDescent="0.25">
      <c r="A15" s="14">
        <v>2012</v>
      </c>
      <c r="B15" s="14">
        <v>1070433</v>
      </c>
      <c r="C15" s="14">
        <v>86373</v>
      </c>
      <c r="D15" s="14"/>
      <c r="E15" s="14"/>
      <c r="F15" s="14"/>
      <c r="G15" s="14"/>
      <c r="H15" s="14">
        <f t="shared" si="2"/>
        <v>1070433</v>
      </c>
      <c r="I15" s="14">
        <f t="shared" si="3"/>
        <v>86373</v>
      </c>
      <c r="J15" s="14">
        <v>7123</v>
      </c>
      <c r="K15" s="14">
        <v>17837</v>
      </c>
      <c r="L15" s="14">
        <v>346859</v>
      </c>
      <c r="M15" s="14">
        <v>29896</v>
      </c>
      <c r="N15" s="14">
        <v>66</v>
      </c>
      <c r="O15" s="14">
        <v>17</v>
      </c>
      <c r="P15" s="14">
        <v>9626748</v>
      </c>
      <c r="Q15" s="14"/>
    </row>
    <row r="16" spans="1:22" x14ac:dyDescent="0.25">
      <c r="A16" s="14">
        <v>2013</v>
      </c>
      <c r="B16" s="14">
        <v>175654</v>
      </c>
      <c r="C16" s="14">
        <v>15916</v>
      </c>
      <c r="D16" s="14">
        <v>99350</v>
      </c>
      <c r="E16" s="14"/>
      <c r="F16" s="14">
        <v>948634</v>
      </c>
      <c r="G16" s="14">
        <v>70334</v>
      </c>
      <c r="H16" s="14">
        <f t="shared" si="2"/>
        <v>1223638</v>
      </c>
      <c r="I16" s="14">
        <f t="shared" si="3"/>
        <v>86250</v>
      </c>
      <c r="J16" s="14">
        <v>7369</v>
      </c>
      <c r="K16" s="14">
        <v>18059</v>
      </c>
      <c r="L16" s="14">
        <v>381965</v>
      </c>
      <c r="M16" s="14">
        <v>38530</v>
      </c>
      <c r="N16" s="14">
        <v>31</v>
      </c>
      <c r="O16" s="14">
        <v>2</v>
      </c>
      <c r="P16" s="14">
        <v>10668631</v>
      </c>
      <c r="Q16" s="14"/>
    </row>
    <row r="17" spans="1:17" x14ac:dyDescent="0.25">
      <c r="A17" s="14">
        <v>2014</v>
      </c>
      <c r="B17" s="14">
        <v>179465</v>
      </c>
      <c r="C17" s="14">
        <v>17248</v>
      </c>
      <c r="D17" s="14">
        <v>108886</v>
      </c>
      <c r="E17" s="14"/>
      <c r="F17" s="14">
        <v>1103908</v>
      </c>
      <c r="G17" s="14">
        <v>70601</v>
      </c>
      <c r="H17" s="14">
        <f t="shared" si="2"/>
        <v>1392259</v>
      </c>
      <c r="I17" s="14">
        <f t="shared" si="3"/>
        <v>87849</v>
      </c>
      <c r="J17" s="14">
        <v>8088</v>
      </c>
      <c r="K17" s="14">
        <v>18572</v>
      </c>
      <c r="L17" s="14">
        <v>417531</v>
      </c>
      <c r="M17" s="14">
        <v>45635</v>
      </c>
      <c r="N17" s="14">
        <v>43</v>
      </c>
      <c r="O17" s="14">
        <v>8</v>
      </c>
      <c r="P17" s="14">
        <v>11750515</v>
      </c>
      <c r="Q17" s="14"/>
    </row>
    <row r="18" spans="1:17" x14ac:dyDescent="0.25">
      <c r="A18" s="14">
        <v>2015</v>
      </c>
      <c r="B18" s="14">
        <v>183208</v>
      </c>
      <c r="C18" s="14">
        <v>16968</v>
      </c>
      <c r="D18" s="14">
        <v>117203</v>
      </c>
      <c r="E18" s="14">
        <v>1</v>
      </c>
      <c r="F18" s="14">
        <v>1239687</v>
      </c>
      <c r="G18" s="14">
        <v>70904</v>
      </c>
      <c r="H18" s="14">
        <f t="shared" si="2"/>
        <v>1540098</v>
      </c>
      <c r="I18" s="14">
        <f t="shared" si="3"/>
        <v>87873</v>
      </c>
      <c r="J18" s="14">
        <v>8683</v>
      </c>
      <c r="K18" s="14">
        <v>18961</v>
      </c>
      <c r="L18" s="14">
        <v>446946</v>
      </c>
      <c r="M18" s="14">
        <v>51241</v>
      </c>
      <c r="N18" s="14">
        <v>47</v>
      </c>
      <c r="O18" s="14">
        <v>10</v>
      </c>
      <c r="P18" s="14">
        <v>12582944</v>
      </c>
      <c r="Q18" s="14"/>
    </row>
    <row r="19" spans="1:17" x14ac:dyDescent="0.25">
      <c r="A19" s="14">
        <v>2016</v>
      </c>
      <c r="B19" s="14">
        <v>1708905</v>
      </c>
      <c r="C19" s="14">
        <v>85844</v>
      </c>
      <c r="D19" s="14"/>
      <c r="E19" s="14"/>
      <c r="F19" s="14">
        <v>1239693</v>
      </c>
      <c r="G19" s="14">
        <v>70903</v>
      </c>
      <c r="H19" s="14">
        <f t="shared" si="2"/>
        <v>2948598</v>
      </c>
      <c r="I19" s="14">
        <f t="shared" si="3"/>
        <v>156747</v>
      </c>
      <c r="J19" s="14">
        <v>9326</v>
      </c>
      <c r="K19" s="14">
        <v>19890</v>
      </c>
      <c r="L19" s="14">
        <v>480166</v>
      </c>
      <c r="M19" s="14">
        <v>55342</v>
      </c>
      <c r="N19" s="14">
        <v>47</v>
      </c>
      <c r="O19" s="14">
        <v>10</v>
      </c>
      <c r="P19" s="14">
        <v>13725590</v>
      </c>
      <c r="Q19" s="14"/>
    </row>
    <row r="20" spans="1:17" x14ac:dyDescent="0.25">
      <c r="A20" s="14">
        <v>2017</v>
      </c>
      <c r="B20" s="14">
        <v>1861360</v>
      </c>
      <c r="C20" s="14">
        <v>83745</v>
      </c>
      <c r="D20" s="14"/>
      <c r="E20" s="14"/>
      <c r="F20" s="14"/>
      <c r="G20" s="14"/>
      <c r="H20" s="14">
        <f t="shared" si="2"/>
        <v>1861360</v>
      </c>
      <c r="I20" s="14">
        <f t="shared" si="3"/>
        <v>83745</v>
      </c>
      <c r="J20" s="14">
        <v>9977</v>
      </c>
      <c r="K20" s="14">
        <v>20764</v>
      </c>
      <c r="L20" s="14">
        <v>503795</v>
      </c>
      <c r="M20" s="14">
        <v>59361</v>
      </c>
      <c r="N20" s="14">
        <v>53</v>
      </c>
      <c r="O20" s="14">
        <v>10</v>
      </c>
      <c r="P20" s="14">
        <v>14807363</v>
      </c>
      <c r="Q20" s="14"/>
    </row>
    <row r="21" spans="1:17" x14ac:dyDescent="0.25">
      <c r="A21" s="14">
        <v>2018</v>
      </c>
      <c r="B21" s="14">
        <v>1969168</v>
      </c>
      <c r="C21" s="14">
        <v>78434</v>
      </c>
      <c r="D21" s="14"/>
      <c r="E21" s="14"/>
      <c r="F21" s="14"/>
      <c r="G21" s="14"/>
      <c r="H21" s="14">
        <f t="shared" si="2"/>
        <v>1969168</v>
      </c>
      <c r="I21" s="14">
        <f t="shared" si="3"/>
        <v>78434</v>
      </c>
      <c r="J21" s="14">
        <v>9851</v>
      </c>
      <c r="K21" s="14">
        <v>20027</v>
      </c>
      <c r="L21" s="14">
        <v>499594</v>
      </c>
      <c r="M21" s="14">
        <v>62714</v>
      </c>
      <c r="N21" s="14">
        <v>46</v>
      </c>
      <c r="O21" s="14">
        <v>9</v>
      </c>
      <c r="P21" s="14">
        <v>14126095</v>
      </c>
      <c r="Q21" s="14">
        <v>205</v>
      </c>
    </row>
    <row r="22" spans="1:17" x14ac:dyDescent="0.25">
      <c r="A22" s="14">
        <v>2019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25">
      <c r="A23" s="14">
        <v>2020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25">
      <c r="A24" t="s">
        <v>324</v>
      </c>
      <c r="P24">
        <f>(P21/P3)^(1/18)-1</f>
        <v>0.17552908781233945</v>
      </c>
    </row>
    <row r="25" spans="1:17" x14ac:dyDescent="0.25">
      <c r="A25" s="14"/>
      <c r="B25" s="95" t="s">
        <v>317</v>
      </c>
      <c r="C25" s="95"/>
      <c r="D25" s="98" t="s">
        <v>318</v>
      </c>
      <c r="E25" s="98"/>
      <c r="F25" s="98" t="s">
        <v>319</v>
      </c>
      <c r="G25" s="98"/>
      <c r="H25" s="103" t="s">
        <v>314</v>
      </c>
      <c r="I25" s="103"/>
      <c r="J25" s="14" t="s">
        <v>315</v>
      </c>
      <c r="K25" s="2"/>
      <c r="L25" s="68" t="s">
        <v>316</v>
      </c>
      <c r="M25" s="68"/>
      <c r="N25" s="103" t="s">
        <v>164</v>
      </c>
      <c r="O25" s="103"/>
      <c r="P25" s="14" t="s">
        <v>165</v>
      </c>
      <c r="Q25" s="14"/>
    </row>
    <row r="26" spans="1:17" x14ac:dyDescent="0.25">
      <c r="A26" s="95" t="s">
        <v>32</v>
      </c>
      <c r="B26" s="14" t="s">
        <v>159</v>
      </c>
      <c r="C26" s="14" t="s">
        <v>160</v>
      </c>
      <c r="D26" s="14" t="s">
        <v>159</v>
      </c>
      <c r="E26" s="14" t="s">
        <v>160</v>
      </c>
      <c r="F26" s="14" t="s">
        <v>159</v>
      </c>
      <c r="G26" s="14" t="s">
        <v>160</v>
      </c>
      <c r="H26" s="14" t="s">
        <v>159</v>
      </c>
      <c r="I26" s="14" t="s">
        <v>160</v>
      </c>
      <c r="J26" s="14" t="s">
        <v>159</v>
      </c>
      <c r="K26" s="14" t="s">
        <v>160</v>
      </c>
      <c r="L26" s="14" t="s">
        <v>159</v>
      </c>
      <c r="M26" s="14" t="s">
        <v>160</v>
      </c>
      <c r="N26" s="14" t="s">
        <v>159</v>
      </c>
      <c r="O26" s="14" t="s">
        <v>160</v>
      </c>
      <c r="P26" s="14" t="s">
        <v>159</v>
      </c>
      <c r="Q26" s="14" t="s">
        <v>160</v>
      </c>
    </row>
    <row r="27" spans="1:17" x14ac:dyDescent="0.25">
      <c r="A27" s="95"/>
      <c r="B27" s="98" t="s">
        <v>320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1:17" x14ac:dyDescent="0.25">
      <c r="A28" s="14">
        <v>2000</v>
      </c>
      <c r="B28" s="14">
        <f>B3*$S$3</f>
        <v>76129</v>
      </c>
      <c r="C28" s="14">
        <f>C3*$U$3</f>
        <v>3791</v>
      </c>
      <c r="D28" s="14">
        <f>D3*$U$3</f>
        <v>37668</v>
      </c>
      <c r="E28" s="14">
        <f>E3*$U$3</f>
        <v>0</v>
      </c>
      <c r="F28" s="14">
        <f>G3*$U$4</f>
        <v>115659</v>
      </c>
      <c r="G28" s="14">
        <f t="shared" ref="G28" si="4">G3*$U$4</f>
        <v>115659</v>
      </c>
      <c r="H28" s="14">
        <f>B28+D28+F28</f>
        <v>229456</v>
      </c>
      <c r="I28" s="14">
        <f>C28+E28+G28</f>
        <v>119450</v>
      </c>
      <c r="J28" s="14">
        <f>J3*$U$4</f>
        <v>29889</v>
      </c>
      <c r="K28" s="14">
        <f>K3*$U$4</f>
        <v>27729</v>
      </c>
      <c r="L28" s="14">
        <f>L3*$U$5</f>
        <v>401450</v>
      </c>
      <c r="M28" s="14">
        <f>M3*$U$5</f>
        <v>20408.5</v>
      </c>
      <c r="N28" s="14"/>
      <c r="O28" s="14"/>
      <c r="P28" s="14">
        <f>P3*$U$6</f>
        <v>153762.80000000002</v>
      </c>
      <c r="Q28" s="14">
        <f>Q3*$U$6</f>
        <v>0</v>
      </c>
    </row>
    <row r="29" spans="1:17" x14ac:dyDescent="0.25">
      <c r="A29" s="14">
        <v>2001</v>
      </c>
      <c r="B29" s="14">
        <f t="shared" ref="B29:B48" si="5">B4*$S$3</f>
        <v>127760</v>
      </c>
      <c r="C29" s="14">
        <f t="shared" ref="C29:E48" si="6">C4*$U$3</f>
        <v>5706</v>
      </c>
      <c r="D29" s="14">
        <f t="shared" si="6"/>
        <v>48527</v>
      </c>
      <c r="E29" s="14">
        <f t="shared" si="6"/>
        <v>0</v>
      </c>
      <c r="F29" s="14">
        <f>G4*$U$4</f>
        <v>163704</v>
      </c>
      <c r="G29" s="14">
        <f t="shared" ref="G29" si="7">G4*$U$4</f>
        <v>163704</v>
      </c>
      <c r="H29" s="14">
        <f t="shared" ref="H29:H48" si="8">B29+D29+F29</f>
        <v>339991</v>
      </c>
      <c r="I29" s="14">
        <f t="shared" ref="I29:I48" si="9">C29+E29+G29</f>
        <v>169410</v>
      </c>
      <c r="J29" s="14">
        <f t="shared" ref="J29:K48" si="10">J4*$U$4</f>
        <v>27189</v>
      </c>
      <c r="K29" s="14">
        <f t="shared" si="10"/>
        <v>50862</v>
      </c>
      <c r="L29" s="14">
        <f t="shared" ref="L29:M48" si="11">L4*$U$5</f>
        <v>544509</v>
      </c>
      <c r="M29" s="14">
        <f t="shared" si="11"/>
        <v>31402</v>
      </c>
      <c r="N29" s="14"/>
      <c r="O29" s="14"/>
      <c r="P29" s="14">
        <f t="shared" ref="P29:Q48" si="12">P4*$U$6</f>
        <v>16428.8</v>
      </c>
      <c r="Q29" s="14">
        <f t="shared" si="12"/>
        <v>0</v>
      </c>
    </row>
    <row r="30" spans="1:17" x14ac:dyDescent="0.25">
      <c r="A30" s="14">
        <v>2002</v>
      </c>
      <c r="B30" s="14">
        <f t="shared" si="5"/>
        <v>108869</v>
      </c>
      <c r="C30" s="14">
        <f t="shared" si="6"/>
        <v>6767</v>
      </c>
      <c r="D30" s="14">
        <f t="shared" si="6"/>
        <v>48466</v>
      </c>
      <c r="E30" s="14">
        <f t="shared" si="6"/>
        <v>0</v>
      </c>
      <c r="F30" s="14">
        <f>G5*$U$4</f>
        <v>160599</v>
      </c>
      <c r="G30" s="14">
        <f t="shared" ref="G30" si="13">G5*$U$4</f>
        <v>160599</v>
      </c>
      <c r="H30" s="14">
        <f t="shared" si="8"/>
        <v>317934</v>
      </c>
      <c r="I30" s="14">
        <f t="shared" si="9"/>
        <v>167366</v>
      </c>
      <c r="J30" s="14">
        <f t="shared" si="10"/>
        <v>27354</v>
      </c>
      <c r="K30" s="14">
        <f t="shared" si="10"/>
        <v>40398</v>
      </c>
      <c r="L30" s="14">
        <f t="shared" si="11"/>
        <v>750347.5</v>
      </c>
      <c r="M30" s="14">
        <f t="shared" si="11"/>
        <v>29865.5</v>
      </c>
      <c r="N30" s="14"/>
      <c r="O30" s="14"/>
      <c r="P30" s="14">
        <f t="shared" si="12"/>
        <v>287901.2</v>
      </c>
      <c r="Q30" s="14">
        <f t="shared" si="12"/>
        <v>0</v>
      </c>
    </row>
    <row r="31" spans="1:17" x14ac:dyDescent="0.25">
      <c r="A31" s="14">
        <v>2003</v>
      </c>
      <c r="B31" s="14">
        <f t="shared" si="5"/>
        <v>4520</v>
      </c>
      <c r="C31" s="14">
        <f t="shared" si="6"/>
        <v>46</v>
      </c>
      <c r="D31" s="14">
        <f t="shared" si="6"/>
        <v>1596</v>
      </c>
      <c r="E31" s="14">
        <f t="shared" si="6"/>
        <v>0</v>
      </c>
      <c r="F31" s="14">
        <f t="shared" ref="F31:G48" si="14">F6*$U$4</f>
        <v>67170</v>
      </c>
      <c r="G31" s="14">
        <f t="shared" si="14"/>
        <v>1377</v>
      </c>
      <c r="H31" s="14">
        <f t="shared" si="8"/>
        <v>73286</v>
      </c>
      <c r="I31" s="14">
        <f t="shared" si="9"/>
        <v>1423</v>
      </c>
      <c r="J31" s="14">
        <f t="shared" si="10"/>
        <v>1215</v>
      </c>
      <c r="K31" s="14">
        <f t="shared" si="10"/>
        <v>3561</v>
      </c>
      <c r="L31" s="14">
        <f t="shared" si="11"/>
        <v>65306.5</v>
      </c>
      <c r="M31" s="14">
        <f t="shared" si="11"/>
        <v>770</v>
      </c>
      <c r="N31" s="14"/>
      <c r="O31" s="14"/>
      <c r="P31" s="14">
        <f t="shared" si="12"/>
        <v>96535.8</v>
      </c>
      <c r="Q31" s="14">
        <f t="shared" si="12"/>
        <v>0</v>
      </c>
    </row>
    <row r="32" spans="1:17" x14ac:dyDescent="0.25">
      <c r="A32" s="14">
        <v>2004</v>
      </c>
      <c r="B32" s="14">
        <f t="shared" si="5"/>
        <v>127286</v>
      </c>
      <c r="C32" s="14">
        <f t="shared" si="6"/>
        <v>8132</v>
      </c>
      <c r="D32" s="14">
        <f t="shared" si="6"/>
        <v>54674</v>
      </c>
      <c r="E32" s="14">
        <f t="shared" si="6"/>
        <v>0</v>
      </c>
      <c r="F32" s="14">
        <f t="shared" si="14"/>
        <v>997779</v>
      </c>
      <c r="G32" s="14">
        <f t="shared" si="14"/>
        <v>26763</v>
      </c>
      <c r="H32" s="14">
        <f t="shared" si="8"/>
        <v>1179739</v>
      </c>
      <c r="I32" s="14">
        <f t="shared" si="9"/>
        <v>34895</v>
      </c>
      <c r="J32" s="14">
        <f t="shared" si="10"/>
        <v>29559</v>
      </c>
      <c r="K32" s="14">
        <f t="shared" si="10"/>
        <v>51699</v>
      </c>
      <c r="L32" s="14">
        <f t="shared" si="11"/>
        <v>800352</v>
      </c>
      <c r="M32" s="14">
        <f t="shared" si="11"/>
        <v>46567.5</v>
      </c>
      <c r="N32" s="14"/>
      <c r="O32" s="14"/>
      <c r="P32" s="14">
        <f t="shared" si="12"/>
        <v>566932.4</v>
      </c>
      <c r="Q32" s="14">
        <f t="shared" si="12"/>
        <v>0</v>
      </c>
    </row>
    <row r="33" spans="1:17" x14ac:dyDescent="0.25">
      <c r="A33" s="14">
        <v>2005</v>
      </c>
      <c r="B33" s="14">
        <f t="shared" si="5"/>
        <v>136255</v>
      </c>
      <c r="C33" s="14">
        <f t="shared" si="6"/>
        <v>10823</v>
      </c>
      <c r="D33" s="14">
        <f t="shared" si="6"/>
        <v>63250</v>
      </c>
      <c r="E33" s="14">
        <f t="shared" si="6"/>
        <v>0</v>
      </c>
      <c r="F33" s="14">
        <f t="shared" si="14"/>
        <v>1034358</v>
      </c>
      <c r="G33" s="14">
        <f t="shared" si="14"/>
        <v>262029</v>
      </c>
      <c r="H33" s="14">
        <f t="shared" si="8"/>
        <v>1233863</v>
      </c>
      <c r="I33" s="14">
        <f t="shared" si="9"/>
        <v>272852</v>
      </c>
      <c r="J33" s="14">
        <f t="shared" si="10"/>
        <v>30705</v>
      </c>
      <c r="K33" s="14">
        <f t="shared" si="10"/>
        <v>52563</v>
      </c>
      <c r="L33" s="14">
        <f t="shared" si="11"/>
        <v>879067</v>
      </c>
      <c r="M33" s="14">
        <f t="shared" si="11"/>
        <v>60578</v>
      </c>
      <c r="N33" s="14"/>
      <c r="O33" s="14"/>
      <c r="P33" s="14">
        <f t="shared" si="12"/>
        <v>687651.60000000009</v>
      </c>
      <c r="Q33" s="14">
        <f t="shared" si="12"/>
        <v>0</v>
      </c>
    </row>
    <row r="34" spans="1:17" x14ac:dyDescent="0.25">
      <c r="A34" s="14">
        <v>2006</v>
      </c>
      <c r="B34" s="14">
        <f t="shared" si="5"/>
        <v>121966</v>
      </c>
      <c r="C34" s="14">
        <f t="shared" si="6"/>
        <v>7719</v>
      </c>
      <c r="D34" s="14">
        <f t="shared" si="6"/>
        <v>52613</v>
      </c>
      <c r="E34" s="14">
        <f t="shared" si="6"/>
        <v>0</v>
      </c>
      <c r="F34" s="14">
        <f t="shared" si="14"/>
        <v>1117371</v>
      </c>
      <c r="G34" s="14">
        <f t="shared" si="14"/>
        <v>187752</v>
      </c>
      <c r="H34" s="14">
        <f t="shared" si="8"/>
        <v>1291950</v>
      </c>
      <c r="I34" s="14">
        <f t="shared" si="9"/>
        <v>195471</v>
      </c>
      <c r="J34" s="14">
        <f t="shared" si="10"/>
        <v>21633</v>
      </c>
      <c r="K34" s="14">
        <f t="shared" si="10"/>
        <v>37089</v>
      </c>
      <c r="L34" s="14">
        <f t="shared" si="11"/>
        <v>31542</v>
      </c>
      <c r="M34" s="14">
        <f t="shared" si="11"/>
        <v>757232</v>
      </c>
      <c r="N34" s="14"/>
      <c r="O34" s="14"/>
      <c r="P34" s="14">
        <f t="shared" si="12"/>
        <v>648831.20000000007</v>
      </c>
      <c r="Q34" s="14">
        <f t="shared" si="12"/>
        <v>0</v>
      </c>
    </row>
    <row r="35" spans="1:17" x14ac:dyDescent="0.25">
      <c r="A35" s="14">
        <v>2007</v>
      </c>
      <c r="B35" s="14">
        <f t="shared" si="5"/>
        <v>157688</v>
      </c>
      <c r="C35" s="14">
        <f t="shared" si="6"/>
        <v>12510</v>
      </c>
      <c r="D35" s="14">
        <f t="shared" si="6"/>
        <v>66132</v>
      </c>
      <c r="E35" s="14">
        <f t="shared" si="6"/>
        <v>0</v>
      </c>
      <c r="F35" s="14">
        <f t="shared" si="14"/>
        <v>1383246</v>
      </c>
      <c r="G35" s="14">
        <f t="shared" si="14"/>
        <v>277548</v>
      </c>
      <c r="H35" s="14">
        <f t="shared" si="8"/>
        <v>1607066</v>
      </c>
      <c r="I35" s="14">
        <f t="shared" si="9"/>
        <v>290058</v>
      </c>
      <c r="J35" s="14">
        <f t="shared" si="10"/>
        <v>34668</v>
      </c>
      <c r="K35" s="14">
        <f t="shared" si="10"/>
        <v>54858</v>
      </c>
      <c r="L35" s="14">
        <f t="shared" si="11"/>
        <v>980045.5</v>
      </c>
      <c r="M35" s="14">
        <f t="shared" si="11"/>
        <v>41790</v>
      </c>
      <c r="N35" s="14"/>
      <c r="O35" s="14"/>
      <c r="P35" s="14">
        <f t="shared" si="12"/>
        <v>1033612.2000000001</v>
      </c>
      <c r="Q35" s="14">
        <f t="shared" si="12"/>
        <v>0</v>
      </c>
    </row>
    <row r="36" spans="1:17" x14ac:dyDescent="0.25">
      <c r="A36" s="14">
        <v>2008</v>
      </c>
      <c r="B36" s="14">
        <f t="shared" si="5"/>
        <v>156482</v>
      </c>
      <c r="C36" s="14">
        <f t="shared" si="6"/>
        <v>13594</v>
      </c>
      <c r="D36" s="14">
        <f t="shared" si="6"/>
        <v>68344</v>
      </c>
      <c r="E36" s="14">
        <f t="shared" si="6"/>
        <v>0</v>
      </c>
      <c r="F36" s="14">
        <f t="shared" si="14"/>
        <v>1490571</v>
      </c>
      <c r="G36" s="14">
        <f t="shared" si="14"/>
        <v>266541</v>
      </c>
      <c r="H36" s="14">
        <f t="shared" si="8"/>
        <v>1715397</v>
      </c>
      <c r="I36" s="14">
        <f t="shared" si="9"/>
        <v>280135</v>
      </c>
      <c r="J36" s="14">
        <f t="shared" si="10"/>
        <v>31356</v>
      </c>
      <c r="K36" s="14">
        <f t="shared" si="10"/>
        <v>49344</v>
      </c>
      <c r="L36" s="14">
        <f t="shared" si="11"/>
        <v>995004.5</v>
      </c>
      <c r="M36" s="14">
        <f t="shared" si="11"/>
        <v>46126.5</v>
      </c>
      <c r="N36" s="14"/>
      <c r="O36" s="14"/>
      <c r="P36" s="14">
        <f t="shared" si="12"/>
        <v>1163731.4000000001</v>
      </c>
      <c r="Q36" s="14">
        <f t="shared" si="12"/>
        <v>0</v>
      </c>
    </row>
    <row r="37" spans="1:17" x14ac:dyDescent="0.25">
      <c r="A37" s="14">
        <v>2009</v>
      </c>
      <c r="B37" s="14">
        <f t="shared" si="5"/>
        <v>162423</v>
      </c>
      <c r="C37" s="14">
        <f t="shared" si="6"/>
        <v>14311</v>
      </c>
      <c r="D37" s="14">
        <f t="shared" si="6"/>
        <v>70852</v>
      </c>
      <c r="E37" s="14">
        <f t="shared" si="6"/>
        <v>0</v>
      </c>
      <c r="F37" s="14">
        <f t="shared" si="14"/>
        <v>1621140</v>
      </c>
      <c r="G37" s="14">
        <f t="shared" si="14"/>
        <v>212556</v>
      </c>
      <c r="H37" s="14">
        <f t="shared" si="8"/>
        <v>1854415</v>
      </c>
      <c r="I37" s="14">
        <f t="shared" si="9"/>
        <v>226867</v>
      </c>
      <c r="J37" s="14">
        <f t="shared" si="10"/>
        <v>31866</v>
      </c>
      <c r="K37" s="14">
        <f t="shared" si="10"/>
        <v>52479</v>
      </c>
      <c r="L37" s="14">
        <f t="shared" si="11"/>
        <v>1027001.5</v>
      </c>
      <c r="M37" s="14">
        <f t="shared" si="11"/>
        <v>51373</v>
      </c>
      <c r="N37" s="14"/>
      <c r="O37" s="14"/>
      <c r="P37" s="14">
        <f t="shared" si="12"/>
        <v>1355178.6</v>
      </c>
      <c r="Q37" s="14">
        <f t="shared" si="12"/>
        <v>0</v>
      </c>
    </row>
    <row r="38" spans="1:17" x14ac:dyDescent="0.25">
      <c r="A38" s="14">
        <v>2010</v>
      </c>
      <c r="B38" s="14">
        <f t="shared" si="5"/>
        <v>168292</v>
      </c>
      <c r="C38" s="14">
        <f t="shared" si="6"/>
        <v>13842</v>
      </c>
      <c r="D38" s="14">
        <f t="shared" si="6"/>
        <v>74968</v>
      </c>
      <c r="E38" s="14">
        <f t="shared" si="6"/>
        <v>4</v>
      </c>
      <c r="F38" s="14">
        <f t="shared" si="14"/>
        <v>1881828</v>
      </c>
      <c r="G38" s="14">
        <f t="shared" si="14"/>
        <v>214539</v>
      </c>
      <c r="H38" s="14">
        <f t="shared" si="8"/>
        <v>2125088</v>
      </c>
      <c r="I38" s="14">
        <f t="shared" si="9"/>
        <v>228385</v>
      </c>
      <c r="J38" s="14">
        <f t="shared" si="10"/>
        <v>21627</v>
      </c>
      <c r="K38" s="14">
        <f t="shared" si="10"/>
        <v>49125</v>
      </c>
      <c r="L38" s="14">
        <f t="shared" si="11"/>
        <v>1052765</v>
      </c>
      <c r="M38" s="14">
        <f t="shared" si="11"/>
        <v>67903.5</v>
      </c>
      <c r="N38" s="14"/>
      <c r="O38" s="14"/>
      <c r="P38" s="14">
        <f t="shared" si="12"/>
        <v>1527296.4000000001</v>
      </c>
      <c r="Q38" s="14">
        <f t="shared" si="12"/>
        <v>0</v>
      </c>
    </row>
    <row r="39" spans="1:17" x14ac:dyDescent="0.25">
      <c r="A39" s="14">
        <v>2011</v>
      </c>
      <c r="B39" s="14">
        <f t="shared" si="5"/>
        <v>163185</v>
      </c>
      <c r="C39" s="14">
        <f t="shared" si="6"/>
        <v>14870</v>
      </c>
      <c r="D39" s="14">
        <f t="shared" si="6"/>
        <v>78212</v>
      </c>
      <c r="E39" s="14">
        <f t="shared" si="6"/>
        <v>3</v>
      </c>
      <c r="F39" s="14">
        <f t="shared" si="14"/>
        <v>2069970</v>
      </c>
      <c r="G39" s="14">
        <f t="shared" si="14"/>
        <v>206688</v>
      </c>
      <c r="H39" s="14">
        <f t="shared" si="8"/>
        <v>2311367</v>
      </c>
      <c r="I39" s="14">
        <f t="shared" si="9"/>
        <v>221561</v>
      </c>
      <c r="J39" s="14">
        <f t="shared" si="10"/>
        <v>22401</v>
      </c>
      <c r="K39" s="14">
        <f t="shared" si="10"/>
        <v>50985</v>
      </c>
      <c r="L39" s="14">
        <f t="shared" si="11"/>
        <v>1092175</v>
      </c>
      <c r="M39" s="14">
        <f t="shared" si="11"/>
        <v>77563.5</v>
      </c>
      <c r="N39" s="14"/>
      <c r="O39" s="14"/>
      <c r="P39" s="14">
        <f t="shared" si="12"/>
        <v>1685245.6</v>
      </c>
      <c r="Q39" s="14">
        <f t="shared" si="12"/>
        <v>0</v>
      </c>
    </row>
    <row r="40" spans="1:17" x14ac:dyDescent="0.25">
      <c r="A40" s="14">
        <v>2012</v>
      </c>
      <c r="B40" s="14">
        <f t="shared" si="5"/>
        <v>1070433</v>
      </c>
      <c r="C40" s="14">
        <f t="shared" si="6"/>
        <v>86373</v>
      </c>
      <c r="D40" s="14">
        <f t="shared" si="6"/>
        <v>0</v>
      </c>
      <c r="E40" s="14">
        <f t="shared" si="6"/>
        <v>0</v>
      </c>
      <c r="F40" s="14">
        <f t="shared" si="14"/>
        <v>0</v>
      </c>
      <c r="G40" s="14">
        <f t="shared" si="14"/>
        <v>0</v>
      </c>
      <c r="H40" s="14">
        <f t="shared" si="8"/>
        <v>1070433</v>
      </c>
      <c r="I40" s="14">
        <f t="shared" si="9"/>
        <v>86373</v>
      </c>
      <c r="J40" s="14">
        <f t="shared" si="10"/>
        <v>21369</v>
      </c>
      <c r="K40" s="14">
        <f t="shared" si="10"/>
        <v>53511</v>
      </c>
      <c r="L40" s="14">
        <f t="shared" si="11"/>
        <v>1214006.5</v>
      </c>
      <c r="M40" s="14">
        <f t="shared" si="11"/>
        <v>104636</v>
      </c>
      <c r="N40" s="14"/>
      <c r="O40" s="14"/>
      <c r="P40" s="14">
        <f t="shared" si="12"/>
        <v>1925349.6</v>
      </c>
      <c r="Q40" s="14">
        <f t="shared" si="12"/>
        <v>0</v>
      </c>
    </row>
    <row r="41" spans="1:17" x14ac:dyDescent="0.25">
      <c r="A41" s="14">
        <v>2013</v>
      </c>
      <c r="B41" s="14">
        <f t="shared" si="5"/>
        <v>175654</v>
      </c>
      <c r="C41" s="14">
        <f t="shared" si="6"/>
        <v>15916</v>
      </c>
      <c r="D41" s="14">
        <f t="shared" si="6"/>
        <v>99350</v>
      </c>
      <c r="E41" s="14">
        <f t="shared" si="6"/>
        <v>0</v>
      </c>
      <c r="F41" s="14">
        <f t="shared" si="14"/>
        <v>2845902</v>
      </c>
      <c r="G41" s="14">
        <f t="shared" si="14"/>
        <v>211002</v>
      </c>
      <c r="H41" s="14">
        <f t="shared" si="8"/>
        <v>3120906</v>
      </c>
      <c r="I41" s="14">
        <f t="shared" si="9"/>
        <v>226918</v>
      </c>
      <c r="J41" s="14">
        <f t="shared" si="10"/>
        <v>22107</v>
      </c>
      <c r="K41" s="14">
        <f t="shared" si="10"/>
        <v>54177</v>
      </c>
      <c r="L41" s="14">
        <f t="shared" si="11"/>
        <v>1336877.5</v>
      </c>
      <c r="M41" s="14">
        <f t="shared" si="11"/>
        <v>134855</v>
      </c>
      <c r="N41" s="14"/>
      <c r="O41" s="14"/>
      <c r="P41" s="14">
        <f t="shared" si="12"/>
        <v>2133726.2000000002</v>
      </c>
      <c r="Q41" s="14">
        <f t="shared" si="12"/>
        <v>0</v>
      </c>
    </row>
    <row r="42" spans="1:17" x14ac:dyDescent="0.25">
      <c r="A42" s="14">
        <v>2014</v>
      </c>
      <c r="B42" s="14">
        <f t="shared" si="5"/>
        <v>179465</v>
      </c>
      <c r="C42" s="14">
        <f t="shared" si="6"/>
        <v>17248</v>
      </c>
      <c r="D42" s="14">
        <f t="shared" si="6"/>
        <v>108886</v>
      </c>
      <c r="E42" s="14">
        <f t="shared" si="6"/>
        <v>0</v>
      </c>
      <c r="F42" s="14">
        <f t="shared" si="14"/>
        <v>3311724</v>
      </c>
      <c r="G42" s="14">
        <f t="shared" si="14"/>
        <v>211803</v>
      </c>
      <c r="H42" s="14">
        <f t="shared" si="8"/>
        <v>3600075</v>
      </c>
      <c r="I42" s="14">
        <f t="shared" si="9"/>
        <v>229051</v>
      </c>
      <c r="J42" s="14">
        <f t="shared" si="10"/>
        <v>24264</v>
      </c>
      <c r="K42" s="14">
        <f t="shared" si="10"/>
        <v>55716</v>
      </c>
      <c r="L42" s="14">
        <f t="shared" si="11"/>
        <v>1461358.5</v>
      </c>
      <c r="M42" s="14">
        <f t="shared" si="11"/>
        <v>159722.5</v>
      </c>
      <c r="N42" s="14"/>
      <c r="O42" s="14"/>
      <c r="P42" s="14">
        <f t="shared" si="12"/>
        <v>2350103</v>
      </c>
      <c r="Q42" s="14">
        <f t="shared" si="12"/>
        <v>0</v>
      </c>
    </row>
    <row r="43" spans="1:17" x14ac:dyDescent="0.25">
      <c r="A43" s="14">
        <v>2015</v>
      </c>
      <c r="B43" s="14">
        <f t="shared" si="5"/>
        <v>183208</v>
      </c>
      <c r="C43" s="14">
        <f t="shared" si="6"/>
        <v>16968</v>
      </c>
      <c r="D43" s="14">
        <f t="shared" si="6"/>
        <v>117203</v>
      </c>
      <c r="E43" s="14">
        <f t="shared" si="6"/>
        <v>1</v>
      </c>
      <c r="F43" s="14">
        <f t="shared" si="14"/>
        <v>3719061</v>
      </c>
      <c r="G43" s="14">
        <f t="shared" si="14"/>
        <v>212712</v>
      </c>
      <c r="H43" s="14">
        <f t="shared" si="8"/>
        <v>4019472</v>
      </c>
      <c r="I43" s="14">
        <f t="shared" si="9"/>
        <v>229681</v>
      </c>
      <c r="J43" s="14">
        <f t="shared" si="10"/>
        <v>26049</v>
      </c>
      <c r="K43" s="14">
        <f t="shared" si="10"/>
        <v>56883</v>
      </c>
      <c r="L43" s="14">
        <f t="shared" si="11"/>
        <v>1564311</v>
      </c>
      <c r="M43" s="14">
        <f t="shared" si="11"/>
        <v>179343.5</v>
      </c>
      <c r="N43" s="14"/>
      <c r="O43" s="14"/>
      <c r="P43" s="14">
        <f t="shared" si="12"/>
        <v>2516588.8000000003</v>
      </c>
      <c r="Q43" s="14">
        <f t="shared" si="12"/>
        <v>0</v>
      </c>
    </row>
    <row r="44" spans="1:17" x14ac:dyDescent="0.25">
      <c r="A44" s="14">
        <v>2016</v>
      </c>
      <c r="B44" s="14">
        <f t="shared" si="5"/>
        <v>1708905</v>
      </c>
      <c r="C44" s="14">
        <f t="shared" si="6"/>
        <v>85844</v>
      </c>
      <c r="D44" s="14">
        <f t="shared" si="6"/>
        <v>0</v>
      </c>
      <c r="E44" s="14">
        <f t="shared" si="6"/>
        <v>0</v>
      </c>
      <c r="F44" s="14">
        <f t="shared" si="14"/>
        <v>3719079</v>
      </c>
      <c r="G44" s="14">
        <f t="shared" si="14"/>
        <v>212709</v>
      </c>
      <c r="H44" s="14">
        <f t="shared" si="8"/>
        <v>5427984</v>
      </c>
      <c r="I44" s="14">
        <f t="shared" si="9"/>
        <v>298553</v>
      </c>
      <c r="J44" s="14">
        <f t="shared" si="10"/>
        <v>27978</v>
      </c>
      <c r="K44" s="14">
        <f t="shared" si="10"/>
        <v>59670</v>
      </c>
      <c r="L44" s="14">
        <f t="shared" si="11"/>
        <v>1680581</v>
      </c>
      <c r="M44" s="14">
        <f t="shared" si="11"/>
        <v>193697</v>
      </c>
      <c r="N44" s="14"/>
      <c r="O44" s="14"/>
      <c r="P44" s="14">
        <f t="shared" si="12"/>
        <v>2745118</v>
      </c>
      <c r="Q44" s="14">
        <f t="shared" si="12"/>
        <v>0</v>
      </c>
    </row>
    <row r="45" spans="1:17" x14ac:dyDescent="0.25">
      <c r="A45" s="14">
        <v>2017</v>
      </c>
      <c r="B45" s="14">
        <f t="shared" si="5"/>
        <v>1861360</v>
      </c>
      <c r="C45" s="14">
        <f t="shared" si="6"/>
        <v>83745</v>
      </c>
      <c r="D45" s="14">
        <f t="shared" si="6"/>
        <v>0</v>
      </c>
      <c r="E45" s="14">
        <f t="shared" si="6"/>
        <v>0</v>
      </c>
      <c r="F45" s="14">
        <f t="shared" si="14"/>
        <v>0</v>
      </c>
      <c r="G45" s="14">
        <f t="shared" si="14"/>
        <v>0</v>
      </c>
      <c r="H45" s="14">
        <f t="shared" si="8"/>
        <v>1861360</v>
      </c>
      <c r="I45" s="14">
        <f t="shared" si="9"/>
        <v>83745</v>
      </c>
      <c r="J45" s="14">
        <f t="shared" si="10"/>
        <v>29931</v>
      </c>
      <c r="K45" s="14">
        <f t="shared" si="10"/>
        <v>62292</v>
      </c>
      <c r="L45" s="14">
        <f t="shared" si="11"/>
        <v>1763282.5</v>
      </c>
      <c r="M45" s="14">
        <f t="shared" si="11"/>
        <v>207763.5</v>
      </c>
      <c r="N45" s="14"/>
      <c r="O45" s="14"/>
      <c r="P45" s="14">
        <f t="shared" si="12"/>
        <v>2961472.6</v>
      </c>
      <c r="Q45" s="14">
        <f t="shared" si="12"/>
        <v>0</v>
      </c>
    </row>
    <row r="46" spans="1:17" x14ac:dyDescent="0.25">
      <c r="A46" s="14">
        <v>2018</v>
      </c>
      <c r="B46" s="14">
        <f t="shared" si="5"/>
        <v>1969168</v>
      </c>
      <c r="C46" s="14">
        <f t="shared" si="6"/>
        <v>78434</v>
      </c>
      <c r="D46" s="14">
        <f t="shared" si="6"/>
        <v>0</v>
      </c>
      <c r="E46" s="14">
        <f t="shared" si="6"/>
        <v>0</v>
      </c>
      <c r="F46" s="14">
        <f t="shared" si="14"/>
        <v>0</v>
      </c>
      <c r="G46" s="14">
        <f t="shared" si="14"/>
        <v>0</v>
      </c>
      <c r="H46" s="14">
        <f t="shared" si="8"/>
        <v>1969168</v>
      </c>
      <c r="I46" s="14">
        <f t="shared" si="9"/>
        <v>78434</v>
      </c>
      <c r="J46" s="14">
        <f t="shared" si="10"/>
        <v>29553</v>
      </c>
      <c r="K46" s="14">
        <f t="shared" si="10"/>
        <v>60081</v>
      </c>
      <c r="L46" s="14">
        <f t="shared" si="11"/>
        <v>1748579</v>
      </c>
      <c r="M46" s="14">
        <f t="shared" si="11"/>
        <v>219499</v>
      </c>
      <c r="N46" s="14"/>
      <c r="O46" s="14"/>
      <c r="P46" s="14">
        <f t="shared" si="12"/>
        <v>2825219</v>
      </c>
      <c r="Q46" s="14">
        <f t="shared" si="12"/>
        <v>41</v>
      </c>
    </row>
    <row r="47" spans="1:17" x14ac:dyDescent="0.25">
      <c r="A47" s="14">
        <v>2019</v>
      </c>
      <c r="B47" s="14">
        <f t="shared" si="5"/>
        <v>0</v>
      </c>
      <c r="C47" s="14">
        <f t="shared" si="6"/>
        <v>0</v>
      </c>
      <c r="D47" s="14">
        <f t="shared" si="6"/>
        <v>0</v>
      </c>
      <c r="E47" s="14">
        <f t="shared" si="6"/>
        <v>0</v>
      </c>
      <c r="F47" s="14">
        <f t="shared" si="14"/>
        <v>0</v>
      </c>
      <c r="G47" s="14">
        <f t="shared" si="14"/>
        <v>0</v>
      </c>
      <c r="H47" s="14">
        <f t="shared" si="8"/>
        <v>0</v>
      </c>
      <c r="I47" s="14">
        <f t="shared" si="9"/>
        <v>0</v>
      </c>
      <c r="J47" s="14">
        <f t="shared" si="10"/>
        <v>0</v>
      </c>
      <c r="K47" s="14">
        <f t="shared" si="10"/>
        <v>0</v>
      </c>
      <c r="L47" s="14">
        <f t="shared" si="11"/>
        <v>0</v>
      </c>
      <c r="M47" s="14">
        <f t="shared" si="11"/>
        <v>0</v>
      </c>
      <c r="N47" s="14"/>
      <c r="O47" s="14"/>
      <c r="P47" s="14">
        <f t="shared" si="12"/>
        <v>0</v>
      </c>
      <c r="Q47" s="14">
        <f t="shared" si="12"/>
        <v>0</v>
      </c>
    </row>
    <row r="48" spans="1:17" x14ac:dyDescent="0.25">
      <c r="A48" s="14">
        <v>2020</v>
      </c>
      <c r="B48" s="14">
        <f t="shared" si="5"/>
        <v>0</v>
      </c>
      <c r="C48" s="14">
        <f t="shared" si="6"/>
        <v>0</v>
      </c>
      <c r="D48" s="14">
        <f t="shared" si="6"/>
        <v>0</v>
      </c>
      <c r="E48" s="14">
        <f t="shared" si="6"/>
        <v>0</v>
      </c>
      <c r="F48" s="14">
        <f t="shared" si="14"/>
        <v>0</v>
      </c>
      <c r="G48" s="14">
        <f t="shared" si="14"/>
        <v>0</v>
      </c>
      <c r="H48" s="14">
        <f t="shared" si="8"/>
        <v>0</v>
      </c>
      <c r="I48" s="14">
        <f t="shared" si="9"/>
        <v>0</v>
      </c>
      <c r="J48" s="14">
        <f t="shared" si="10"/>
        <v>0</v>
      </c>
      <c r="K48" s="14">
        <f t="shared" si="10"/>
        <v>0</v>
      </c>
      <c r="L48" s="14">
        <f t="shared" si="11"/>
        <v>0</v>
      </c>
      <c r="M48" s="14">
        <f t="shared" si="11"/>
        <v>0</v>
      </c>
      <c r="N48" s="14"/>
      <c r="O48" s="14"/>
      <c r="P48" s="14">
        <f t="shared" si="12"/>
        <v>0</v>
      </c>
      <c r="Q48" s="14">
        <f t="shared" si="12"/>
        <v>0</v>
      </c>
    </row>
    <row r="52" spans="1:6" ht="27.75" customHeight="1" x14ac:dyDescent="0.25">
      <c r="A52" s="95" t="s">
        <v>32</v>
      </c>
      <c r="B52" s="103" t="s">
        <v>321</v>
      </c>
      <c r="C52" s="103"/>
      <c r="E52" t="s">
        <v>323</v>
      </c>
    </row>
    <row r="53" spans="1:6" x14ac:dyDescent="0.25">
      <c r="A53" s="95"/>
      <c r="B53" s="14" t="s">
        <v>159</v>
      </c>
      <c r="C53" s="14" t="s">
        <v>160</v>
      </c>
      <c r="E53" t="s">
        <v>159</v>
      </c>
      <c r="F53" t="s">
        <v>160</v>
      </c>
    </row>
    <row r="54" spans="1:6" x14ac:dyDescent="0.25">
      <c r="A54" s="14">
        <v>2000</v>
      </c>
      <c r="B54" s="52">
        <f>ROUND(H28+J28+L28+P28,0)</f>
        <v>814558</v>
      </c>
      <c r="C54" s="52">
        <f>ROUND(I28+K28+M28+Q28,0)</f>
        <v>167588</v>
      </c>
      <c r="E54" s="13">
        <f>B54/Penduduk!C3</f>
        <v>2.2801758384466145E-2</v>
      </c>
      <c r="F54" s="13">
        <f>C54/Penduduk!C3</f>
        <v>4.691257202232269E-3</v>
      </c>
    </row>
    <row r="55" spans="1:6" x14ac:dyDescent="0.25">
      <c r="A55" s="14">
        <v>2001</v>
      </c>
      <c r="B55" s="52">
        <f t="shared" ref="B55:B72" si="15">ROUND(H29+J29+L29+P29,0)</f>
        <v>928118</v>
      </c>
      <c r="C55" s="52">
        <f t="shared" ref="C55:C74" si="16">ROUND(I29+K29+M29+Q29,0)</f>
        <v>251674</v>
      </c>
      <c r="E55" s="13">
        <f>B55/Penduduk!C4</f>
        <v>2.5433999026393882E-2</v>
      </c>
      <c r="F55" s="13">
        <f>C55/Penduduk!C4</f>
        <v>6.8968345307047745E-3</v>
      </c>
    </row>
    <row r="56" spans="1:6" x14ac:dyDescent="0.25">
      <c r="A56" s="14">
        <v>2002</v>
      </c>
      <c r="B56" s="52">
        <f t="shared" si="15"/>
        <v>1383537</v>
      </c>
      <c r="C56" s="52">
        <f t="shared" si="16"/>
        <v>237630</v>
      </c>
      <c r="E56" s="13">
        <f>B56/Penduduk!C5</f>
        <v>3.7207290819174094E-2</v>
      </c>
      <c r="F56" s="13">
        <f>C56/Penduduk!C5</f>
        <v>6.3905544393538733E-3</v>
      </c>
    </row>
    <row r="57" spans="1:6" x14ac:dyDescent="0.25">
      <c r="A57" s="14">
        <v>2003</v>
      </c>
      <c r="B57" s="52">
        <f t="shared" si="15"/>
        <v>236343</v>
      </c>
      <c r="C57" s="52">
        <f t="shared" si="16"/>
        <v>5754</v>
      </c>
      <c r="E57" s="13">
        <f>B57/Penduduk!C6</f>
        <v>6.2374320964016421E-3</v>
      </c>
      <c r="F57" s="13">
        <f>C57/Penduduk!C6</f>
        <v>1.5185634557695829E-4</v>
      </c>
    </row>
    <row r="58" spans="1:6" x14ac:dyDescent="0.25">
      <c r="A58" s="14">
        <v>2004</v>
      </c>
      <c r="B58" s="52">
        <f t="shared" si="15"/>
        <v>2576582</v>
      </c>
      <c r="C58" s="52">
        <f t="shared" si="16"/>
        <v>133162</v>
      </c>
      <c r="E58" s="13">
        <f>B58/Penduduk!C7</f>
        <v>6.6731804883332482E-2</v>
      </c>
      <c r="F58" s="13">
        <f>C58/Penduduk!C7</f>
        <v>3.4488095476388177E-3</v>
      </c>
    </row>
    <row r="59" spans="1:6" x14ac:dyDescent="0.25">
      <c r="A59" s="14">
        <v>2005</v>
      </c>
      <c r="B59" s="52">
        <f t="shared" si="15"/>
        <v>2831287</v>
      </c>
      <c r="C59" s="52">
        <f t="shared" si="16"/>
        <v>385993</v>
      </c>
      <c r="E59" s="13">
        <f>B59/Penduduk!C8</f>
        <v>7.1961235922009148E-2</v>
      </c>
      <c r="F59" s="13">
        <f>C59/Penduduk!C8</f>
        <v>9.8105678927088904E-3</v>
      </c>
    </row>
    <row r="60" spans="1:6" x14ac:dyDescent="0.25">
      <c r="A60" s="14">
        <v>2006</v>
      </c>
      <c r="B60" s="52">
        <f t="shared" si="15"/>
        <v>1993956</v>
      </c>
      <c r="C60" s="52">
        <f t="shared" si="16"/>
        <v>989792</v>
      </c>
      <c r="E60" s="13">
        <f>B60/Penduduk!C9</f>
        <v>4.9734310961967038E-2</v>
      </c>
      <c r="F60" s="13">
        <f>C60/Penduduk!C9</f>
        <v>2.4687918447381624E-2</v>
      </c>
    </row>
    <row r="61" spans="1:6" x14ac:dyDescent="0.25">
      <c r="A61" s="14">
        <v>2007</v>
      </c>
      <c r="B61" s="52">
        <f t="shared" si="15"/>
        <v>3655392</v>
      </c>
      <c r="C61" s="52">
        <f t="shared" si="16"/>
        <v>386706</v>
      </c>
      <c r="E61" s="13">
        <f>B61/Penduduk!C10</f>
        <v>8.947471172303044E-2</v>
      </c>
      <c r="F61" s="13">
        <f>C61/Penduduk!C10</f>
        <v>9.4655806741291253E-3</v>
      </c>
    </row>
    <row r="62" spans="1:6" x14ac:dyDescent="0.25">
      <c r="A62" s="14">
        <v>2008</v>
      </c>
      <c r="B62" s="52">
        <f t="shared" si="15"/>
        <v>3905489</v>
      </c>
      <c r="C62" s="52">
        <f t="shared" si="16"/>
        <v>375606</v>
      </c>
      <c r="E62" s="13">
        <f>B62/Penduduk!C11</f>
        <v>9.3813985333023625E-2</v>
      </c>
      <c r="F62" s="13">
        <f>C62/Penduduk!C11</f>
        <v>9.0224542368434971E-3</v>
      </c>
    </row>
    <row r="63" spans="1:6" x14ac:dyDescent="0.25">
      <c r="A63" s="14">
        <v>2009</v>
      </c>
      <c r="B63" s="52">
        <f t="shared" si="15"/>
        <v>4268461</v>
      </c>
      <c r="C63" s="52">
        <f t="shared" si="16"/>
        <v>330719</v>
      </c>
      <c r="E63" s="13">
        <f>B63/Penduduk!C12</f>
        <v>0.10062115554336154</v>
      </c>
      <c r="F63" s="13">
        <f>C63/Penduduk!C12</f>
        <v>7.7960951125347023E-3</v>
      </c>
    </row>
    <row r="64" spans="1:6" x14ac:dyDescent="0.25">
      <c r="A64" s="14">
        <v>2010</v>
      </c>
      <c r="B64" s="52">
        <f t="shared" si="15"/>
        <v>4726776</v>
      </c>
      <c r="C64" s="52">
        <f t="shared" si="16"/>
        <v>345414</v>
      </c>
      <c r="E64" s="13">
        <f>B64/Penduduk!C13</f>
        <v>0.10934749049843952</v>
      </c>
      <c r="F64" s="13">
        <f>C64/Penduduk!C13</f>
        <v>7.9906799228539691E-3</v>
      </c>
    </row>
    <row r="65" spans="1:6" x14ac:dyDescent="0.25">
      <c r="A65" s="14">
        <v>2011</v>
      </c>
      <c r="B65" s="52">
        <f t="shared" si="15"/>
        <v>5111189</v>
      </c>
      <c r="C65" s="52">
        <f t="shared" si="16"/>
        <v>350110</v>
      </c>
      <c r="E65" s="13">
        <f>B65/Penduduk!C14</f>
        <v>0.11644707394710813</v>
      </c>
      <c r="F65" s="13">
        <f>C65/Penduduk!C14</f>
        <v>7.976477696211591E-3</v>
      </c>
    </row>
    <row r="66" spans="1:6" x14ac:dyDescent="0.25">
      <c r="A66" s="14">
        <v>2012</v>
      </c>
      <c r="B66" s="52">
        <f t="shared" si="15"/>
        <v>4231158</v>
      </c>
      <c r="C66" s="52">
        <f t="shared" si="16"/>
        <v>244520</v>
      </c>
      <c r="E66" s="13">
        <f>B66/Penduduk!C15</f>
        <v>9.493551784917019E-2</v>
      </c>
      <c r="F66" s="13">
        <f>C66/Penduduk!C15</f>
        <v>5.4863545214995741E-3</v>
      </c>
    </row>
    <row r="67" spans="1:6" x14ac:dyDescent="0.25">
      <c r="A67" s="14">
        <v>2013</v>
      </c>
      <c r="B67" s="52">
        <f t="shared" si="15"/>
        <v>6613617</v>
      </c>
      <c r="C67" s="52">
        <f t="shared" si="16"/>
        <v>415950</v>
      </c>
      <c r="E67" s="13">
        <f>B67/Penduduk!C16</f>
        <v>0.14614076032718112</v>
      </c>
      <c r="F67" s="13">
        <f>C67/Penduduk!C16</f>
        <v>9.1912261109300692E-3</v>
      </c>
    </row>
    <row r="68" spans="1:6" x14ac:dyDescent="0.25">
      <c r="A68" s="14">
        <v>2014</v>
      </c>
      <c r="B68" s="52">
        <f t="shared" si="15"/>
        <v>7435801</v>
      </c>
      <c r="C68" s="52">
        <f t="shared" si="16"/>
        <v>444490</v>
      </c>
      <c r="E68" s="13">
        <f>B68/Penduduk!C17</f>
        <v>0.16181654381375218</v>
      </c>
      <c r="F68" s="13">
        <f>C68/Penduduk!C17</f>
        <v>9.6729102298158207E-3</v>
      </c>
    </row>
    <row r="69" spans="1:6" x14ac:dyDescent="0.25">
      <c r="A69" s="14">
        <v>2015</v>
      </c>
      <c r="B69" s="52">
        <f t="shared" si="15"/>
        <v>8126421</v>
      </c>
      <c r="C69" s="52">
        <f t="shared" si="16"/>
        <v>465908</v>
      </c>
      <c r="E69" s="13">
        <f>B69/Penduduk!C18</f>
        <v>0.17416357117176537</v>
      </c>
      <c r="F69" s="13">
        <f>C69/Penduduk!C18</f>
        <v>9.985232258763712E-3</v>
      </c>
    </row>
    <row r="70" spans="1:6" x14ac:dyDescent="0.25">
      <c r="A70" s="14">
        <v>2016</v>
      </c>
      <c r="B70" s="52">
        <f t="shared" si="15"/>
        <v>9881661</v>
      </c>
      <c r="C70" s="52">
        <f t="shared" si="16"/>
        <v>551920</v>
      </c>
      <c r="E70" s="13">
        <f>B70/Penduduk!C19</f>
        <v>0.20856949772309474</v>
      </c>
      <c r="F70" s="13">
        <f>C70/Penduduk!C19</f>
        <v>1.1649223463882282E-2</v>
      </c>
    </row>
    <row r="71" spans="1:6" x14ac:dyDescent="0.25">
      <c r="A71" s="14">
        <v>2017</v>
      </c>
      <c r="B71" s="52">
        <f t="shared" si="15"/>
        <v>6616046</v>
      </c>
      <c r="C71" s="52">
        <f t="shared" si="16"/>
        <v>353801</v>
      </c>
      <c r="E71" s="13">
        <f>B71/Penduduk!C20</f>
        <v>0.13752517346311596</v>
      </c>
      <c r="F71" s="13">
        <f>C71/Penduduk!C20</f>
        <v>7.3543236997481417E-3</v>
      </c>
    </row>
    <row r="72" spans="1:6" x14ac:dyDescent="0.25">
      <c r="A72" s="14">
        <v>2018</v>
      </c>
      <c r="B72" s="52">
        <f t="shared" si="15"/>
        <v>6572519</v>
      </c>
      <c r="C72" s="52">
        <f t="shared" si="16"/>
        <v>358055</v>
      </c>
      <c r="E72" s="13">
        <f>B72/Penduduk!C21</f>
        <v>0.13474740571391267</v>
      </c>
      <c r="F72" s="13">
        <f>C72/Penduduk!C21</f>
        <v>7.3407140173950055E-3</v>
      </c>
    </row>
    <row r="73" spans="1:6" x14ac:dyDescent="0.25">
      <c r="A73" s="14">
        <v>2019</v>
      </c>
      <c r="B73" s="14">
        <f t="shared" ref="B73:B74" si="17">H47+J47+L47+P47</f>
        <v>0</v>
      </c>
      <c r="C73" s="52">
        <f t="shared" si="16"/>
        <v>0</v>
      </c>
      <c r="E73" s="13">
        <f>B73/Penduduk!C22</f>
        <v>0</v>
      </c>
      <c r="F73" s="13">
        <f>C73/Penduduk!C22</f>
        <v>0</v>
      </c>
    </row>
    <row r="74" spans="1:6" x14ac:dyDescent="0.25">
      <c r="A74" s="14">
        <v>2020</v>
      </c>
      <c r="B74" s="14">
        <f t="shared" si="17"/>
        <v>0</v>
      </c>
      <c r="C74" s="52">
        <f t="shared" si="16"/>
        <v>0</v>
      </c>
      <c r="E74" s="13">
        <f>B74/Penduduk!C23</f>
        <v>0</v>
      </c>
      <c r="F74" s="13">
        <f>C74/Penduduk!C23</f>
        <v>0</v>
      </c>
    </row>
    <row r="75" spans="1:6" x14ac:dyDescent="0.25">
      <c r="B75">
        <f>(B72/B54)^(1/18)-1</f>
        <v>0.12299629716201532</v>
      </c>
      <c r="C75">
        <f>(C72/C54)^(1/18)-1</f>
        <v>4.3078624947170407E-2</v>
      </c>
    </row>
  </sheetData>
  <mergeCells count="15">
    <mergeCell ref="H1:I1"/>
    <mergeCell ref="F1:G1"/>
    <mergeCell ref="B1:C1"/>
    <mergeCell ref="D1:E1"/>
    <mergeCell ref="N1:O1"/>
    <mergeCell ref="D25:E25"/>
    <mergeCell ref="F25:G25"/>
    <mergeCell ref="H25:I25"/>
    <mergeCell ref="N25:O25"/>
    <mergeCell ref="B27:Q27"/>
    <mergeCell ref="A1:A2"/>
    <mergeCell ref="A26:A27"/>
    <mergeCell ref="A52:A53"/>
    <mergeCell ref="B52:C52"/>
    <mergeCell ref="B25:C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B39" sqref="B3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4" t="s">
        <v>34</v>
      </c>
      <c r="B1" s="14" t="s">
        <v>37</v>
      </c>
      <c r="C1" s="14" t="s">
        <v>38</v>
      </c>
    </row>
    <row r="2" spans="1:3" x14ac:dyDescent="0.25">
      <c r="A2" s="14">
        <v>2000</v>
      </c>
      <c r="B2" s="14"/>
      <c r="C2" s="14"/>
    </row>
    <row r="3" spans="1:3" x14ac:dyDescent="0.25">
      <c r="A3" s="14">
        <v>2001</v>
      </c>
      <c r="B3" s="14"/>
      <c r="C3" s="14"/>
    </row>
    <row r="4" spans="1:3" x14ac:dyDescent="0.25">
      <c r="A4" s="14">
        <v>2002</v>
      </c>
      <c r="B4" s="14"/>
      <c r="C4" s="14"/>
    </row>
    <row r="5" spans="1:3" x14ac:dyDescent="0.25">
      <c r="A5" s="14">
        <v>2003</v>
      </c>
      <c r="B5" s="14"/>
      <c r="C5" s="14"/>
    </row>
    <row r="6" spans="1:3" x14ac:dyDescent="0.25">
      <c r="A6" s="14">
        <v>2004</v>
      </c>
      <c r="B6" s="14"/>
      <c r="C6" s="14"/>
    </row>
    <row r="7" spans="1:3" x14ac:dyDescent="0.25">
      <c r="A7" s="14">
        <v>2005</v>
      </c>
      <c r="B7" s="14"/>
      <c r="C7" s="14"/>
    </row>
    <row r="8" spans="1:3" x14ac:dyDescent="0.25">
      <c r="A8" s="14">
        <v>2006</v>
      </c>
      <c r="B8" s="14"/>
      <c r="C8" s="14"/>
    </row>
    <row r="9" spans="1:3" x14ac:dyDescent="0.25">
      <c r="A9" s="14">
        <v>2007</v>
      </c>
      <c r="B9" s="14"/>
      <c r="C9" s="14"/>
    </row>
    <row r="10" spans="1:3" x14ac:dyDescent="0.25">
      <c r="A10" s="14">
        <v>2008</v>
      </c>
      <c r="B10" s="14"/>
      <c r="C10" s="14"/>
    </row>
    <row r="11" spans="1:3" x14ac:dyDescent="0.25">
      <c r="A11" s="14">
        <v>2009</v>
      </c>
      <c r="B11" s="14"/>
      <c r="C11" s="14"/>
    </row>
    <row r="12" spans="1:3" x14ac:dyDescent="0.25">
      <c r="A12" s="14">
        <v>2010</v>
      </c>
      <c r="B12" s="14"/>
      <c r="C12" s="14"/>
    </row>
    <row r="13" spans="1:3" x14ac:dyDescent="0.25">
      <c r="A13" s="14">
        <v>2011</v>
      </c>
      <c r="B13" s="14"/>
      <c r="C13" s="14"/>
    </row>
    <row r="14" spans="1:3" x14ac:dyDescent="0.25">
      <c r="A14" s="14">
        <v>2012</v>
      </c>
      <c r="B14" s="14"/>
      <c r="C14" s="14"/>
    </row>
    <row r="15" spans="1:3" x14ac:dyDescent="0.25">
      <c r="A15" s="14">
        <v>2013</v>
      </c>
      <c r="B15" s="14"/>
      <c r="C15" s="14"/>
    </row>
    <row r="16" spans="1:3" x14ac:dyDescent="0.25">
      <c r="A16" s="14">
        <v>2014</v>
      </c>
      <c r="B16" s="14"/>
      <c r="C16" s="14"/>
    </row>
    <row r="17" spans="1:3" x14ac:dyDescent="0.25">
      <c r="A17" s="14">
        <v>2015</v>
      </c>
      <c r="B17" s="14">
        <v>3.1</v>
      </c>
      <c r="C17" s="18">
        <f>B17*$C$23</f>
        <v>22142857.142857011</v>
      </c>
    </row>
    <row r="18" spans="1:3" x14ac:dyDescent="0.25">
      <c r="A18" s="14">
        <v>2016</v>
      </c>
      <c r="B18" s="14">
        <v>3.4</v>
      </c>
      <c r="C18" s="18">
        <f t="shared" ref="C18:C22" si="0">B18*$C$23</f>
        <v>24285714.285714138</v>
      </c>
    </row>
    <row r="19" spans="1:3" x14ac:dyDescent="0.25">
      <c r="A19" s="14">
        <v>2017</v>
      </c>
      <c r="B19" s="14">
        <v>3.6</v>
      </c>
      <c r="C19" s="18">
        <f t="shared" si="0"/>
        <v>25714285.71428556</v>
      </c>
    </row>
    <row r="20" spans="1:3" x14ac:dyDescent="0.25">
      <c r="A20" s="14">
        <v>2018</v>
      </c>
      <c r="B20" s="14">
        <v>3.9</v>
      </c>
      <c r="C20" s="18">
        <f t="shared" si="0"/>
        <v>27857142.857142691</v>
      </c>
    </row>
    <row r="21" spans="1:3" x14ac:dyDescent="0.25">
      <c r="A21" s="14">
        <v>2019</v>
      </c>
      <c r="B21" s="14">
        <v>4.2</v>
      </c>
      <c r="C21" s="18">
        <f t="shared" si="0"/>
        <v>29999999.999999821</v>
      </c>
    </row>
    <row r="22" spans="1:3" x14ac:dyDescent="0.25">
      <c r="A22" s="14">
        <v>2020</v>
      </c>
      <c r="B22" s="14">
        <v>4.5</v>
      </c>
      <c r="C22" s="18">
        <f t="shared" si="0"/>
        <v>32142857.142856948</v>
      </c>
    </row>
    <row r="23" spans="1:3" x14ac:dyDescent="0.25">
      <c r="B23" s="16" t="s">
        <v>39</v>
      </c>
      <c r="C23" s="17">
        <v>7142857.1428570999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35-6537-45DA-8101-C7166E27F336}">
  <dimension ref="A1:AF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1" max="1" width="39" bestFit="1" customWidth="1"/>
  </cols>
  <sheetData>
    <row r="1" spans="1:32" ht="15.75" thickBot="1" x14ac:dyDescent="0.3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 s="73">
        <v>2010</v>
      </c>
      <c r="M1" s="73">
        <v>2011</v>
      </c>
      <c r="N1" s="73">
        <v>2012</v>
      </c>
      <c r="O1" s="73">
        <v>2013</v>
      </c>
      <c r="P1" s="73">
        <v>2014</v>
      </c>
      <c r="Q1" s="73">
        <v>2015</v>
      </c>
      <c r="R1" s="73">
        <v>2016</v>
      </c>
      <c r="S1" s="73">
        <v>2017</v>
      </c>
      <c r="T1" s="73">
        <v>2018</v>
      </c>
      <c r="U1" s="73">
        <v>2019</v>
      </c>
      <c r="V1" s="73">
        <v>2020</v>
      </c>
      <c r="W1" s="73">
        <v>2021</v>
      </c>
      <c r="X1" s="73">
        <v>2022</v>
      </c>
      <c r="Y1" s="73">
        <v>2023</v>
      </c>
      <c r="Z1" s="73">
        <v>2024</v>
      </c>
      <c r="AA1" s="73">
        <v>2025</v>
      </c>
      <c r="AB1" s="73">
        <v>2026</v>
      </c>
      <c r="AC1" s="73">
        <v>2027</v>
      </c>
      <c r="AD1" s="73">
        <v>2028</v>
      </c>
      <c r="AE1" s="73">
        <v>2029</v>
      </c>
      <c r="AF1" s="73">
        <v>2030</v>
      </c>
    </row>
    <row r="2" spans="1:32" x14ac:dyDescent="0.25">
      <c r="A2" t="s">
        <v>330</v>
      </c>
      <c r="L2" s="45">
        <f>'data emisi jabar Household'!L44</f>
        <v>2084200000</v>
      </c>
      <c r="M2">
        <f>'data emisi jabar Household'!M44</f>
        <v>2133240000</v>
      </c>
      <c r="N2">
        <f>'data emisi jabar Household'!N44</f>
        <v>2182280000</v>
      </c>
      <c r="O2">
        <f>'data emisi jabar Household'!O44</f>
        <v>2231320000</v>
      </c>
      <c r="P2">
        <f>'data emisi jabar Household'!P44</f>
        <v>2280360000</v>
      </c>
      <c r="Q2">
        <f>'data emisi jabar Household'!Q44</f>
        <v>2329400000</v>
      </c>
      <c r="R2">
        <f>'data emisi jabar Household'!R44</f>
        <v>2378440000</v>
      </c>
      <c r="S2">
        <f>'data emisi jabar Household'!S44</f>
        <v>2427480000</v>
      </c>
      <c r="T2">
        <f>'data emisi jabar Household'!T44</f>
        <v>2476520000</v>
      </c>
      <c r="U2">
        <f>'data emisi jabar Household'!U44</f>
        <v>2525560000</v>
      </c>
      <c r="V2">
        <f>'data emisi jabar Household'!V44</f>
        <v>2574600000</v>
      </c>
      <c r="W2">
        <f>'data emisi jabar Household'!W44</f>
        <v>2623640000</v>
      </c>
      <c r="X2">
        <f>'data emisi jabar Household'!X44</f>
        <v>2672680000</v>
      </c>
      <c r="Y2">
        <f>'data emisi jabar Household'!Y44</f>
        <v>2721720000</v>
      </c>
      <c r="Z2">
        <f>'data emisi jabar Household'!Z44</f>
        <v>2770760000</v>
      </c>
      <c r="AA2">
        <f>'data emisi jabar Household'!AA44</f>
        <v>2819800000</v>
      </c>
      <c r="AB2">
        <f>'data emisi jabar Household'!AB44</f>
        <v>2868840000</v>
      </c>
      <c r="AC2">
        <f>'data emisi jabar Household'!AC44</f>
        <v>2917880000</v>
      </c>
      <c r="AD2">
        <f>'data emisi jabar Household'!AD44</f>
        <v>2966920000</v>
      </c>
      <c r="AE2">
        <f>'data emisi jabar Household'!AE44</f>
        <v>3015960000</v>
      </c>
      <c r="AF2">
        <f>'data emisi jabar Household'!AF44</f>
        <v>3065000000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6</v>
      </c>
      <c r="C18" s="14">
        <f>B18*7142857.1428571</f>
        <v>42857142.857142597</v>
      </c>
    </row>
    <row r="19" spans="1:3" x14ac:dyDescent="0.25">
      <c r="A19" s="14">
        <v>2016</v>
      </c>
      <c r="B19" s="14">
        <v>6.7</v>
      </c>
      <c r="C19" s="14">
        <f t="shared" ref="C19:C23" si="0">B19*7142857.1428571</f>
        <v>47857142.857142568</v>
      </c>
    </row>
    <row r="20" spans="1:3" x14ac:dyDescent="0.25">
      <c r="A20" s="14">
        <v>2017</v>
      </c>
      <c r="B20" s="14">
        <v>7.4</v>
      </c>
      <c r="C20" s="14">
        <f t="shared" si="0"/>
        <v>52857142.857142545</v>
      </c>
    </row>
    <row r="21" spans="1:3" x14ac:dyDescent="0.25">
      <c r="A21" s="14">
        <v>2018</v>
      </c>
      <c r="B21" s="14">
        <v>8</v>
      </c>
      <c r="C21" s="14">
        <f t="shared" si="0"/>
        <v>57142857.142856799</v>
      </c>
    </row>
    <row r="22" spans="1:3" x14ac:dyDescent="0.25">
      <c r="A22" s="14">
        <v>2019</v>
      </c>
      <c r="B22" s="14">
        <v>8.6999999999999993</v>
      </c>
      <c r="C22" s="14">
        <f t="shared" si="0"/>
        <v>62142857.142856762</v>
      </c>
    </row>
    <row r="23" spans="1:3" x14ac:dyDescent="0.25">
      <c r="A23" s="14">
        <v>2020</v>
      </c>
      <c r="B23" s="14">
        <v>9.3000000000000007</v>
      </c>
      <c r="C23" s="14">
        <f t="shared" si="0"/>
        <v>66428571.42857103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0.69934357612644982</v>
      </c>
    </row>
    <row r="5" spans="1:9" x14ac:dyDescent="0.25">
      <c r="A5" s="25" t="s">
        <v>64</v>
      </c>
      <c r="B5" s="25">
        <v>0.48908143746933158</v>
      </c>
    </row>
    <row r="6" spans="1:9" x14ac:dyDescent="0.25">
      <c r="A6" s="25" t="s">
        <v>65</v>
      </c>
      <c r="B6" s="25">
        <v>0.31877524995910878</v>
      </c>
    </row>
    <row r="7" spans="1:9" x14ac:dyDescent="0.25">
      <c r="A7" s="25" t="s">
        <v>66</v>
      </c>
      <c r="B7" s="25">
        <v>2.0895747313757249E-2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1.2539105856005071E-3</v>
      </c>
      <c r="D12" s="25">
        <v>1.2539105856005071E-3</v>
      </c>
      <c r="E12" s="25">
        <v>2.8717772655205147</v>
      </c>
      <c r="F12" s="25">
        <v>0.18871754284885303</v>
      </c>
    </row>
    <row r="13" spans="1:9" x14ac:dyDescent="0.25">
      <c r="A13" s="25" t="s">
        <v>70</v>
      </c>
      <c r="B13" s="25">
        <v>3</v>
      </c>
      <c r="C13" s="25">
        <v>1.3098967674011798E-3</v>
      </c>
      <c r="D13" s="25">
        <v>4.3663225580039324E-4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6.6029854101270491E-3</v>
      </c>
      <c r="C17" s="25">
        <v>0.18950894304324475</v>
      </c>
      <c r="D17" s="25">
        <v>3.4842605863831394E-2</v>
      </c>
      <c r="E17" s="25">
        <v>0.97439392679888015</v>
      </c>
      <c r="F17" s="25">
        <v>-0.59649905019606808</v>
      </c>
      <c r="G17" s="25">
        <v>0.60970502101632218</v>
      </c>
      <c r="H17" s="25">
        <v>-0.59649905019606808</v>
      </c>
      <c r="I17" s="25">
        <v>0.60970502101632218</v>
      </c>
    </row>
    <row r="18" spans="1:9" ht="15.75" thickBot="1" x14ac:dyDescent="0.3">
      <c r="A18" s="26">
        <v>6.33</v>
      </c>
      <c r="B18" s="26">
        <v>5.9865101812331983E-2</v>
      </c>
      <c r="C18" s="26">
        <v>3.5326315954955362E-2</v>
      </c>
      <c r="D18" s="26">
        <v>1.6946318967612153</v>
      </c>
      <c r="E18" s="26">
        <v>0.18871754284885311</v>
      </c>
      <c r="F18" s="26">
        <v>-5.2559001877800646E-2</v>
      </c>
      <c r="G18" s="26">
        <v>0.17228920550246463</v>
      </c>
      <c r="H18" s="26">
        <v>-5.2559001877800646E-2</v>
      </c>
      <c r="I18" s="26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0.31131635363489685</v>
      </c>
      <c r="C25" s="25">
        <v>-1.849892553613236E-2</v>
      </c>
    </row>
    <row r="26" spans="1:9" x14ac:dyDescent="0.25">
      <c r="A26" s="25">
        <v>2</v>
      </c>
      <c r="B26" s="25">
        <v>0.30892174956240354</v>
      </c>
      <c r="C26" s="25">
        <v>1.163149743775016E-3</v>
      </c>
    </row>
    <row r="27" spans="1:9" x14ac:dyDescent="0.25">
      <c r="A27" s="25">
        <v>3</v>
      </c>
      <c r="B27" s="25">
        <v>0.34543946166792611</v>
      </c>
      <c r="C27" s="25">
        <v>-6.6949388645691221E-3</v>
      </c>
    </row>
    <row r="28" spans="1:9" x14ac:dyDescent="0.25">
      <c r="A28" s="25">
        <v>4</v>
      </c>
      <c r="B28" s="25">
        <v>0.32568397806985655</v>
      </c>
      <c r="C28" s="25">
        <v>2.9802624884523343E-2</v>
      </c>
    </row>
    <row r="29" spans="1:9" ht="15.75" thickBot="1" x14ac:dyDescent="0.3">
      <c r="A29" s="26">
        <v>5</v>
      </c>
      <c r="B29" s="26">
        <v>0.34543946166792611</v>
      </c>
      <c r="C29" s="26">
        <v>-5.771910227596877E-3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0.85587422583647987</v>
      </c>
    </row>
    <row r="5" spans="1:9" x14ac:dyDescent="0.25">
      <c r="A5" s="25" t="s">
        <v>64</v>
      </c>
      <c r="B5" s="25">
        <v>0.73252069045119372</v>
      </c>
    </row>
    <row r="6" spans="1:9" x14ac:dyDescent="0.25">
      <c r="A6" s="25" t="s">
        <v>65</v>
      </c>
      <c r="B6" s="25">
        <v>0.64336092060159167</v>
      </c>
    </row>
    <row r="7" spans="1:9" x14ac:dyDescent="0.25">
      <c r="A7" s="25" t="s">
        <v>66</v>
      </c>
      <c r="B7" s="25">
        <v>1.5119142618956537E-2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1.8780419324046431E-3</v>
      </c>
      <c r="D12" s="25">
        <v>1.8780419324046431E-3</v>
      </c>
      <c r="E12" s="25">
        <v>8.2158207865143211</v>
      </c>
      <c r="F12" s="25">
        <v>6.4243220482477006E-2</v>
      </c>
    </row>
    <row r="13" spans="1:9" x14ac:dyDescent="0.25">
      <c r="A13" s="25" t="s">
        <v>70</v>
      </c>
      <c r="B13" s="25">
        <v>3</v>
      </c>
      <c r="C13" s="25">
        <v>6.8576542059704381E-4</v>
      </c>
      <c r="D13" s="25">
        <v>2.2858847353234794E-4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-2.1645897965924921E-2</v>
      </c>
      <c r="C17" s="25">
        <v>0.12194840372036252</v>
      </c>
      <c r="D17" s="25">
        <v>-0.1775004617162575</v>
      </c>
      <c r="E17" s="25">
        <v>0.87042349585592027</v>
      </c>
      <c r="F17" s="25">
        <v>-0.40974014482103871</v>
      </c>
      <c r="G17" s="25">
        <v>0.36644834888918887</v>
      </c>
      <c r="H17" s="25">
        <v>-0.40974014482103871</v>
      </c>
      <c r="I17" s="25">
        <v>0.36644834888918887</v>
      </c>
    </row>
    <row r="18" spans="1:9" ht="15.75" thickBot="1" x14ac:dyDescent="0.3">
      <c r="A18" s="26">
        <v>24118312.199999999</v>
      </c>
      <c r="B18" s="26">
        <v>1.2931927680811276E-8</v>
      </c>
      <c r="C18" s="26">
        <v>4.5116748028317915E-9</v>
      </c>
      <c r="D18" s="26">
        <v>2.8663253106572397</v>
      </c>
      <c r="E18" s="26">
        <v>6.4243220482477006E-2</v>
      </c>
      <c r="F18" s="26">
        <v>-1.4262351261023653E-9</v>
      </c>
      <c r="G18" s="26">
        <v>2.7290090487724917E-8</v>
      </c>
      <c r="H18" s="26">
        <v>-1.4262351261023653E-9</v>
      </c>
      <c r="I18" s="26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0.30122366828571984</v>
      </c>
      <c r="C25" s="25">
        <v>-8.4062401869553494E-3</v>
      </c>
    </row>
    <row r="26" spans="1:9" x14ac:dyDescent="0.25">
      <c r="A26" s="25">
        <v>2</v>
      </c>
      <c r="B26" s="25">
        <v>0.31258628766185026</v>
      </c>
      <c r="C26" s="25">
        <v>-2.5013883556717076E-3</v>
      </c>
    </row>
    <row r="27" spans="1:9" x14ac:dyDescent="0.25">
      <c r="A27" s="25">
        <v>3</v>
      </c>
      <c r="B27" s="25">
        <v>0.32652692833263824</v>
      </c>
      <c r="C27" s="25">
        <v>1.221759447071874E-2</v>
      </c>
    </row>
    <row r="28" spans="1:9" x14ac:dyDescent="0.25">
      <c r="A28" s="25">
        <v>4</v>
      </c>
      <c r="B28" s="25">
        <v>0.34099701621847983</v>
      </c>
      <c r="C28" s="25">
        <v>1.4489586735900062E-2</v>
      </c>
    </row>
    <row r="29" spans="1:9" ht="15.75" thickBot="1" x14ac:dyDescent="0.3">
      <c r="A29" s="26">
        <v>5</v>
      </c>
      <c r="B29" s="26">
        <v>0.35546710410432142</v>
      </c>
      <c r="C29" s="26">
        <v>-1.5799552663992189E-2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L36" sqref="L36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95</v>
      </c>
    </row>
    <row r="3" spans="1:5" x14ac:dyDescent="0.25">
      <c r="A3">
        <v>2013</v>
      </c>
      <c r="B3">
        <f>Kendaraan!G16</f>
        <v>0.24475309753584185</v>
      </c>
      <c r="C3" s="12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2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2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2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2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2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H18" sqref="H18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98" t="s">
        <v>40</v>
      </c>
      <c r="C1" s="98"/>
      <c r="D1" s="96" t="s">
        <v>41</v>
      </c>
      <c r="E1" s="97"/>
      <c r="F1" t="s">
        <v>100</v>
      </c>
    </row>
    <row r="2" spans="1:6" x14ac:dyDescent="0.25">
      <c r="A2" s="14" t="s">
        <v>34</v>
      </c>
      <c r="B2" s="14" t="s">
        <v>37</v>
      </c>
      <c r="C2" s="14" t="s">
        <v>38</v>
      </c>
      <c r="D2" s="15" t="s">
        <v>36</v>
      </c>
      <c r="E2" s="15" t="s">
        <v>38</v>
      </c>
    </row>
    <row r="3" spans="1:6" x14ac:dyDescent="0.25">
      <c r="A3" s="14">
        <v>2000</v>
      </c>
      <c r="B3" s="14"/>
      <c r="C3" s="14"/>
      <c r="D3" s="14"/>
      <c r="E3" s="14"/>
    </row>
    <row r="4" spans="1:6" x14ac:dyDescent="0.25">
      <c r="A4" s="14">
        <v>2001</v>
      </c>
      <c r="B4" s="14"/>
      <c r="C4" s="14"/>
      <c r="D4" s="14"/>
      <c r="E4" s="14"/>
    </row>
    <row r="5" spans="1:6" x14ac:dyDescent="0.25">
      <c r="A5" s="14">
        <v>2002</v>
      </c>
      <c r="B5" s="14"/>
      <c r="C5" s="14"/>
      <c r="D5" s="14"/>
      <c r="E5" s="14"/>
    </row>
    <row r="6" spans="1:6" x14ac:dyDescent="0.25">
      <c r="A6" s="14">
        <v>2003</v>
      </c>
      <c r="B6" s="14"/>
      <c r="C6" s="14"/>
      <c r="D6" s="14"/>
      <c r="E6" s="14"/>
    </row>
    <row r="7" spans="1:6" x14ac:dyDescent="0.25">
      <c r="A7" s="14">
        <v>2004</v>
      </c>
      <c r="B7" s="14"/>
      <c r="C7" s="14"/>
      <c r="D7" s="14"/>
      <c r="E7" s="14"/>
    </row>
    <row r="8" spans="1:6" x14ac:dyDescent="0.25">
      <c r="A8" s="14">
        <v>2005</v>
      </c>
      <c r="B8" s="14"/>
      <c r="C8" s="14"/>
      <c r="D8" s="14"/>
      <c r="E8" s="14"/>
    </row>
    <row r="9" spans="1:6" x14ac:dyDescent="0.25">
      <c r="A9" s="14">
        <v>2006</v>
      </c>
      <c r="B9" s="14"/>
      <c r="C9" s="14"/>
      <c r="D9" s="14"/>
      <c r="E9" s="14"/>
    </row>
    <row r="10" spans="1:6" x14ac:dyDescent="0.25">
      <c r="A10" s="14">
        <v>2007</v>
      </c>
      <c r="B10" s="14"/>
      <c r="C10" s="14"/>
      <c r="D10" s="14"/>
      <c r="E10" s="14"/>
    </row>
    <row r="11" spans="1:6" x14ac:dyDescent="0.25">
      <c r="A11" s="14">
        <v>2008</v>
      </c>
      <c r="B11" s="14"/>
      <c r="C11" s="14"/>
      <c r="D11" s="14"/>
      <c r="E11" s="14"/>
    </row>
    <row r="12" spans="1:6" x14ac:dyDescent="0.25">
      <c r="A12" s="14">
        <v>2009</v>
      </c>
      <c r="B12" s="14"/>
      <c r="C12" s="14"/>
      <c r="D12" s="14"/>
      <c r="E12" s="14"/>
    </row>
    <row r="13" spans="1:6" x14ac:dyDescent="0.25">
      <c r="A13" s="14">
        <v>2010</v>
      </c>
      <c r="B13" s="14"/>
      <c r="C13" s="14"/>
      <c r="D13" s="14"/>
      <c r="E13" s="14"/>
    </row>
    <row r="14" spans="1:6" x14ac:dyDescent="0.25">
      <c r="A14" s="14">
        <v>2011</v>
      </c>
      <c r="B14" s="14"/>
      <c r="C14" s="14"/>
      <c r="D14" s="14"/>
      <c r="E14" s="14"/>
    </row>
    <row r="15" spans="1:6" x14ac:dyDescent="0.25">
      <c r="A15" s="14">
        <v>2012</v>
      </c>
      <c r="B15" s="14"/>
      <c r="C15" s="14"/>
      <c r="D15" s="14"/>
      <c r="E15" s="14"/>
    </row>
    <row r="16" spans="1:6" x14ac:dyDescent="0.25">
      <c r="A16" s="14">
        <v>2013</v>
      </c>
      <c r="B16" s="14"/>
      <c r="C16" s="14"/>
      <c r="D16" s="14"/>
      <c r="E16" s="14"/>
    </row>
    <row r="17" spans="1:6" x14ac:dyDescent="0.25">
      <c r="A17" s="14">
        <v>2014</v>
      </c>
      <c r="B17" s="14"/>
      <c r="C17" s="14"/>
      <c r="D17" s="14"/>
      <c r="E17" s="14"/>
    </row>
    <row r="18" spans="1:6" x14ac:dyDescent="0.25">
      <c r="A18" s="14">
        <v>2015</v>
      </c>
      <c r="B18" s="14">
        <v>9.3000000000000007</v>
      </c>
      <c r="C18" s="18">
        <f t="shared" ref="C18:C23" si="0">B18*$C$24</f>
        <v>66428571.42857103</v>
      </c>
      <c r="D18" s="14">
        <v>0.77</v>
      </c>
      <c r="E18" s="18">
        <f>D18*$C$24</f>
        <v>5499999.9999999674</v>
      </c>
      <c r="F18" s="13">
        <f>E18+C18</f>
        <v>71928571.428571001</v>
      </c>
    </row>
    <row r="19" spans="1:6" x14ac:dyDescent="0.25">
      <c r="A19" s="14">
        <v>2016</v>
      </c>
      <c r="B19" s="14">
        <v>9.6999999999999993</v>
      </c>
      <c r="C19" s="18">
        <f t="shared" si="0"/>
        <v>69285714.285713866</v>
      </c>
      <c r="D19" s="14">
        <v>0.78</v>
      </c>
      <c r="E19" s="18">
        <f t="shared" ref="E19:E23" si="1">D19*$C$24</f>
        <v>5571428.5714285383</v>
      </c>
      <c r="F19" s="13">
        <f t="shared" ref="F19:F23" si="2">E19+C19</f>
        <v>74857142.857142404</v>
      </c>
    </row>
    <row r="20" spans="1:6" x14ac:dyDescent="0.25">
      <c r="A20" s="14">
        <v>2017</v>
      </c>
      <c r="B20" s="14">
        <v>10.1</v>
      </c>
      <c r="C20" s="18">
        <f t="shared" si="0"/>
        <v>72142857.142856702</v>
      </c>
      <c r="D20" s="14">
        <v>0.8</v>
      </c>
      <c r="E20" s="18">
        <f t="shared" si="1"/>
        <v>5714285.7142856801</v>
      </c>
      <c r="F20" s="13">
        <f t="shared" si="2"/>
        <v>77857142.857142389</v>
      </c>
    </row>
    <row r="21" spans="1:6" x14ac:dyDescent="0.25">
      <c r="A21" s="14">
        <v>2018</v>
      </c>
      <c r="B21" s="14">
        <v>10.5</v>
      </c>
      <c r="C21" s="18">
        <f t="shared" si="0"/>
        <v>74999999.999999553</v>
      </c>
      <c r="D21" s="14">
        <v>0.81</v>
      </c>
      <c r="E21" s="18">
        <f t="shared" si="1"/>
        <v>5785714.285714251</v>
      </c>
      <c r="F21" s="13">
        <f t="shared" si="2"/>
        <v>80785714.285713807</v>
      </c>
    </row>
    <row r="22" spans="1:6" x14ac:dyDescent="0.25">
      <c r="A22" s="14">
        <v>2019</v>
      </c>
      <c r="B22" s="14">
        <v>10.9</v>
      </c>
      <c r="C22" s="18">
        <f t="shared" si="0"/>
        <v>77857142.857142389</v>
      </c>
      <c r="D22" s="14">
        <v>0.82</v>
      </c>
      <c r="E22" s="18">
        <f t="shared" si="1"/>
        <v>5857142.8571428219</v>
      </c>
      <c r="F22" s="13">
        <f t="shared" si="2"/>
        <v>83714285.71428521</v>
      </c>
    </row>
    <row r="23" spans="1:6" x14ac:dyDescent="0.25">
      <c r="A23" s="14">
        <v>2020</v>
      </c>
      <c r="B23" s="14">
        <v>11.3</v>
      </c>
      <c r="C23" s="18">
        <f t="shared" si="0"/>
        <v>80714285.71428524</v>
      </c>
      <c r="D23" s="14">
        <v>0.84</v>
      </c>
      <c r="E23" s="18">
        <f t="shared" si="1"/>
        <v>5999999.9999999637</v>
      </c>
      <c r="F23" s="13">
        <f t="shared" si="2"/>
        <v>86714285.71428521</v>
      </c>
    </row>
    <row r="24" spans="1:6" x14ac:dyDescent="0.25">
      <c r="B24" s="16" t="s">
        <v>39</v>
      </c>
      <c r="C24" s="17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0.73</v>
      </c>
      <c r="C18" s="14">
        <f>B18*7142857.1428571</f>
        <v>5214285.7142856829</v>
      </c>
    </row>
    <row r="19" spans="1:3" x14ac:dyDescent="0.25">
      <c r="A19" s="14">
        <v>2016</v>
      </c>
      <c r="B19" s="14">
        <v>0.76</v>
      </c>
      <c r="C19" s="14">
        <f t="shared" ref="C19:C23" si="0">B19*7142857.1428571</f>
        <v>5428571.4285713956</v>
      </c>
    </row>
    <row r="20" spans="1:3" x14ac:dyDescent="0.25">
      <c r="A20" s="14">
        <v>2017</v>
      </c>
      <c r="B20" s="14">
        <v>0.8</v>
      </c>
      <c r="C20" s="14">
        <f t="shared" si="0"/>
        <v>5714285.7142856801</v>
      </c>
    </row>
    <row r="21" spans="1:3" x14ac:dyDescent="0.25">
      <c r="A21" s="14">
        <v>2018</v>
      </c>
      <c r="B21" s="14">
        <v>0.83</v>
      </c>
      <c r="C21" s="14">
        <f t="shared" si="0"/>
        <v>5928571.4285713928</v>
      </c>
    </row>
    <row r="22" spans="1:3" x14ac:dyDescent="0.25">
      <c r="A22" s="14">
        <v>2019</v>
      </c>
      <c r="B22" s="14">
        <v>0.7</v>
      </c>
      <c r="C22" s="14">
        <f t="shared" si="0"/>
        <v>4999999.9999999693</v>
      </c>
    </row>
    <row r="23" spans="1:3" x14ac:dyDescent="0.25">
      <c r="A23" s="14">
        <v>2020</v>
      </c>
      <c r="B23" s="14">
        <v>0.91</v>
      </c>
      <c r="C23" s="14">
        <f t="shared" si="0"/>
        <v>6499999.9999999609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0.02</v>
      </c>
      <c r="C18" s="14">
        <f>B18*7142857.1428571</f>
        <v>142857.142857142</v>
      </c>
    </row>
    <row r="19" spans="1:3" x14ac:dyDescent="0.25">
      <c r="A19" s="14">
        <v>2016</v>
      </c>
      <c r="B19" s="14">
        <v>0.02</v>
      </c>
      <c r="C19" s="14">
        <f t="shared" ref="C19:C23" si="0">B19*7142857.1428571</f>
        <v>142857.142857142</v>
      </c>
    </row>
    <row r="20" spans="1:3" x14ac:dyDescent="0.25">
      <c r="A20" s="14">
        <v>2017</v>
      </c>
      <c r="B20" s="14">
        <v>0.02</v>
      </c>
      <c r="C20" s="14">
        <f t="shared" si="0"/>
        <v>142857.142857142</v>
      </c>
    </row>
    <row r="21" spans="1:3" x14ac:dyDescent="0.25">
      <c r="A21" s="14">
        <v>2018</v>
      </c>
      <c r="B21" s="14">
        <v>0.02</v>
      </c>
      <c r="C21" s="14">
        <f t="shared" si="0"/>
        <v>142857.142857142</v>
      </c>
    </row>
    <row r="22" spans="1:3" x14ac:dyDescent="0.25">
      <c r="A22" s="14">
        <v>2019</v>
      </c>
      <c r="B22" s="14">
        <v>0.02</v>
      </c>
      <c r="C22" s="14">
        <f t="shared" si="0"/>
        <v>142857.142857142</v>
      </c>
    </row>
    <row r="23" spans="1:3" x14ac:dyDescent="0.25">
      <c r="A23" s="14">
        <v>2020</v>
      </c>
      <c r="B23" s="14">
        <v>0.02</v>
      </c>
      <c r="C23" s="14">
        <f t="shared" si="0"/>
        <v>142857.142857142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5AFA-6774-49D4-9F86-9C5D12637256}">
  <dimension ref="A1:N27"/>
  <sheetViews>
    <sheetView zoomScale="70" zoomScaleNormal="70" workbookViewId="0">
      <pane xSplit="2" topLeftCell="C1" activePane="topRight" state="frozen"/>
      <selection pane="topRight" activeCell="L8" sqref="L8"/>
    </sheetView>
  </sheetViews>
  <sheetFormatPr defaultRowHeight="15" x14ac:dyDescent="0.25"/>
  <cols>
    <col min="1" max="1" width="9.140625" style="39"/>
    <col min="2" max="2" width="24.85546875" style="37" customWidth="1"/>
    <col min="3" max="3" width="11.28515625" style="39" bestFit="1" customWidth="1"/>
    <col min="4" max="4" width="12.42578125" style="39" bestFit="1" customWidth="1"/>
    <col min="5" max="5" width="21.140625" style="39" customWidth="1"/>
    <col min="6" max="6" width="22.28515625" style="39" customWidth="1"/>
    <col min="7" max="7" width="25" style="39" customWidth="1"/>
    <col min="8" max="8" width="20.28515625" style="39" customWidth="1"/>
    <col min="9" max="9" width="19.42578125" style="39" bestFit="1" customWidth="1"/>
    <col min="10" max="10" width="16.42578125" style="39" bestFit="1" customWidth="1"/>
    <col min="11" max="11" width="15" style="39" bestFit="1" customWidth="1"/>
    <col min="12" max="12" width="16.85546875" style="39" bestFit="1" customWidth="1"/>
    <col min="13" max="13" width="18.140625" style="39" bestFit="1" customWidth="1"/>
    <col min="14" max="14" width="14.28515625" style="39" bestFit="1" customWidth="1"/>
    <col min="15" max="16384" width="9.140625" style="39"/>
  </cols>
  <sheetData>
    <row r="1" spans="1:14" s="37" customFormat="1" ht="60" x14ac:dyDescent="0.25">
      <c r="A1" s="36"/>
      <c r="B1" s="36" t="s">
        <v>117</v>
      </c>
      <c r="C1" s="36" t="s">
        <v>118</v>
      </c>
      <c r="D1" s="36" t="s">
        <v>119</v>
      </c>
      <c r="E1" s="36" t="s">
        <v>145</v>
      </c>
      <c r="F1" s="36" t="s">
        <v>144</v>
      </c>
      <c r="G1" s="36" t="s">
        <v>146</v>
      </c>
      <c r="H1" s="36" t="s">
        <v>147</v>
      </c>
      <c r="I1" s="36" t="s">
        <v>148</v>
      </c>
      <c r="J1" s="36" t="s">
        <v>149</v>
      </c>
      <c r="K1" s="36" t="s">
        <v>150</v>
      </c>
      <c r="L1" s="36" t="s">
        <v>151</v>
      </c>
      <c r="M1" s="36" t="s">
        <v>71</v>
      </c>
    </row>
    <row r="2" spans="1:14" x14ac:dyDescent="0.25">
      <c r="A2" s="38">
        <v>10</v>
      </c>
      <c r="B2" s="36" t="s">
        <v>120</v>
      </c>
      <c r="C2" s="38">
        <v>1055</v>
      </c>
      <c r="D2" s="38">
        <v>106055</v>
      </c>
      <c r="E2" s="38">
        <v>72246122.290000007</v>
      </c>
      <c r="F2" s="38">
        <v>49475992.210000001</v>
      </c>
      <c r="G2" s="38">
        <v>22770130.079999998</v>
      </c>
      <c r="H2" s="40">
        <v>40739853.259999998</v>
      </c>
      <c r="I2" s="40">
        <v>2832305.8849999998</v>
      </c>
      <c r="J2" s="40">
        <v>2523273.4589999998</v>
      </c>
      <c r="K2" s="40">
        <v>316101.196</v>
      </c>
      <c r="L2" s="40">
        <v>3064458.406</v>
      </c>
      <c r="M2" s="40">
        <v>3380559.602</v>
      </c>
      <c r="N2" s="42"/>
    </row>
    <row r="3" spans="1:14" x14ac:dyDescent="0.25">
      <c r="A3" s="38">
        <v>11</v>
      </c>
      <c r="B3" s="36" t="s">
        <v>121</v>
      </c>
      <c r="C3" s="38">
        <v>96</v>
      </c>
      <c r="D3" s="38">
        <v>17158</v>
      </c>
      <c r="E3" s="38">
        <v>8273813.6100000003</v>
      </c>
      <c r="F3" s="38">
        <v>3519664.4249999998</v>
      </c>
      <c r="G3" s="38">
        <v>4754149.1869999999</v>
      </c>
      <c r="H3" s="40">
        <v>2546384.361</v>
      </c>
      <c r="I3" s="40">
        <v>136708.09299999999</v>
      </c>
      <c r="J3" s="40">
        <v>169296.01199999999</v>
      </c>
      <c r="K3" s="40">
        <v>38821.398999999998</v>
      </c>
      <c r="L3" s="40">
        <v>628454.56000000006</v>
      </c>
      <c r="M3" s="40">
        <v>667275.95900000003</v>
      </c>
    </row>
    <row r="4" spans="1:14" ht="30" x14ac:dyDescent="0.25">
      <c r="A4" s="38">
        <v>12</v>
      </c>
      <c r="B4" s="36" t="s">
        <v>122</v>
      </c>
      <c r="C4" s="38">
        <v>9</v>
      </c>
      <c r="D4" s="38">
        <v>1478</v>
      </c>
      <c r="E4" s="38">
        <v>165278.64000000001</v>
      </c>
      <c r="F4" s="38">
        <v>53845.83</v>
      </c>
      <c r="G4" s="38">
        <v>111432.81</v>
      </c>
      <c r="H4" s="40">
        <v>48259.381999999998</v>
      </c>
      <c r="I4" s="40">
        <v>507.137</v>
      </c>
      <c r="J4" s="40">
        <v>315.36</v>
      </c>
      <c r="K4" s="40">
        <v>447.23700000000002</v>
      </c>
      <c r="L4" s="40">
        <v>4316.7139999999999</v>
      </c>
      <c r="M4" s="40">
        <v>4763.951</v>
      </c>
    </row>
    <row r="5" spans="1:14" x14ac:dyDescent="0.25">
      <c r="A5" s="38">
        <v>13</v>
      </c>
      <c r="B5" s="36" t="s">
        <v>125</v>
      </c>
      <c r="C5" s="38">
        <v>1088</v>
      </c>
      <c r="D5" s="38">
        <v>261913</v>
      </c>
      <c r="E5" s="38">
        <v>191901569.88</v>
      </c>
      <c r="F5" s="38">
        <v>136688262.80000001</v>
      </c>
      <c r="G5" s="38">
        <v>55213307.049999997</v>
      </c>
      <c r="H5" s="40">
        <v>106226924</v>
      </c>
      <c r="I5" s="40">
        <v>4844760.0939999996</v>
      </c>
      <c r="J5" s="40">
        <v>16845928.920000002</v>
      </c>
      <c r="K5" s="40">
        <v>505929.80300000001</v>
      </c>
      <c r="L5" s="40">
        <v>8264720.0060000001</v>
      </c>
      <c r="M5" s="40">
        <v>8770649.8090000004</v>
      </c>
    </row>
    <row r="6" spans="1:14" x14ac:dyDescent="0.25">
      <c r="A6" s="38">
        <v>14</v>
      </c>
      <c r="B6" s="36" t="s">
        <v>123</v>
      </c>
      <c r="C6" s="38">
        <v>792</v>
      </c>
      <c r="D6" s="38">
        <v>308237</v>
      </c>
      <c r="E6" s="38">
        <v>67966121.480000004</v>
      </c>
      <c r="F6" s="38">
        <v>36977500.460000001</v>
      </c>
      <c r="G6" s="38">
        <v>30988621.02</v>
      </c>
      <c r="H6" s="40">
        <v>25770954.780000001</v>
      </c>
      <c r="I6" s="40">
        <v>1737878.037</v>
      </c>
      <c r="J6" s="40">
        <v>2875932.1690000002</v>
      </c>
      <c r="K6" s="40">
        <v>1255541.7990000001</v>
      </c>
      <c r="L6" s="40">
        <v>5337193.6840000004</v>
      </c>
      <c r="M6" s="40">
        <v>6592735.483</v>
      </c>
    </row>
    <row r="7" spans="1:14" ht="30" x14ac:dyDescent="0.25">
      <c r="A7" s="38">
        <v>15</v>
      </c>
      <c r="B7" s="36" t="s">
        <v>124</v>
      </c>
      <c r="C7" s="38">
        <v>217</v>
      </c>
      <c r="D7" s="38">
        <v>114133</v>
      </c>
      <c r="E7" s="38">
        <v>28944889.18</v>
      </c>
      <c r="F7" s="38">
        <v>6813613.8729999997</v>
      </c>
      <c r="G7" s="38">
        <v>22131275.300000001</v>
      </c>
      <c r="H7" s="40">
        <v>5278807.9670000002</v>
      </c>
      <c r="I7" s="40">
        <v>268820.59499999997</v>
      </c>
      <c r="J7" s="40">
        <v>650807.397</v>
      </c>
      <c r="K7" s="40">
        <v>55551.146000000001</v>
      </c>
      <c r="L7" s="40">
        <v>559626.76800000004</v>
      </c>
      <c r="M7" s="40">
        <v>615177.91399999999</v>
      </c>
    </row>
    <row r="8" spans="1:14" ht="60" x14ac:dyDescent="0.25">
      <c r="A8" s="38">
        <v>16</v>
      </c>
      <c r="B8" s="36" t="s">
        <v>126</v>
      </c>
      <c r="C8" s="38">
        <v>134</v>
      </c>
      <c r="D8" s="38">
        <v>24838</v>
      </c>
      <c r="E8" s="38">
        <v>4182718</v>
      </c>
      <c r="F8" s="38">
        <v>2409949</v>
      </c>
      <c r="G8" s="38">
        <v>1772770</v>
      </c>
      <c r="H8" s="41">
        <v>2032028.399</v>
      </c>
      <c r="I8" s="41">
        <v>93780.304000000004</v>
      </c>
      <c r="J8" s="41">
        <v>123766.724</v>
      </c>
      <c r="K8" s="41">
        <v>14209.503000000001</v>
      </c>
      <c r="L8" s="41">
        <v>146163.842</v>
      </c>
      <c r="M8" s="41">
        <v>160373.345</v>
      </c>
    </row>
    <row r="9" spans="1:14" ht="30" x14ac:dyDescent="0.25">
      <c r="A9" s="38">
        <v>17</v>
      </c>
      <c r="B9" s="36" t="s">
        <v>127</v>
      </c>
      <c r="C9" s="38">
        <v>105</v>
      </c>
      <c r="D9" s="38">
        <v>26805</v>
      </c>
      <c r="E9" s="38"/>
      <c r="F9" s="38"/>
      <c r="G9" s="38"/>
      <c r="H9" s="41">
        <v>19204551.41</v>
      </c>
      <c r="I9" s="41">
        <v>3867666.8909999998</v>
      </c>
      <c r="J9" s="41">
        <v>2283822.8939999999</v>
      </c>
      <c r="K9" s="41">
        <v>78771.990999999995</v>
      </c>
      <c r="L9" s="41">
        <v>1158831.9339999999</v>
      </c>
      <c r="M9" s="41">
        <v>1237603.925</v>
      </c>
    </row>
    <row r="10" spans="1:14" x14ac:dyDescent="0.25">
      <c r="A10" s="38">
        <v>18</v>
      </c>
      <c r="B10" s="36" t="s">
        <v>128</v>
      </c>
      <c r="C10" s="38">
        <v>95</v>
      </c>
      <c r="D10" s="38">
        <v>12900</v>
      </c>
      <c r="E10" s="38">
        <v>49787693</v>
      </c>
      <c r="F10" s="38">
        <v>26593645</v>
      </c>
      <c r="G10" s="38">
        <v>23194048</v>
      </c>
      <c r="H10" s="41">
        <v>2588472.952</v>
      </c>
      <c r="I10" s="41">
        <v>196359.07500000001</v>
      </c>
      <c r="J10" s="41">
        <v>828347.61100000003</v>
      </c>
      <c r="K10" s="41">
        <v>57096.451000000001</v>
      </c>
      <c r="L10" s="41">
        <v>314004.59299999999</v>
      </c>
      <c r="M10" s="41">
        <v>371101.04399999999</v>
      </c>
    </row>
    <row r="11" spans="1:14" ht="45" x14ac:dyDescent="0.25">
      <c r="A11" s="38">
        <v>19</v>
      </c>
      <c r="B11" s="36" t="s">
        <v>129</v>
      </c>
      <c r="C11" s="38">
        <v>15</v>
      </c>
      <c r="D11" s="38">
        <v>1121</v>
      </c>
      <c r="E11" s="38">
        <v>9138129</v>
      </c>
      <c r="F11" s="38">
        <v>3984281</v>
      </c>
      <c r="G11" s="38">
        <v>5153848</v>
      </c>
      <c r="H11" s="41">
        <v>228367.027</v>
      </c>
      <c r="I11" s="41">
        <v>16751.103999999999</v>
      </c>
      <c r="J11" s="41">
        <v>5644.5540000000001</v>
      </c>
      <c r="K11" s="41">
        <v>6403.7529999999997</v>
      </c>
      <c r="L11" s="41">
        <v>10740.710999999999</v>
      </c>
      <c r="M11" s="41">
        <v>17144.464</v>
      </c>
    </row>
    <row r="12" spans="1:14" ht="30" x14ac:dyDescent="0.25">
      <c r="A12" s="38">
        <v>20</v>
      </c>
      <c r="B12" s="36" t="s">
        <v>130</v>
      </c>
      <c r="C12" s="38">
        <v>305</v>
      </c>
      <c r="D12" s="38">
        <v>56816</v>
      </c>
      <c r="E12" s="38">
        <v>163974828</v>
      </c>
      <c r="F12" s="38">
        <v>110171293</v>
      </c>
      <c r="G12" s="38">
        <v>53803535</v>
      </c>
      <c r="H12" s="41">
        <v>77876445.849999994</v>
      </c>
      <c r="I12" s="41">
        <v>3366995.986</v>
      </c>
      <c r="J12" s="41">
        <v>12704461.59</v>
      </c>
      <c r="K12" s="41">
        <v>1098247.0120000001</v>
      </c>
      <c r="L12" s="41">
        <v>15125142.279999999</v>
      </c>
      <c r="M12" s="41">
        <v>16223389.300000001</v>
      </c>
    </row>
    <row r="13" spans="1:14" ht="45" x14ac:dyDescent="0.25">
      <c r="A13" s="38">
        <v>21</v>
      </c>
      <c r="B13" s="36" t="s">
        <v>132</v>
      </c>
      <c r="C13" s="38">
        <v>76</v>
      </c>
      <c r="D13" s="38">
        <v>17793</v>
      </c>
      <c r="E13" s="38">
        <v>13347012</v>
      </c>
      <c r="F13" s="38">
        <v>6653139</v>
      </c>
      <c r="G13" s="38">
        <v>6693873</v>
      </c>
      <c r="H13" s="41">
        <v>3557162.963</v>
      </c>
      <c r="I13" s="41">
        <v>796940.30599999998</v>
      </c>
      <c r="J13" s="41">
        <v>301258.38099999999</v>
      </c>
      <c r="K13" s="41">
        <v>46683.519999999997</v>
      </c>
      <c r="L13" s="41">
        <v>1951094.24</v>
      </c>
      <c r="M13" s="41">
        <v>1997777.76</v>
      </c>
    </row>
    <row r="14" spans="1:14" ht="30" x14ac:dyDescent="0.25">
      <c r="A14" s="38">
        <v>22</v>
      </c>
      <c r="B14" s="36" t="s">
        <v>131</v>
      </c>
      <c r="C14" s="38">
        <v>482</v>
      </c>
      <c r="D14" s="38">
        <v>168930</v>
      </c>
      <c r="E14" s="38">
        <v>0</v>
      </c>
      <c r="F14" s="38">
        <v>0</v>
      </c>
      <c r="G14" s="38">
        <v>0</v>
      </c>
      <c r="H14" s="41">
        <v>55610127.700000003</v>
      </c>
      <c r="I14" s="41">
        <v>4586907.1500000004</v>
      </c>
      <c r="J14" s="41">
        <v>4135991.5019999999</v>
      </c>
      <c r="K14" s="41">
        <v>467095.97200000001</v>
      </c>
      <c r="L14" s="41">
        <v>5317320.8930000002</v>
      </c>
      <c r="M14" s="41">
        <v>5784416.8650000002</v>
      </c>
    </row>
    <row r="15" spans="1:14" ht="30" x14ac:dyDescent="0.25">
      <c r="A15" s="38">
        <v>23</v>
      </c>
      <c r="B15" s="36" t="s">
        <v>133</v>
      </c>
      <c r="C15" s="38">
        <v>746</v>
      </c>
      <c r="D15" s="38">
        <v>73212</v>
      </c>
      <c r="E15" s="38">
        <v>119705692</v>
      </c>
      <c r="F15" s="38">
        <v>70117443</v>
      </c>
      <c r="G15" s="38">
        <v>49588249</v>
      </c>
      <c r="H15" s="41">
        <v>8500021.9609999992</v>
      </c>
      <c r="I15" s="41">
        <v>2556858.4079999998</v>
      </c>
      <c r="J15" s="41">
        <v>1177682.956</v>
      </c>
      <c r="K15" s="41">
        <v>50720.622000000003</v>
      </c>
      <c r="L15" s="41">
        <v>818403.66599999997</v>
      </c>
      <c r="M15" s="41">
        <v>869124.28799999994</v>
      </c>
    </row>
    <row r="16" spans="1:14" x14ac:dyDescent="0.25">
      <c r="A16" s="38">
        <v>24</v>
      </c>
      <c r="B16" s="36" t="s">
        <v>134</v>
      </c>
      <c r="C16" s="38">
        <v>86</v>
      </c>
      <c r="D16" s="38">
        <v>13366</v>
      </c>
      <c r="E16" s="38">
        <v>28795098</v>
      </c>
      <c r="F16" s="38">
        <v>16564823</v>
      </c>
      <c r="G16" s="38">
        <v>12230275</v>
      </c>
      <c r="H16" s="41">
        <v>22190069.120000001</v>
      </c>
      <c r="I16" s="41">
        <v>440065.90600000002</v>
      </c>
      <c r="J16" s="41">
        <v>766064.65399999998</v>
      </c>
      <c r="K16" s="41">
        <v>80086.557000000001</v>
      </c>
      <c r="L16" s="41">
        <v>754530.20200000005</v>
      </c>
      <c r="M16" s="41">
        <v>834616.75899999996</v>
      </c>
    </row>
    <row r="17" spans="1:13" ht="30" x14ac:dyDescent="0.25">
      <c r="A17" s="38">
        <v>25</v>
      </c>
      <c r="B17" s="36" t="s">
        <v>135</v>
      </c>
      <c r="C17" s="38">
        <v>293</v>
      </c>
      <c r="D17" s="38">
        <v>45322</v>
      </c>
      <c r="E17" s="38">
        <v>110719139</v>
      </c>
      <c r="F17" s="38">
        <v>65588105</v>
      </c>
      <c r="G17" s="38">
        <v>45131034</v>
      </c>
      <c r="H17" s="41">
        <v>12450684.369999999</v>
      </c>
      <c r="I17" s="41">
        <v>669150.76699999999</v>
      </c>
      <c r="J17" s="41">
        <v>968209.82799999998</v>
      </c>
      <c r="K17" s="41">
        <v>966258.54099999997</v>
      </c>
      <c r="L17" s="41">
        <v>1510519.166</v>
      </c>
      <c r="M17" s="41">
        <v>16564822.67</v>
      </c>
    </row>
    <row r="18" spans="1:13" ht="30" x14ac:dyDescent="0.25">
      <c r="A18" s="38">
        <v>26</v>
      </c>
      <c r="B18" s="36" t="s">
        <v>136</v>
      </c>
      <c r="C18" s="38">
        <v>191</v>
      </c>
      <c r="D18" s="38">
        <v>77590</v>
      </c>
      <c r="E18" s="38">
        <v>0</v>
      </c>
      <c r="F18" s="38">
        <v>0</v>
      </c>
      <c r="G18" s="38">
        <v>0</v>
      </c>
      <c r="H18" s="41">
        <v>56732802.280000001</v>
      </c>
      <c r="I18" s="41">
        <v>739942.25899999996</v>
      </c>
      <c r="J18" s="41">
        <v>3722548.1310000001</v>
      </c>
      <c r="K18" s="41">
        <v>669401.68200000003</v>
      </c>
      <c r="L18" s="41">
        <v>3723410.5839999998</v>
      </c>
      <c r="M18" s="41">
        <v>65588104.939999998</v>
      </c>
    </row>
    <row r="19" spans="1:13" x14ac:dyDescent="0.25">
      <c r="A19" s="38">
        <v>27</v>
      </c>
      <c r="B19" s="36" t="s">
        <v>137</v>
      </c>
      <c r="C19" s="38">
        <v>139</v>
      </c>
      <c r="D19" s="38">
        <v>43485</v>
      </c>
      <c r="E19" s="38">
        <v>60125184</v>
      </c>
      <c r="F19" s="38">
        <v>28148439</v>
      </c>
      <c r="G19" s="38">
        <v>31976745</v>
      </c>
      <c r="H19" s="41">
        <v>22752740</v>
      </c>
      <c r="I19" s="41">
        <v>936541.446</v>
      </c>
      <c r="J19" s="41">
        <v>2406596.3790000002</v>
      </c>
      <c r="K19" s="41">
        <v>799239.57499999995</v>
      </c>
      <c r="L19" s="41">
        <v>1253321.1129999999</v>
      </c>
      <c r="M19" s="41">
        <v>28148438.510000002</v>
      </c>
    </row>
    <row r="20" spans="1:13" ht="30" x14ac:dyDescent="0.25">
      <c r="A20" s="38">
        <v>28</v>
      </c>
      <c r="B20" s="36" t="s">
        <v>138</v>
      </c>
      <c r="C20" s="38">
        <v>172</v>
      </c>
      <c r="D20" s="38">
        <v>32630</v>
      </c>
      <c r="E20" s="38">
        <v>38530958</v>
      </c>
      <c r="F20" s="38">
        <v>15183535</v>
      </c>
      <c r="G20" s="38">
        <v>23347423</v>
      </c>
      <c r="H20" s="41">
        <v>10367254.18</v>
      </c>
      <c r="I20" s="41">
        <v>227815.905</v>
      </c>
      <c r="J20" s="41">
        <v>530874.05000000005</v>
      </c>
      <c r="K20" s="41">
        <v>66269.418999999994</v>
      </c>
      <c r="L20" s="41">
        <v>3991321.196</v>
      </c>
      <c r="M20" s="41">
        <v>15183534.75</v>
      </c>
    </row>
    <row r="21" spans="1:13" ht="45" x14ac:dyDescent="0.25">
      <c r="A21" s="38">
        <v>29</v>
      </c>
      <c r="B21" s="36" t="s">
        <v>143</v>
      </c>
      <c r="C21" s="38">
        <v>10</v>
      </c>
      <c r="D21" s="38">
        <v>0</v>
      </c>
      <c r="E21" s="38">
        <v>199790543</v>
      </c>
      <c r="F21" s="38">
        <v>92991681</v>
      </c>
      <c r="G21" s="38">
        <v>106798862</v>
      </c>
      <c r="H21" s="41">
        <v>65350406.479999997</v>
      </c>
      <c r="I21" s="41">
        <v>2327436.7969999998</v>
      </c>
      <c r="J21" s="41">
        <v>5039601.415</v>
      </c>
      <c r="K21" s="41">
        <v>565426.52899999998</v>
      </c>
      <c r="L21" s="41">
        <v>19708809.350000001</v>
      </c>
      <c r="M21" s="41">
        <v>92991680.569999993</v>
      </c>
    </row>
    <row r="22" spans="1:13" ht="30" x14ac:dyDescent="0.25">
      <c r="A22" s="38">
        <v>30</v>
      </c>
      <c r="B22" s="36" t="s">
        <v>139</v>
      </c>
      <c r="C22" s="38">
        <v>233</v>
      </c>
      <c r="D22" s="38">
        <v>74059</v>
      </c>
      <c r="E22" s="38">
        <v>21099427</v>
      </c>
      <c r="F22" s="38">
        <v>10464566</v>
      </c>
      <c r="G22" s="38">
        <v>10634861</v>
      </c>
      <c r="H22" s="41">
        <v>7829314.6909999996</v>
      </c>
      <c r="I22" s="41">
        <v>411032.09100000001</v>
      </c>
      <c r="J22" s="41">
        <v>807386.43099999998</v>
      </c>
      <c r="K22" s="41">
        <v>628950.14</v>
      </c>
      <c r="L22" s="41">
        <v>787882.87100000004</v>
      </c>
      <c r="M22" s="41">
        <v>10464566.220000001</v>
      </c>
    </row>
    <row r="23" spans="1:13" x14ac:dyDescent="0.25">
      <c r="A23" s="38">
        <v>31</v>
      </c>
      <c r="B23" s="36" t="s">
        <v>140</v>
      </c>
      <c r="C23" s="38">
        <v>129</v>
      </c>
      <c r="D23" s="38">
        <v>29350</v>
      </c>
      <c r="E23" s="38">
        <v>10011628</v>
      </c>
      <c r="F23" s="38">
        <v>5280536</v>
      </c>
      <c r="G23" s="38">
        <v>4731092</v>
      </c>
      <c r="H23" s="41">
        <v>3738679.6290000002</v>
      </c>
      <c r="I23" s="41">
        <v>196400.247</v>
      </c>
      <c r="J23" s="41">
        <v>407711.35499999998</v>
      </c>
      <c r="K23" s="41">
        <v>342018.21799999999</v>
      </c>
      <c r="L23" s="41">
        <v>595726.53700000001</v>
      </c>
      <c r="M23" s="41">
        <v>5280535.9859999996</v>
      </c>
    </row>
    <row r="24" spans="1:13" ht="30" x14ac:dyDescent="0.25">
      <c r="A24" s="38">
        <v>32</v>
      </c>
      <c r="B24" s="36" t="s">
        <v>141</v>
      </c>
      <c r="C24" s="38">
        <v>251</v>
      </c>
      <c r="D24" s="38">
        <v>31858</v>
      </c>
      <c r="E24" s="38">
        <v>0</v>
      </c>
      <c r="F24" s="38">
        <v>0</v>
      </c>
      <c r="G24" s="38">
        <v>0</v>
      </c>
      <c r="H24" s="41">
        <v>4259563.3760000002</v>
      </c>
      <c r="I24" s="41">
        <v>175390.073</v>
      </c>
      <c r="J24" s="41">
        <v>250364.48</v>
      </c>
      <c r="K24" s="41">
        <v>186701.245</v>
      </c>
      <c r="L24" s="41">
        <v>339721.91200000001</v>
      </c>
      <c r="M24" s="41">
        <v>5211741.0860000001</v>
      </c>
    </row>
    <row r="25" spans="1:13" ht="45" x14ac:dyDescent="0.25">
      <c r="A25" s="38">
        <v>33</v>
      </c>
      <c r="B25" s="36" t="s">
        <v>142</v>
      </c>
      <c r="C25" s="38">
        <v>155</v>
      </c>
      <c r="D25" s="38">
        <v>51383</v>
      </c>
      <c r="E25" s="38">
        <v>16398625</v>
      </c>
      <c r="F25" s="38">
        <v>5211741</v>
      </c>
      <c r="G25" s="38">
        <v>11186884</v>
      </c>
      <c r="H25" s="41">
        <v>21035.981</v>
      </c>
      <c r="I25" s="41">
        <v>12383.26</v>
      </c>
      <c r="J25" s="41">
        <v>5396.2420000000002</v>
      </c>
      <c r="K25" s="41">
        <v>1845.67</v>
      </c>
      <c r="L25" s="41">
        <v>11347.286</v>
      </c>
      <c r="M25" s="41">
        <v>52008.438999999998</v>
      </c>
    </row>
    <row r="26" spans="1:13" x14ac:dyDescent="0.25">
      <c r="A26" s="115" t="s">
        <v>71</v>
      </c>
      <c r="B26" s="115"/>
      <c r="C26" s="38">
        <v>6874</v>
      </c>
      <c r="D26" s="38">
        <v>1588155</v>
      </c>
      <c r="E26" s="38">
        <v>1215104469.0799999</v>
      </c>
      <c r="F26" s="38">
        <v>692892005.74000001</v>
      </c>
      <c r="G26" s="38">
        <v>522212414.44999999</v>
      </c>
      <c r="H26" s="40">
        <v>555900912</v>
      </c>
      <c r="I26" s="40">
        <v>31439398</v>
      </c>
      <c r="J26" s="40">
        <v>59531283</v>
      </c>
      <c r="K26" s="40">
        <v>8297819</v>
      </c>
      <c r="L26" s="40">
        <v>75377063</v>
      </c>
      <c r="M26" s="40">
        <v>730546474</v>
      </c>
    </row>
    <row r="27" spans="1:13" x14ac:dyDescent="0.25">
      <c r="A27" s="38"/>
      <c r="B27" s="36"/>
      <c r="C27" s="38">
        <f>SUM(C2:C25)</f>
        <v>6874</v>
      </c>
      <c r="D27" s="38">
        <f>SUM(D2:D25)</f>
        <v>1590432</v>
      </c>
      <c r="E27" s="38">
        <f t="shared" ref="E27:L27" si="0">SUM(E2:E25)</f>
        <v>1215104469.0799999</v>
      </c>
      <c r="F27" s="38">
        <f t="shared" si="0"/>
        <v>692892055.59800005</v>
      </c>
      <c r="G27" s="38">
        <f t="shared" si="0"/>
        <v>522212414.44700003</v>
      </c>
      <c r="H27" s="40">
        <f t="shared" si="0"/>
        <v>555900912.11899996</v>
      </c>
      <c r="I27" s="40">
        <f t="shared" si="0"/>
        <v>31439397.815999996</v>
      </c>
      <c r="J27" s="40">
        <f t="shared" si="0"/>
        <v>59531282.493999988</v>
      </c>
      <c r="K27" s="40">
        <f t="shared" si="0"/>
        <v>8297818.9800000004</v>
      </c>
      <c r="L27" s="40">
        <f t="shared" si="0"/>
        <v>75377062.513999999</v>
      </c>
      <c r="M27" s="40">
        <f>SUM(M2:M25)</f>
        <v>287012143.63900006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A20E-4F80-4309-A9F0-05C900CD525C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03D1-3E01-4C92-9EF8-322CFCFB3DEB}">
  <dimension ref="A1:K47"/>
  <sheetViews>
    <sheetView zoomScale="85" zoomScaleNormal="85" workbookViewId="0">
      <selection activeCell="B15" sqref="B15"/>
    </sheetView>
  </sheetViews>
  <sheetFormatPr defaultRowHeight="15" x14ac:dyDescent="0.25"/>
  <cols>
    <col min="2" max="2" width="13.42578125" customWidth="1"/>
    <col min="3" max="3" width="15.28515625" customWidth="1"/>
    <col min="4" max="4" width="14.5703125" customWidth="1"/>
    <col min="5" max="5" width="12.85546875" customWidth="1"/>
    <col min="6" max="7" width="12.7109375" bestFit="1" customWidth="1"/>
    <col min="8" max="8" width="11.140625" bestFit="1" customWidth="1"/>
    <col min="9" max="10" width="12.7109375" bestFit="1" customWidth="1"/>
  </cols>
  <sheetData>
    <row r="1" spans="1:11" x14ac:dyDescent="0.25">
      <c r="A1" s="31" t="s">
        <v>183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s="37" customFormat="1" ht="45" x14ac:dyDescent="0.25">
      <c r="A2" s="36" t="s">
        <v>32</v>
      </c>
      <c r="B2" s="36" t="s">
        <v>177</v>
      </c>
      <c r="C2" s="36" t="s">
        <v>178</v>
      </c>
      <c r="D2" s="36" t="s">
        <v>179</v>
      </c>
      <c r="E2" s="36" t="s">
        <v>180</v>
      </c>
      <c r="F2" s="36" t="s">
        <v>181</v>
      </c>
      <c r="G2" s="36" t="s">
        <v>182</v>
      </c>
      <c r="H2" s="36" t="s">
        <v>184</v>
      </c>
      <c r="I2" s="36" t="s">
        <v>151</v>
      </c>
      <c r="J2" s="36" t="s">
        <v>71</v>
      </c>
      <c r="K2" s="37" t="s">
        <v>198</v>
      </c>
    </row>
    <row r="3" spans="1:11" s="37" customFormat="1" x14ac:dyDescent="0.25">
      <c r="A3" s="36">
        <v>2011</v>
      </c>
      <c r="B3" s="36" t="s">
        <v>220</v>
      </c>
      <c r="C3" s="36">
        <v>33172693</v>
      </c>
      <c r="D3">
        <v>12635041</v>
      </c>
      <c r="E3" s="36"/>
      <c r="F3" s="36"/>
      <c r="G3" s="36"/>
      <c r="H3" s="36"/>
      <c r="I3" s="36"/>
      <c r="J3" s="36"/>
    </row>
    <row r="4" spans="1:11" s="37" customFormat="1" x14ac:dyDescent="0.25">
      <c r="A4" s="36">
        <v>2012</v>
      </c>
      <c r="B4" s="36">
        <v>46660612</v>
      </c>
      <c r="C4" s="36">
        <v>31108707</v>
      </c>
      <c r="D4" s="36">
        <v>15551905</v>
      </c>
      <c r="E4" s="36">
        <v>27355648</v>
      </c>
      <c r="F4" s="36">
        <v>1477774</v>
      </c>
      <c r="G4" s="36">
        <v>808060</v>
      </c>
      <c r="H4" s="36">
        <v>51411</v>
      </c>
      <c r="I4" s="36">
        <v>1415814</v>
      </c>
      <c r="J4" s="36">
        <v>31108707</v>
      </c>
    </row>
    <row r="5" spans="1:11" x14ac:dyDescent="0.25">
      <c r="A5" s="31">
        <v>2013</v>
      </c>
      <c r="B5" s="31">
        <v>53137622</v>
      </c>
      <c r="C5" s="31">
        <v>34804985</v>
      </c>
      <c r="D5" s="31">
        <v>18332636</v>
      </c>
      <c r="E5" s="31">
        <v>30280591</v>
      </c>
      <c r="F5" s="31">
        <v>1903005</v>
      </c>
      <c r="G5" s="31">
        <v>810214</v>
      </c>
      <c r="H5" s="31">
        <v>84006</v>
      </c>
      <c r="I5" s="31">
        <v>1727169</v>
      </c>
      <c r="J5" s="31">
        <v>34804985</v>
      </c>
    </row>
    <row r="6" spans="1:11" x14ac:dyDescent="0.25">
      <c r="A6" s="31">
        <v>2014</v>
      </c>
      <c r="B6" s="31">
        <v>59362628</v>
      </c>
      <c r="C6" s="31">
        <v>40213915</v>
      </c>
      <c r="D6" s="31">
        <v>19148713</v>
      </c>
      <c r="E6" s="31">
        <v>30280591</v>
      </c>
      <c r="F6" s="31">
        <v>1903005</v>
      </c>
      <c r="G6" s="31">
        <v>810214</v>
      </c>
      <c r="H6" s="31">
        <v>84006</v>
      </c>
      <c r="I6" s="31">
        <v>1727169</v>
      </c>
      <c r="J6" s="31">
        <v>34804985</v>
      </c>
    </row>
    <row r="7" spans="1:11" x14ac:dyDescent="0.25">
      <c r="A7" s="31">
        <v>2015</v>
      </c>
      <c r="B7" s="31">
        <v>72246122.290000007</v>
      </c>
      <c r="C7" s="31">
        <v>49475992.210000001</v>
      </c>
      <c r="D7" s="31">
        <v>22770130.079999998</v>
      </c>
      <c r="E7" s="31">
        <v>40739853.259999998</v>
      </c>
      <c r="F7" s="31">
        <v>2832305.8849999998</v>
      </c>
      <c r="G7" s="31">
        <v>2523273.4589999998</v>
      </c>
      <c r="H7" s="31">
        <v>316101.196</v>
      </c>
      <c r="I7" s="31">
        <v>3064458.406</v>
      </c>
      <c r="J7" s="31">
        <v>3380559.602</v>
      </c>
      <c r="K7">
        <v>106055</v>
      </c>
    </row>
    <row r="8" spans="1:11" x14ac:dyDescent="0.25">
      <c r="A8" s="31">
        <v>2016</v>
      </c>
      <c r="K8">
        <v>1062</v>
      </c>
    </row>
    <row r="9" spans="1:11" x14ac:dyDescent="0.25">
      <c r="A9" t="s">
        <v>121</v>
      </c>
      <c r="B9" s="31"/>
      <c r="C9" s="31"/>
      <c r="D9" s="31"/>
    </row>
    <row r="10" spans="1:11" ht="45" x14ac:dyDescent="0.25">
      <c r="A10" s="36" t="s">
        <v>32</v>
      </c>
      <c r="B10" s="36" t="s">
        <v>177</v>
      </c>
      <c r="C10" s="36" t="s">
        <v>178</v>
      </c>
      <c r="D10" s="36" t="s">
        <v>179</v>
      </c>
      <c r="E10" s="36" t="s">
        <v>180</v>
      </c>
      <c r="F10" s="36" t="s">
        <v>181</v>
      </c>
      <c r="G10" s="36" t="s">
        <v>182</v>
      </c>
      <c r="H10" s="36" t="s">
        <v>184</v>
      </c>
      <c r="I10" s="36" t="s">
        <v>151</v>
      </c>
      <c r="J10" s="36" t="s">
        <v>71</v>
      </c>
      <c r="K10" s="37" t="s">
        <v>198</v>
      </c>
    </row>
    <row r="11" spans="1:11" x14ac:dyDescent="0.25">
      <c r="A11" s="36">
        <v>2011</v>
      </c>
      <c r="B11">
        <v>2939183</v>
      </c>
      <c r="C11">
        <v>1263620</v>
      </c>
      <c r="D11">
        <v>1675563</v>
      </c>
      <c r="E11">
        <v>897397</v>
      </c>
      <c r="F11">
        <v>84481</v>
      </c>
      <c r="G11">
        <v>102851</v>
      </c>
      <c r="H11">
        <v>4136</v>
      </c>
      <c r="I11">
        <v>176961</v>
      </c>
      <c r="J11">
        <v>1265825</v>
      </c>
    </row>
    <row r="12" spans="1:11" x14ac:dyDescent="0.25">
      <c r="A12" s="36">
        <v>2012</v>
      </c>
      <c r="B12">
        <v>5104795</v>
      </c>
      <c r="C12">
        <v>2122806</v>
      </c>
      <c r="D12">
        <v>2981989</v>
      </c>
      <c r="E12">
        <v>1609793</v>
      </c>
      <c r="F12">
        <v>101412</v>
      </c>
      <c r="G12">
        <v>199608</v>
      </c>
      <c r="H12">
        <v>5105</v>
      </c>
      <c r="I12">
        <v>206888</v>
      </c>
      <c r="J12">
        <v>2122806</v>
      </c>
    </row>
    <row r="13" spans="1:11" x14ac:dyDescent="0.25">
      <c r="A13" s="31">
        <v>2013</v>
      </c>
      <c r="B13">
        <v>6788194</v>
      </c>
      <c r="C13">
        <v>3317649</v>
      </c>
      <c r="D13">
        <v>3470545</v>
      </c>
      <c r="E13">
        <v>2517057</v>
      </c>
      <c r="F13">
        <v>151849</v>
      </c>
      <c r="G13">
        <v>147802</v>
      </c>
      <c r="H13">
        <v>14763</v>
      </c>
      <c r="I13">
        <v>486178</v>
      </c>
      <c r="J13">
        <v>3317649</v>
      </c>
    </row>
    <row r="14" spans="1:11" x14ac:dyDescent="0.25">
      <c r="A14" s="31">
        <v>2014</v>
      </c>
      <c r="B14">
        <v>8258144</v>
      </c>
      <c r="C14">
        <v>4157228</v>
      </c>
      <c r="D14">
        <v>4100916</v>
      </c>
      <c r="E14">
        <v>2517057</v>
      </c>
      <c r="F14">
        <v>151849</v>
      </c>
      <c r="G14">
        <v>147802</v>
      </c>
      <c r="H14">
        <v>14763</v>
      </c>
      <c r="I14">
        <v>486178</v>
      </c>
      <c r="J14">
        <v>3317649</v>
      </c>
    </row>
    <row r="15" spans="1:11" x14ac:dyDescent="0.25">
      <c r="A15" s="31">
        <v>2015</v>
      </c>
      <c r="B15" s="43">
        <v>8273813.6100000003</v>
      </c>
      <c r="C15" s="31">
        <v>3519664.4249999998</v>
      </c>
      <c r="D15" s="31">
        <v>4754149.1869999999</v>
      </c>
      <c r="E15" s="31">
        <v>2546384.361</v>
      </c>
      <c r="F15" s="31">
        <v>136708.09299999999</v>
      </c>
      <c r="G15" s="31">
        <v>169296.01199999999</v>
      </c>
      <c r="H15" s="31">
        <v>38821.398999999998</v>
      </c>
      <c r="I15" s="31">
        <v>628454.56000000006</v>
      </c>
      <c r="J15" s="31">
        <v>667275.95900000003</v>
      </c>
      <c r="K15">
        <v>17158</v>
      </c>
    </row>
    <row r="16" spans="1:11" x14ac:dyDescent="0.25">
      <c r="A16" s="31">
        <v>2016</v>
      </c>
      <c r="K16">
        <v>14616</v>
      </c>
    </row>
    <row r="17" spans="1:10" x14ac:dyDescent="0.25">
      <c r="A17" t="s">
        <v>185</v>
      </c>
    </row>
    <row r="18" spans="1:10" ht="45" x14ac:dyDescent="0.25">
      <c r="A18" s="36" t="s">
        <v>32</v>
      </c>
      <c r="B18" s="36" t="s">
        <v>177</v>
      </c>
      <c r="C18" s="36" t="s">
        <v>178</v>
      </c>
      <c r="D18" s="36" t="s">
        <v>179</v>
      </c>
      <c r="E18" s="36" t="s">
        <v>180</v>
      </c>
      <c r="F18" s="36" t="s">
        <v>181</v>
      </c>
      <c r="G18" s="36" t="s">
        <v>182</v>
      </c>
      <c r="H18" s="36" t="s">
        <v>184</v>
      </c>
      <c r="I18" s="36" t="s">
        <v>151</v>
      </c>
      <c r="J18" s="36" t="s">
        <v>71</v>
      </c>
    </row>
    <row r="19" spans="1:10" x14ac:dyDescent="0.25">
      <c r="A19" s="36">
        <v>2011</v>
      </c>
      <c r="B19">
        <v>116489</v>
      </c>
      <c r="C19">
        <v>73860</v>
      </c>
      <c r="D19">
        <v>42629</v>
      </c>
    </row>
    <row r="20" spans="1:10" x14ac:dyDescent="0.25">
      <c r="A20" s="36">
        <v>2012</v>
      </c>
    </row>
    <row r="21" spans="1:10" x14ac:dyDescent="0.25">
      <c r="A21" s="31">
        <v>2013</v>
      </c>
    </row>
    <row r="22" spans="1:10" x14ac:dyDescent="0.25">
      <c r="A22" s="31">
        <v>2014</v>
      </c>
    </row>
    <row r="23" spans="1:10" x14ac:dyDescent="0.25">
      <c r="A23" s="31">
        <v>2015</v>
      </c>
    </row>
    <row r="25" spans="1:10" x14ac:dyDescent="0.25">
      <c r="A25" t="s">
        <v>125</v>
      </c>
    </row>
    <row r="26" spans="1:10" ht="45" x14ac:dyDescent="0.25">
      <c r="A26" s="36" t="s">
        <v>32</v>
      </c>
      <c r="B26" s="36" t="s">
        <v>177</v>
      </c>
      <c r="C26" s="36" t="s">
        <v>178</v>
      </c>
      <c r="D26" s="36" t="s">
        <v>179</v>
      </c>
      <c r="E26" s="36" t="s">
        <v>180</v>
      </c>
      <c r="F26" s="36" t="s">
        <v>181</v>
      </c>
      <c r="G26" s="36" t="s">
        <v>182</v>
      </c>
      <c r="H26" s="36" t="s">
        <v>184</v>
      </c>
      <c r="I26" s="36" t="s">
        <v>151</v>
      </c>
      <c r="J26" s="36" t="s">
        <v>71</v>
      </c>
    </row>
    <row r="27" spans="1:10" x14ac:dyDescent="0.25">
      <c r="A27" s="36">
        <v>2011</v>
      </c>
      <c r="B27">
        <v>94208140</v>
      </c>
      <c r="C27">
        <v>66856370</v>
      </c>
      <c r="D27">
        <v>27351770</v>
      </c>
    </row>
    <row r="28" spans="1:10" x14ac:dyDescent="0.25">
      <c r="A28" s="36">
        <v>2012</v>
      </c>
    </row>
    <row r="29" spans="1:10" x14ac:dyDescent="0.25">
      <c r="A29" s="31">
        <v>2013</v>
      </c>
    </row>
    <row r="30" spans="1:10" x14ac:dyDescent="0.25">
      <c r="A30" s="31">
        <v>2014</v>
      </c>
    </row>
    <row r="31" spans="1:10" x14ac:dyDescent="0.25">
      <c r="A31" s="31">
        <v>2015</v>
      </c>
    </row>
    <row r="33" spans="1:10" x14ac:dyDescent="0.25">
      <c r="A33" t="s">
        <v>186</v>
      </c>
    </row>
    <row r="34" spans="1:10" ht="45" x14ac:dyDescent="0.25">
      <c r="A34" s="36" t="s">
        <v>32</v>
      </c>
      <c r="B34" s="36" t="s">
        <v>177</v>
      </c>
      <c r="C34" s="36" t="s">
        <v>178</v>
      </c>
      <c r="D34" s="36" t="s">
        <v>179</v>
      </c>
      <c r="E34" s="36" t="s">
        <v>180</v>
      </c>
      <c r="F34" s="36" t="s">
        <v>181</v>
      </c>
      <c r="G34" s="36" t="s">
        <v>182</v>
      </c>
      <c r="H34" s="36" t="s">
        <v>184</v>
      </c>
      <c r="I34" s="36" t="s">
        <v>151</v>
      </c>
      <c r="J34" s="36" t="s">
        <v>71</v>
      </c>
    </row>
    <row r="35" spans="1:10" x14ac:dyDescent="0.25">
      <c r="A35" s="36">
        <v>2011</v>
      </c>
      <c r="B35">
        <v>34619786</v>
      </c>
      <c r="C35">
        <v>16676216</v>
      </c>
      <c r="D35">
        <v>17943571</v>
      </c>
    </row>
    <row r="36" spans="1:10" x14ac:dyDescent="0.25">
      <c r="A36" s="36">
        <v>2012</v>
      </c>
    </row>
    <row r="37" spans="1:10" x14ac:dyDescent="0.25">
      <c r="A37" s="31">
        <v>2013</v>
      </c>
    </row>
    <row r="38" spans="1:10" x14ac:dyDescent="0.25">
      <c r="A38" s="31">
        <v>2014</v>
      </c>
    </row>
    <row r="39" spans="1:10" x14ac:dyDescent="0.25">
      <c r="A39" s="31">
        <v>2015</v>
      </c>
    </row>
    <row r="41" spans="1:10" x14ac:dyDescent="0.25">
      <c r="A41" t="s">
        <v>124</v>
      </c>
    </row>
    <row r="42" spans="1:10" ht="45" x14ac:dyDescent="0.25">
      <c r="A42" s="36" t="s">
        <v>32</v>
      </c>
      <c r="B42" s="36" t="s">
        <v>177</v>
      </c>
      <c r="C42" s="36" t="s">
        <v>178</v>
      </c>
      <c r="D42" s="36" t="s">
        <v>179</v>
      </c>
      <c r="E42" s="36" t="s">
        <v>180</v>
      </c>
      <c r="F42" s="36" t="s">
        <v>181</v>
      </c>
      <c r="G42" s="36" t="s">
        <v>182</v>
      </c>
      <c r="H42" s="36" t="s">
        <v>184</v>
      </c>
      <c r="I42" s="36" t="s">
        <v>151</v>
      </c>
      <c r="J42" s="36" t="s">
        <v>71</v>
      </c>
    </row>
    <row r="43" spans="1:10" x14ac:dyDescent="0.25">
      <c r="A43" s="36">
        <v>2011</v>
      </c>
      <c r="B43">
        <v>14493841</v>
      </c>
      <c r="C43">
        <v>9270895</v>
      </c>
      <c r="D43">
        <v>5222946</v>
      </c>
    </row>
    <row r="44" spans="1:10" x14ac:dyDescent="0.25">
      <c r="A44" s="36">
        <v>2012</v>
      </c>
    </row>
    <row r="45" spans="1:10" x14ac:dyDescent="0.25">
      <c r="A45" s="31">
        <v>2013</v>
      </c>
    </row>
    <row r="46" spans="1:10" x14ac:dyDescent="0.25">
      <c r="A46" s="31">
        <v>2014</v>
      </c>
    </row>
    <row r="47" spans="1:10" x14ac:dyDescent="0.25">
      <c r="A47" s="31">
        <v>2015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93A7-C186-4A9B-BF08-C2E8CED26C28}">
  <dimension ref="A1:M6"/>
  <sheetViews>
    <sheetView workbookViewId="0">
      <selection activeCell="B3" sqref="B3"/>
    </sheetView>
  </sheetViews>
  <sheetFormatPr defaultRowHeight="15" x14ac:dyDescent="0.25"/>
  <cols>
    <col min="1" max="1" width="39" bestFit="1" customWidth="1"/>
    <col min="9" max="9" width="11" bestFit="1" customWidth="1"/>
  </cols>
  <sheetData>
    <row r="1" spans="1:13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3" x14ac:dyDescent="0.25">
      <c r="A2" t="s">
        <v>332</v>
      </c>
      <c r="I2">
        <v>187651591</v>
      </c>
      <c r="J2">
        <v>375805375.75</v>
      </c>
      <c r="K2">
        <v>824336038.89199996</v>
      </c>
      <c r="L2">
        <v>973621001.70599997</v>
      </c>
      <c r="M2">
        <v>1079019877.8</v>
      </c>
    </row>
    <row r="3" spans="1:13" x14ac:dyDescent="0.25">
      <c r="A3" t="s">
        <v>336</v>
      </c>
    </row>
    <row r="4" spans="1:13" x14ac:dyDescent="0.25">
      <c r="A4" t="s">
        <v>333</v>
      </c>
      <c r="I4">
        <v>1969820</v>
      </c>
      <c r="J4">
        <v>1421830</v>
      </c>
      <c r="K4">
        <v>180410.05499999999</v>
      </c>
      <c r="L4">
        <v>87910.002999999997</v>
      </c>
    </row>
    <row r="5" spans="1:13" x14ac:dyDescent="0.25">
      <c r="A5" t="s">
        <v>334</v>
      </c>
      <c r="I5">
        <v>4515206.5683497619</v>
      </c>
      <c r="J5">
        <v>3599306.41</v>
      </c>
      <c r="K5">
        <v>5299686.6369999992</v>
      </c>
      <c r="L5">
        <v>5649864.7299999995</v>
      </c>
      <c r="M5">
        <v>6282854.5939999996</v>
      </c>
    </row>
    <row r="6" spans="1:13" x14ac:dyDescent="0.25">
      <c r="A6" t="s">
        <v>335</v>
      </c>
      <c r="I6">
        <f>I5*1000</f>
        <v>4515206568.349762</v>
      </c>
      <c r="J6">
        <f t="shared" ref="J6:M6" si="0">J5*1000</f>
        <v>3599306410</v>
      </c>
      <c r="K6">
        <f t="shared" si="0"/>
        <v>5299686636.999999</v>
      </c>
      <c r="L6">
        <f t="shared" si="0"/>
        <v>5649864729.999999</v>
      </c>
      <c r="M6">
        <f t="shared" si="0"/>
        <v>6282854594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A539-ECC7-4EF4-8565-B3E0F3F6B1AB}">
  <dimension ref="A1:AA32"/>
  <sheetViews>
    <sheetView workbookViewId="0">
      <pane xSplit="1" topLeftCell="N1" activePane="topRight" state="frozen"/>
      <selection pane="topRight" activeCell="AA13" sqref="AA13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9" bestFit="1" customWidth="1"/>
    <col min="5" max="5" width="21.140625" customWidth="1"/>
    <col min="6" max="6" width="19.7109375" customWidth="1"/>
    <col min="7" max="7" width="18.28515625" customWidth="1"/>
    <col min="8" max="8" width="8" bestFit="1" customWidth="1"/>
    <col min="9" max="9" width="6.85546875" bestFit="1" customWidth="1"/>
    <col min="10" max="10" width="7.28515625" bestFit="1" customWidth="1"/>
    <col min="11" max="11" width="6.85546875" bestFit="1" customWidth="1"/>
    <col min="12" max="12" width="9" customWidth="1"/>
    <col min="13" max="13" width="6.85546875" customWidth="1"/>
    <col min="24" max="24" width="18.42578125" customWidth="1"/>
    <col min="25" max="25" width="21.28515625" customWidth="1"/>
    <col min="26" max="26" width="19.42578125" bestFit="1" customWidth="1"/>
    <col min="27" max="27" width="17.85546875" bestFit="1" customWidth="1"/>
  </cols>
  <sheetData>
    <row r="1" spans="1:27" s="37" customFormat="1" ht="31.5" customHeight="1" x14ac:dyDescent="0.25">
      <c r="H1" s="107" t="s">
        <v>158</v>
      </c>
      <c r="I1" s="107"/>
      <c r="J1" s="107" t="s">
        <v>166</v>
      </c>
      <c r="K1" s="107"/>
      <c r="L1" s="107" t="s">
        <v>167</v>
      </c>
      <c r="M1" s="107"/>
      <c r="N1" s="107" t="s">
        <v>161</v>
      </c>
      <c r="O1" s="107"/>
      <c r="P1" s="107" t="s">
        <v>162</v>
      </c>
      <c r="Q1" s="107"/>
      <c r="R1" s="107" t="s">
        <v>163</v>
      </c>
      <c r="S1" s="107"/>
      <c r="T1" s="103" t="s">
        <v>164</v>
      </c>
      <c r="U1" s="103"/>
      <c r="V1" s="103" t="s">
        <v>165</v>
      </c>
      <c r="W1" s="103"/>
      <c r="X1" s="2" t="s">
        <v>175</v>
      </c>
      <c r="Y1" s="2" t="s">
        <v>173</v>
      </c>
      <c r="Z1" s="2" t="s">
        <v>174</v>
      </c>
      <c r="AA1" s="2" t="s">
        <v>176</v>
      </c>
    </row>
    <row r="2" spans="1:27" s="37" customFormat="1" ht="30" x14ac:dyDescent="0.25">
      <c r="A2" s="2" t="s">
        <v>32</v>
      </c>
      <c r="B2" s="37" t="s">
        <v>152</v>
      </c>
      <c r="C2" s="37" t="s">
        <v>153</v>
      </c>
      <c r="D2" s="37" t="s">
        <v>154</v>
      </c>
      <c r="E2" s="37" t="s">
        <v>155</v>
      </c>
      <c r="F2" s="37" t="s">
        <v>156</v>
      </c>
      <c r="G2" s="37" t="s">
        <v>157</v>
      </c>
      <c r="H2" s="37" t="s">
        <v>159</v>
      </c>
      <c r="I2" s="37" t="s">
        <v>160</v>
      </c>
      <c r="J2" s="37" t="s">
        <v>159</v>
      </c>
      <c r="K2" s="37" t="s">
        <v>160</v>
      </c>
      <c r="L2" s="37" t="s">
        <v>159</v>
      </c>
      <c r="M2" s="37" t="s">
        <v>160</v>
      </c>
      <c r="N2" s="37" t="s">
        <v>159</v>
      </c>
      <c r="O2" s="37" t="s">
        <v>160</v>
      </c>
      <c r="P2" s="37" t="s">
        <v>159</v>
      </c>
      <c r="Q2" s="37" t="s">
        <v>160</v>
      </c>
      <c r="R2" s="37" t="s">
        <v>159</v>
      </c>
      <c r="S2" s="37" t="s">
        <v>160</v>
      </c>
      <c r="T2" s="2" t="s">
        <v>159</v>
      </c>
      <c r="U2" s="2" t="s">
        <v>160</v>
      </c>
      <c r="V2" s="2" t="s">
        <v>159</v>
      </c>
      <c r="W2" s="2" t="s">
        <v>160</v>
      </c>
      <c r="X2" s="2" t="s">
        <v>168</v>
      </c>
      <c r="Y2" s="2" t="s">
        <v>168</v>
      </c>
      <c r="Z2" s="2"/>
      <c r="AA2" s="2"/>
    </row>
    <row r="3" spans="1:27" s="37" customFormat="1" x14ac:dyDescent="0.25">
      <c r="A3" s="2">
        <v>2008</v>
      </c>
      <c r="H3" s="37">
        <v>156482</v>
      </c>
      <c r="I3" s="37">
        <v>13594</v>
      </c>
      <c r="J3" s="37">
        <v>68344</v>
      </c>
      <c r="L3" s="37">
        <v>496857</v>
      </c>
      <c r="M3" s="37">
        <v>88847</v>
      </c>
      <c r="N3">
        <f t="shared" ref="N3:N6" si="0">H3+J3+L3</f>
        <v>721683</v>
      </c>
      <c r="O3">
        <f t="shared" ref="O3:O6" si="1">I3+K3+M3</f>
        <v>102441</v>
      </c>
      <c r="P3" s="37">
        <v>10452</v>
      </c>
      <c r="Q3" s="37">
        <v>16448</v>
      </c>
      <c r="R3" s="37">
        <v>284287</v>
      </c>
      <c r="S3" s="37">
        <v>13179</v>
      </c>
      <c r="T3" s="2">
        <v>118</v>
      </c>
      <c r="U3" s="2">
        <v>34</v>
      </c>
      <c r="V3" s="2">
        <v>5818657</v>
      </c>
      <c r="W3" s="2">
        <v>0</v>
      </c>
      <c r="X3" s="2"/>
      <c r="Y3" s="2"/>
      <c r="Z3" s="2"/>
      <c r="AA3" s="2"/>
    </row>
    <row r="4" spans="1:27" s="37" customFormat="1" x14ac:dyDescent="0.25">
      <c r="A4" s="2">
        <v>2009</v>
      </c>
      <c r="H4" s="37">
        <v>162423</v>
      </c>
      <c r="I4" s="37">
        <v>14311</v>
      </c>
      <c r="J4" s="37">
        <v>70852</v>
      </c>
      <c r="L4" s="37">
        <v>540380</v>
      </c>
      <c r="M4" s="37">
        <v>89602</v>
      </c>
      <c r="N4">
        <f t="shared" si="0"/>
        <v>773655</v>
      </c>
      <c r="O4">
        <f t="shared" si="1"/>
        <v>103913</v>
      </c>
      <c r="P4" s="37">
        <v>10622</v>
      </c>
      <c r="Q4" s="37">
        <v>17493</v>
      </c>
      <c r="R4" s="37">
        <v>293429</v>
      </c>
      <c r="S4" s="37">
        <v>19401</v>
      </c>
      <c r="T4" s="2">
        <v>125</v>
      </c>
      <c r="U4" s="2">
        <v>36</v>
      </c>
      <c r="V4" s="2">
        <v>6775893</v>
      </c>
      <c r="W4" s="14">
        <v>0</v>
      </c>
      <c r="X4" s="2"/>
      <c r="Y4" s="2"/>
      <c r="Z4" s="2"/>
      <c r="AA4" s="2"/>
    </row>
    <row r="5" spans="1:27" x14ac:dyDescent="0.25">
      <c r="A5" s="14">
        <v>2010</v>
      </c>
      <c r="B5">
        <v>43227107</v>
      </c>
      <c r="H5">
        <v>168292</v>
      </c>
      <c r="I5">
        <v>13842</v>
      </c>
      <c r="J5">
        <v>74968</v>
      </c>
      <c r="K5">
        <v>4</v>
      </c>
      <c r="L5">
        <v>627276</v>
      </c>
      <c r="M5">
        <v>71513</v>
      </c>
      <c r="N5">
        <f t="shared" si="0"/>
        <v>870536</v>
      </c>
      <c r="O5">
        <f t="shared" si="1"/>
        <v>85359</v>
      </c>
      <c r="P5">
        <v>7209</v>
      </c>
      <c r="Q5" s="31">
        <v>16375</v>
      </c>
      <c r="R5">
        <v>300790</v>
      </c>
      <c r="S5">
        <v>19401</v>
      </c>
      <c r="T5" s="14">
        <v>68</v>
      </c>
      <c r="U5" s="14">
        <v>10</v>
      </c>
      <c r="V5" s="14">
        <v>7636482</v>
      </c>
      <c r="W5" s="14">
        <v>0</v>
      </c>
      <c r="X5" s="14">
        <v>3389287</v>
      </c>
      <c r="Y5" s="14">
        <v>291688080</v>
      </c>
      <c r="Z5" s="14"/>
      <c r="AA5" s="14"/>
    </row>
    <row r="6" spans="1:27" x14ac:dyDescent="0.25">
      <c r="A6" s="14">
        <v>2011</v>
      </c>
      <c r="B6">
        <v>43938796</v>
      </c>
      <c r="H6">
        <v>163185</v>
      </c>
      <c r="I6">
        <v>14870</v>
      </c>
      <c r="J6">
        <v>78212</v>
      </c>
      <c r="K6">
        <v>3</v>
      </c>
      <c r="L6">
        <v>689990</v>
      </c>
      <c r="M6">
        <v>68896</v>
      </c>
      <c r="N6">
        <f t="shared" si="0"/>
        <v>931387</v>
      </c>
      <c r="O6">
        <f t="shared" si="1"/>
        <v>83769</v>
      </c>
      <c r="P6">
        <v>7467</v>
      </c>
      <c r="Q6">
        <v>16995</v>
      </c>
      <c r="R6">
        <v>312050</v>
      </c>
      <c r="S6">
        <v>22161</v>
      </c>
      <c r="T6" s="14">
        <v>79</v>
      </c>
      <c r="U6" s="14">
        <v>15</v>
      </c>
      <c r="V6" s="14">
        <v>8426228</v>
      </c>
      <c r="W6" s="14">
        <v>0</v>
      </c>
      <c r="X6" s="14"/>
      <c r="Y6" s="14">
        <v>319983632</v>
      </c>
      <c r="Z6" s="14"/>
      <c r="AA6" s="14"/>
    </row>
    <row r="7" spans="1:27" x14ac:dyDescent="0.25">
      <c r="A7" s="14">
        <v>2012</v>
      </c>
      <c r="B7">
        <v>44643586</v>
      </c>
      <c r="H7">
        <v>1070433</v>
      </c>
      <c r="I7">
        <v>86373</v>
      </c>
      <c r="N7">
        <f t="shared" ref="N7:O9" si="2">H7+J7+L7</f>
        <v>1070433</v>
      </c>
      <c r="O7">
        <f t="shared" si="2"/>
        <v>86373</v>
      </c>
      <c r="P7">
        <v>7123</v>
      </c>
      <c r="Q7">
        <v>17837</v>
      </c>
      <c r="R7">
        <v>346859</v>
      </c>
      <c r="S7">
        <v>29896</v>
      </c>
      <c r="T7" s="14">
        <v>66</v>
      </c>
      <c r="U7" s="14">
        <v>17</v>
      </c>
      <c r="V7" s="14">
        <v>9626748</v>
      </c>
      <c r="W7" s="14">
        <v>0</v>
      </c>
      <c r="X7" s="14"/>
      <c r="Y7" s="14">
        <v>338881030</v>
      </c>
      <c r="Z7" s="14"/>
      <c r="AA7" s="14"/>
    </row>
    <row r="8" spans="1:27" x14ac:dyDescent="0.25">
      <c r="A8" s="14">
        <v>2013</v>
      </c>
      <c r="B8">
        <v>45340799</v>
      </c>
      <c r="H8">
        <v>175654</v>
      </c>
      <c r="I8">
        <v>15916</v>
      </c>
      <c r="J8">
        <v>99350</v>
      </c>
      <c r="K8">
        <v>0</v>
      </c>
      <c r="L8" s="1">
        <v>948634</v>
      </c>
      <c r="M8">
        <v>70334</v>
      </c>
      <c r="N8">
        <f t="shared" si="2"/>
        <v>1223638</v>
      </c>
      <c r="O8">
        <f t="shared" si="2"/>
        <v>86250</v>
      </c>
      <c r="P8">
        <v>7369</v>
      </c>
      <c r="Q8">
        <v>18059</v>
      </c>
      <c r="R8">
        <v>381965</v>
      </c>
      <c r="S8">
        <v>38530</v>
      </c>
      <c r="T8" s="14">
        <v>31</v>
      </c>
      <c r="U8" s="14">
        <v>2</v>
      </c>
      <c r="V8" s="14">
        <v>10668631</v>
      </c>
      <c r="W8" s="14">
        <v>0</v>
      </c>
      <c r="X8" s="14"/>
      <c r="Y8" s="14">
        <v>369830981</v>
      </c>
      <c r="Z8" s="14"/>
      <c r="AA8" s="14"/>
    </row>
    <row r="9" spans="1:27" x14ac:dyDescent="0.25">
      <c r="A9" s="14">
        <v>2014</v>
      </c>
      <c r="B9">
        <v>45680180</v>
      </c>
      <c r="H9">
        <v>179465</v>
      </c>
      <c r="I9">
        <v>17248</v>
      </c>
      <c r="J9">
        <v>108886</v>
      </c>
      <c r="K9">
        <v>0</v>
      </c>
      <c r="L9">
        <v>1103908</v>
      </c>
      <c r="M9">
        <v>70601</v>
      </c>
      <c r="N9">
        <f t="shared" si="2"/>
        <v>1392259</v>
      </c>
      <c r="O9">
        <f t="shared" si="2"/>
        <v>87849</v>
      </c>
      <c r="P9">
        <v>8088</v>
      </c>
      <c r="Q9">
        <v>18572</v>
      </c>
      <c r="R9">
        <v>417531</v>
      </c>
      <c r="S9">
        <v>45635</v>
      </c>
      <c r="T9" s="14">
        <v>43</v>
      </c>
      <c r="U9" s="14">
        <v>8</v>
      </c>
      <c r="V9" s="14">
        <v>11750515</v>
      </c>
      <c r="W9" s="14">
        <v>0</v>
      </c>
      <c r="X9" s="14"/>
      <c r="Y9" s="14">
        <v>604374036</v>
      </c>
      <c r="Z9" s="14"/>
      <c r="AA9" s="14"/>
    </row>
    <row r="10" spans="1:27" x14ac:dyDescent="0.25">
      <c r="A10" s="14">
        <v>2015</v>
      </c>
      <c r="B10">
        <v>46709569</v>
      </c>
      <c r="T10" s="14"/>
      <c r="U10" s="14"/>
      <c r="V10" s="14"/>
      <c r="W10" s="14"/>
      <c r="X10" s="14"/>
      <c r="Y10" s="14">
        <v>604374036</v>
      </c>
      <c r="Z10" s="14">
        <f>524466.68*1000</f>
        <v>524466680.00000006</v>
      </c>
      <c r="AA10" s="14"/>
    </row>
    <row r="11" spans="1:27" x14ac:dyDescent="0.25">
      <c r="A11" s="14">
        <v>2016</v>
      </c>
      <c r="B11">
        <v>47379389</v>
      </c>
      <c r="N11">
        <v>1708905</v>
      </c>
      <c r="O11">
        <v>85844</v>
      </c>
      <c r="P11">
        <v>9326</v>
      </c>
      <c r="Q11">
        <v>19890</v>
      </c>
      <c r="R11">
        <v>480166</v>
      </c>
      <c r="S11">
        <v>55342</v>
      </c>
      <c r="T11" s="14">
        <v>47</v>
      </c>
      <c r="U11" s="14">
        <v>10</v>
      </c>
      <c r="V11" s="14">
        <v>13725590</v>
      </c>
      <c r="W11" s="14">
        <v>1</v>
      </c>
      <c r="X11" s="14"/>
      <c r="Y11" s="14">
        <f>703516.39*1000</f>
        <v>703516390</v>
      </c>
      <c r="Z11" s="14">
        <f>549471.38*1000</f>
        <v>549471380</v>
      </c>
      <c r="AA11" s="14">
        <v>4.7699999999999996</v>
      </c>
    </row>
    <row r="12" spans="1:27" x14ac:dyDescent="0.25">
      <c r="A12" s="14">
        <v>2017</v>
      </c>
      <c r="B12">
        <v>48037827</v>
      </c>
      <c r="C12" s="4">
        <v>23467004</v>
      </c>
      <c r="D12" s="4">
        <v>50655175450</v>
      </c>
      <c r="E12" s="4">
        <v>47425445657</v>
      </c>
      <c r="F12" s="4">
        <v>126858647</v>
      </c>
      <c r="G12" s="4">
        <v>2698427195</v>
      </c>
      <c r="H12" s="4"/>
      <c r="I12" s="4"/>
      <c r="J12" s="4"/>
      <c r="K12" s="4"/>
      <c r="L12" s="4"/>
      <c r="M12" s="4"/>
      <c r="N12">
        <v>1861360</v>
      </c>
      <c r="O12">
        <v>83745</v>
      </c>
      <c r="P12">
        <v>9977</v>
      </c>
      <c r="Q12">
        <v>20764</v>
      </c>
      <c r="R12">
        <v>503795</v>
      </c>
      <c r="S12">
        <v>59361</v>
      </c>
      <c r="T12" s="14">
        <v>53</v>
      </c>
      <c r="U12" s="14">
        <v>10</v>
      </c>
      <c r="V12" s="14">
        <v>14807363</v>
      </c>
      <c r="W12" s="14">
        <v>137</v>
      </c>
      <c r="X12" s="14"/>
      <c r="Y12" s="14">
        <f>1000*755387.26</f>
        <v>755387260</v>
      </c>
      <c r="Z12" s="14">
        <f>578858.48*1000</f>
        <v>578858480</v>
      </c>
      <c r="AA12" s="14">
        <v>5.35</v>
      </c>
    </row>
    <row r="13" spans="1:27" x14ac:dyDescent="0.25">
      <c r="A13" s="14">
        <v>2018</v>
      </c>
      <c r="B13">
        <v>48683861</v>
      </c>
      <c r="N13">
        <v>1969168</v>
      </c>
      <c r="O13">
        <v>78434</v>
      </c>
      <c r="P13">
        <v>9851</v>
      </c>
      <c r="Q13">
        <v>20027</v>
      </c>
      <c r="R13">
        <v>499594</v>
      </c>
      <c r="S13">
        <v>62714</v>
      </c>
      <c r="T13" s="14">
        <v>46</v>
      </c>
      <c r="U13" s="14">
        <v>9</v>
      </c>
      <c r="V13" s="14">
        <v>14126095</v>
      </c>
      <c r="W13" s="14">
        <v>205</v>
      </c>
      <c r="X13" s="14"/>
      <c r="Y13" s="14">
        <f>827301.68*1000</f>
        <v>827301680</v>
      </c>
      <c r="Z13" s="14">
        <f>1000*616441.68</f>
        <v>616441680</v>
      </c>
      <c r="AA13" s="14">
        <v>6.49</v>
      </c>
    </row>
    <row r="14" spans="1:27" x14ac:dyDescent="0.25">
      <c r="A14" s="14">
        <v>2019</v>
      </c>
      <c r="B14">
        <v>49316712</v>
      </c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4">
        <v>2020</v>
      </c>
      <c r="B15">
        <v>49935858</v>
      </c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D16" s="13"/>
      <c r="E16" s="13"/>
      <c r="F16" s="13"/>
    </row>
    <row r="17" spans="1:4" x14ac:dyDescent="0.25">
      <c r="D17" s="13"/>
    </row>
    <row r="18" spans="1:4" x14ac:dyDescent="0.25">
      <c r="B18" t="s">
        <v>169</v>
      </c>
      <c r="C18" t="s">
        <v>170</v>
      </c>
    </row>
    <row r="19" spans="1:4" x14ac:dyDescent="0.25">
      <c r="A19" s="37" t="s">
        <v>32</v>
      </c>
      <c r="C19" t="s">
        <v>171</v>
      </c>
      <c r="D19" t="s">
        <v>172</v>
      </c>
    </row>
    <row r="20" spans="1:4" x14ac:dyDescent="0.25">
      <c r="A20" s="37">
        <v>2008</v>
      </c>
    </row>
    <row r="21" spans="1:4" x14ac:dyDescent="0.25">
      <c r="A21" s="37">
        <v>2009</v>
      </c>
    </row>
    <row r="22" spans="1:4" x14ac:dyDescent="0.25">
      <c r="A22">
        <v>2010</v>
      </c>
    </row>
    <row r="23" spans="1:4" x14ac:dyDescent="0.25">
      <c r="A23">
        <v>2011</v>
      </c>
    </row>
    <row r="24" spans="1:4" x14ac:dyDescent="0.25">
      <c r="A24">
        <v>2012</v>
      </c>
    </row>
    <row r="25" spans="1:4" x14ac:dyDescent="0.25">
      <c r="A25">
        <v>2013</v>
      </c>
    </row>
    <row r="26" spans="1:4" x14ac:dyDescent="0.25">
      <c r="A26">
        <v>2014</v>
      </c>
    </row>
    <row r="27" spans="1:4" x14ac:dyDescent="0.25">
      <c r="A27">
        <v>2015</v>
      </c>
    </row>
    <row r="28" spans="1:4" x14ac:dyDescent="0.25">
      <c r="A28">
        <v>2016</v>
      </c>
    </row>
    <row r="29" spans="1:4" x14ac:dyDescent="0.25">
      <c r="A29">
        <v>2017</v>
      </c>
    </row>
    <row r="30" spans="1:4" x14ac:dyDescent="0.25">
      <c r="A30">
        <v>2018</v>
      </c>
    </row>
    <row r="31" spans="1:4" x14ac:dyDescent="0.25">
      <c r="A31">
        <v>2019</v>
      </c>
    </row>
    <row r="32" spans="1:4" x14ac:dyDescent="0.25">
      <c r="A32">
        <v>2020</v>
      </c>
    </row>
  </sheetData>
  <mergeCells count="8">
    <mergeCell ref="R1:S1"/>
    <mergeCell ref="T1:U1"/>
    <mergeCell ref="V1:W1"/>
    <mergeCell ref="H1:I1"/>
    <mergeCell ref="J1:K1"/>
    <mergeCell ref="L1:M1"/>
    <mergeCell ref="N1:O1"/>
    <mergeCell ref="P1:Q1"/>
  </mergeCells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F643-8130-4133-8CF3-40ACC6A22192}">
  <dimension ref="A1:F6"/>
  <sheetViews>
    <sheetView workbookViewId="0">
      <selection activeCell="H7" sqref="H7"/>
    </sheetView>
  </sheetViews>
  <sheetFormatPr defaultRowHeight="15" x14ac:dyDescent="0.25"/>
  <cols>
    <col min="2" max="2" width="17.42578125" bestFit="1" customWidth="1"/>
    <col min="3" max="3" width="8" bestFit="1" customWidth="1"/>
    <col min="5" max="5" width="13.140625" customWidth="1"/>
    <col min="6" max="6" width="14.28515625" bestFit="1" customWidth="1"/>
  </cols>
  <sheetData>
    <row r="1" spans="1:6" x14ac:dyDescent="0.25">
      <c r="A1" t="s">
        <v>32</v>
      </c>
      <c r="B1" t="s">
        <v>263</v>
      </c>
      <c r="C1" t="s">
        <v>264</v>
      </c>
      <c r="D1" t="s">
        <v>265</v>
      </c>
      <c r="E1" t="s">
        <v>165</v>
      </c>
    </row>
    <row r="2" spans="1:6" x14ac:dyDescent="0.25">
      <c r="A2">
        <v>2012</v>
      </c>
      <c r="B2" s="51">
        <v>736533</v>
      </c>
      <c r="C2" s="51">
        <v>178626</v>
      </c>
      <c r="D2" s="51">
        <v>525838</v>
      </c>
      <c r="E2" s="51">
        <v>5430724</v>
      </c>
      <c r="F2" s="4">
        <f>SUM(B2:E2)</f>
        <v>6871721</v>
      </c>
    </row>
    <row r="3" spans="1:6" x14ac:dyDescent="0.25">
      <c r="A3">
        <v>2013</v>
      </c>
      <c r="B3" s="51">
        <v>845434</v>
      </c>
      <c r="C3" s="51">
        <v>179865</v>
      </c>
      <c r="D3" s="51">
        <v>566729</v>
      </c>
      <c r="E3" s="51">
        <v>6401818</v>
      </c>
      <c r="F3" s="4">
        <f t="shared" ref="F3:F6" si="0">SUM(B3:E3)</f>
        <v>7993846</v>
      </c>
    </row>
    <row r="4" spans="1:6" x14ac:dyDescent="0.25">
      <c r="A4">
        <v>2014</v>
      </c>
      <c r="B4" s="51">
        <v>1201798</v>
      </c>
      <c r="C4" s="51">
        <v>182941</v>
      </c>
      <c r="D4" s="51">
        <v>663980</v>
      </c>
      <c r="E4" s="51">
        <v>7188116</v>
      </c>
      <c r="F4" s="4">
        <f t="shared" si="0"/>
        <v>9236835</v>
      </c>
    </row>
    <row r="5" spans="1:6" x14ac:dyDescent="0.25">
      <c r="A5">
        <v>2015</v>
      </c>
      <c r="B5" s="51">
        <v>1265151</v>
      </c>
      <c r="C5" s="51">
        <v>183545</v>
      </c>
      <c r="D5" s="51">
        <v>727988</v>
      </c>
      <c r="E5" s="51">
        <v>7919147</v>
      </c>
      <c r="F5" s="4">
        <f t="shared" si="0"/>
        <v>10095831</v>
      </c>
    </row>
    <row r="6" spans="1:6" x14ac:dyDescent="0.25">
      <c r="A6">
        <v>2016</v>
      </c>
      <c r="B6" s="51">
        <v>1360232</v>
      </c>
      <c r="C6" s="51">
        <v>184795</v>
      </c>
      <c r="D6" s="51">
        <v>772322</v>
      </c>
      <c r="E6" s="51">
        <v>8707839</v>
      </c>
      <c r="F6" s="4">
        <f t="shared" si="0"/>
        <v>11025188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FA45-E75D-4432-96D7-293F09EBFC95}">
  <dimension ref="A1:R2"/>
  <sheetViews>
    <sheetView topLeftCell="A7" workbookViewId="0">
      <selection activeCell="F31" sqref="F31"/>
    </sheetView>
  </sheetViews>
  <sheetFormatPr defaultRowHeight="15" x14ac:dyDescent="0.25"/>
  <cols>
    <col min="1" max="1" width="15.5703125" customWidth="1"/>
  </cols>
  <sheetData>
    <row r="1" spans="1:18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218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C7C8-6014-43F8-A0BA-BC20A4EE6983}">
  <dimension ref="A1:D38"/>
  <sheetViews>
    <sheetView topLeftCell="A19" workbookViewId="0">
      <selection activeCell="F40" sqref="F40"/>
    </sheetView>
  </sheetViews>
  <sheetFormatPr defaultRowHeight="15" x14ac:dyDescent="0.25"/>
  <cols>
    <col min="1" max="1" width="13.42578125" bestFit="1" customWidth="1"/>
    <col min="2" max="2" width="13.7109375" bestFit="1" customWidth="1"/>
  </cols>
  <sheetData>
    <row r="1" spans="1:3" x14ac:dyDescent="0.25">
      <c r="A1" s="98" t="s">
        <v>223</v>
      </c>
      <c r="B1" s="98"/>
    </row>
    <row r="2" spans="1:3" x14ac:dyDescent="0.25">
      <c r="A2" s="14" t="s">
        <v>231</v>
      </c>
      <c r="B2" s="14" t="s">
        <v>232</v>
      </c>
      <c r="C2" t="s">
        <v>233</v>
      </c>
    </row>
    <row r="3" spans="1:3" x14ac:dyDescent="0.25">
      <c r="A3" s="47">
        <v>565550</v>
      </c>
      <c r="B3" s="47">
        <v>3352</v>
      </c>
      <c r="C3">
        <f>B3/A3</f>
        <v>5.9269737423746794E-3</v>
      </c>
    </row>
    <row r="5" spans="1:3" x14ac:dyDescent="0.25">
      <c r="A5" s="98" t="s">
        <v>234</v>
      </c>
      <c r="B5" s="98"/>
    </row>
    <row r="6" spans="1:3" x14ac:dyDescent="0.25">
      <c r="A6" s="14" t="s">
        <v>231</v>
      </c>
      <c r="B6" s="14" t="s">
        <v>232</v>
      </c>
      <c r="C6" t="s">
        <v>233</v>
      </c>
    </row>
    <row r="7" spans="1:3" x14ac:dyDescent="0.25">
      <c r="A7" s="47">
        <v>17637736</v>
      </c>
      <c r="B7" s="47">
        <v>102784</v>
      </c>
      <c r="C7">
        <f>B7/A7</f>
        <v>5.8275052988660224E-3</v>
      </c>
    </row>
    <row r="9" spans="1:3" x14ac:dyDescent="0.25">
      <c r="A9" s="98" t="s">
        <v>235</v>
      </c>
      <c r="B9" s="98"/>
    </row>
    <row r="10" spans="1:3" x14ac:dyDescent="0.25">
      <c r="A10" s="47" t="s">
        <v>231</v>
      </c>
      <c r="B10" s="14" t="s">
        <v>232</v>
      </c>
      <c r="C10" t="s">
        <v>233</v>
      </c>
    </row>
    <row r="11" spans="1:3" x14ac:dyDescent="0.25">
      <c r="A11" s="47">
        <v>472284</v>
      </c>
      <c r="B11" s="47">
        <v>2752</v>
      </c>
      <c r="C11">
        <f>B11/A11</f>
        <v>5.8270023968629049E-3</v>
      </c>
    </row>
    <row r="13" spans="1:3" x14ac:dyDescent="0.25">
      <c r="A13" s="98" t="s">
        <v>236</v>
      </c>
      <c r="B13" s="98"/>
    </row>
    <row r="14" spans="1:3" x14ac:dyDescent="0.25">
      <c r="A14" s="14" t="s">
        <v>231</v>
      </c>
      <c r="B14" s="14" t="s">
        <v>232</v>
      </c>
      <c r="C14" t="s">
        <v>233</v>
      </c>
    </row>
    <row r="15" spans="1:3" x14ac:dyDescent="0.25">
      <c r="A15" s="47">
        <v>158070</v>
      </c>
      <c r="B15" s="14">
        <v>921</v>
      </c>
      <c r="C15">
        <f>B15/A15</f>
        <v>5.8265325488707533E-3</v>
      </c>
    </row>
    <row r="17" spans="1:4" x14ac:dyDescent="0.25">
      <c r="A17" s="116" t="s">
        <v>244</v>
      </c>
      <c r="B17" s="116"/>
    </row>
    <row r="18" spans="1:4" x14ac:dyDescent="0.25">
      <c r="A18" s="14" t="s">
        <v>245</v>
      </c>
      <c r="B18" s="14" t="s">
        <v>232</v>
      </c>
      <c r="C18" t="s">
        <v>246</v>
      </c>
      <c r="D18" t="s">
        <v>247</v>
      </c>
    </row>
    <row r="19" spans="1:4" x14ac:dyDescent="0.25">
      <c r="A19" s="14">
        <v>153</v>
      </c>
      <c r="B19" s="47">
        <v>1308</v>
      </c>
      <c r="C19">
        <f>B19/A19</f>
        <v>8.5490196078431371</v>
      </c>
      <c r="D19">
        <f>C19/1000</f>
        <v>8.5490196078431367E-3</v>
      </c>
    </row>
    <row r="21" spans="1:4" x14ac:dyDescent="0.25">
      <c r="A21" s="98" t="s">
        <v>238</v>
      </c>
      <c r="B21" s="98"/>
    </row>
    <row r="22" spans="1:4" x14ac:dyDescent="0.25">
      <c r="A22" s="14" t="s">
        <v>248</v>
      </c>
      <c r="B22" s="14" t="s">
        <v>227</v>
      </c>
      <c r="C22" t="s">
        <v>233</v>
      </c>
    </row>
    <row r="23" spans="1:4" x14ac:dyDescent="0.25">
      <c r="A23" s="14">
        <v>1</v>
      </c>
      <c r="B23" s="14">
        <v>158.9873</v>
      </c>
      <c r="C23">
        <f>A23/B23</f>
        <v>6.2898105697750699E-3</v>
      </c>
    </row>
    <row r="25" spans="1:4" x14ac:dyDescent="0.25">
      <c r="A25" s="98" t="s">
        <v>224</v>
      </c>
      <c r="B25" s="98"/>
    </row>
    <row r="26" spans="1:4" x14ac:dyDescent="0.25">
      <c r="A26" s="14" t="s">
        <v>248</v>
      </c>
      <c r="B26" s="14" t="s">
        <v>237</v>
      </c>
      <c r="C26" t="s">
        <v>247</v>
      </c>
    </row>
    <row r="27" spans="1:4" x14ac:dyDescent="0.25">
      <c r="A27" s="14">
        <v>1</v>
      </c>
      <c r="B27" s="14">
        <v>200</v>
      </c>
      <c r="C27">
        <f>A27/B27</f>
        <v>5.0000000000000001E-3</v>
      </c>
    </row>
    <row r="30" spans="1:4" x14ac:dyDescent="0.25">
      <c r="A30" s="14" t="s">
        <v>250</v>
      </c>
      <c r="B30" s="14" t="s">
        <v>251</v>
      </c>
      <c r="C30" t="s">
        <v>254</v>
      </c>
    </row>
    <row r="31" spans="1:4" x14ac:dyDescent="0.25">
      <c r="A31" s="14">
        <v>1</v>
      </c>
      <c r="B31" s="14">
        <v>35.314700000000002</v>
      </c>
      <c r="C31">
        <f>B31/A31</f>
        <v>35.314700000000002</v>
      </c>
    </row>
    <row r="33" spans="1:3" x14ac:dyDescent="0.25">
      <c r="A33" s="98" t="s">
        <v>252</v>
      </c>
      <c r="B33" s="98"/>
    </row>
    <row r="34" spans="1:3" x14ac:dyDescent="0.25">
      <c r="A34" s="14" t="s">
        <v>251</v>
      </c>
      <c r="B34" s="14" t="s">
        <v>248</v>
      </c>
      <c r="C34" t="s">
        <v>253</v>
      </c>
    </row>
    <row r="35" spans="1:3" x14ac:dyDescent="0.25">
      <c r="A35" s="14">
        <v>6000</v>
      </c>
      <c r="B35" s="14">
        <v>1</v>
      </c>
      <c r="C35">
        <f>B35/A35</f>
        <v>1.6666666666666666E-4</v>
      </c>
    </row>
    <row r="37" spans="1:3" x14ac:dyDescent="0.25">
      <c r="A37" s="14" t="s">
        <v>255</v>
      </c>
      <c r="B37" s="14" t="s">
        <v>248</v>
      </c>
      <c r="C37" t="s">
        <v>256</v>
      </c>
    </row>
    <row r="38" spans="1:3" x14ac:dyDescent="0.25">
      <c r="A38" s="14">
        <v>1</v>
      </c>
      <c r="B38" s="14">
        <v>5.8844099999999999E-4</v>
      </c>
      <c r="C38">
        <f>B38/A38</f>
        <v>5.8844099999999999E-4</v>
      </c>
    </row>
  </sheetData>
  <mergeCells count="8">
    <mergeCell ref="A25:B25"/>
    <mergeCell ref="A33:B33"/>
    <mergeCell ref="A1:B1"/>
    <mergeCell ref="A5:B5"/>
    <mergeCell ref="A9:B9"/>
    <mergeCell ref="A13:B13"/>
    <mergeCell ref="A17:B17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AEFA-1CC3-4FBF-AB9F-2535971A5D46}">
  <dimension ref="A1:H23"/>
  <sheetViews>
    <sheetView workbookViewId="0">
      <selection activeCell="F18" sqref="F18"/>
    </sheetView>
  </sheetViews>
  <sheetFormatPr defaultRowHeight="15" x14ac:dyDescent="0.25"/>
  <cols>
    <col min="1" max="1" width="15.85546875" customWidth="1"/>
    <col min="2" max="2" width="13.85546875" customWidth="1"/>
    <col min="3" max="3" width="16.85546875" customWidth="1"/>
    <col min="4" max="4" width="20.5703125" customWidth="1"/>
    <col min="5" max="5" width="17.5703125" customWidth="1"/>
    <col min="6" max="6" width="20.140625" customWidth="1"/>
    <col min="7" max="7" width="17.42578125" customWidth="1"/>
  </cols>
  <sheetData>
    <row r="1" spans="1:8" s="1" customFormat="1" ht="45" x14ac:dyDescent="0.25">
      <c r="A1" s="37" t="s">
        <v>32</v>
      </c>
      <c r="B1" s="37" t="s">
        <v>291</v>
      </c>
      <c r="C1" s="37" t="s">
        <v>292</v>
      </c>
      <c r="D1" s="37" t="s">
        <v>283</v>
      </c>
      <c r="E1" s="37" t="s">
        <v>293</v>
      </c>
      <c r="F1" s="1" t="s">
        <v>295</v>
      </c>
      <c r="G1" s="1" t="s">
        <v>296</v>
      </c>
    </row>
    <row r="2" spans="1:8" x14ac:dyDescent="0.25">
      <c r="A2">
        <v>2000</v>
      </c>
      <c r="B2" s="13"/>
      <c r="C2" s="63">
        <f>'Statistik Industri Besar Sedang'!I6</f>
        <v>29448</v>
      </c>
      <c r="E2" s="13">
        <f t="shared" ref="E2:E10" si="0">E3/(1+$E$23)</f>
        <v>463.62880858605837</v>
      </c>
    </row>
    <row r="3" spans="1:8" x14ac:dyDescent="0.25">
      <c r="A3">
        <v>2001</v>
      </c>
      <c r="B3" s="13"/>
      <c r="C3" s="63">
        <f>'Statistik Industri Besar Sedang'!I7</f>
        <v>36885</v>
      </c>
      <c r="E3" s="13">
        <f t="shared" si="0"/>
        <v>389.23412236176824</v>
      </c>
    </row>
    <row r="4" spans="1:8" x14ac:dyDescent="0.25">
      <c r="A4">
        <v>2002</v>
      </c>
      <c r="B4" s="13"/>
      <c r="C4" s="63">
        <f>'Statistik Industri Besar Sedang'!I8</f>
        <v>46200</v>
      </c>
      <c r="E4" s="13">
        <f t="shared" si="0"/>
        <v>326.77693707770123</v>
      </c>
    </row>
    <row r="5" spans="1:8" x14ac:dyDescent="0.25">
      <c r="A5">
        <v>2003</v>
      </c>
      <c r="B5" s="13"/>
      <c r="C5" s="63">
        <f>'Statistik Industri Besar Sedang'!I9</f>
        <v>57867</v>
      </c>
      <c r="E5" s="13">
        <f t="shared" si="0"/>
        <v>274.34174053896481</v>
      </c>
    </row>
    <row r="6" spans="1:8" x14ac:dyDescent="0.25">
      <c r="A6">
        <v>2004</v>
      </c>
      <c r="B6" s="13"/>
      <c r="C6" s="63">
        <f>'Statistik Industri Besar Sedang'!I10</f>
        <v>72480</v>
      </c>
      <c r="E6" s="13">
        <f t="shared" si="0"/>
        <v>230.32038697410434</v>
      </c>
    </row>
    <row r="7" spans="1:8" x14ac:dyDescent="0.25">
      <c r="A7">
        <v>2005</v>
      </c>
      <c r="B7" s="13"/>
      <c r="C7" s="63">
        <f>'Statistik Industri Besar Sedang'!I11</f>
        <v>90783</v>
      </c>
      <c r="E7" s="13">
        <f t="shared" si="0"/>
        <v>193.36277648339416</v>
      </c>
    </row>
    <row r="8" spans="1:8" x14ac:dyDescent="0.25">
      <c r="A8">
        <v>2006</v>
      </c>
      <c r="B8" s="13"/>
      <c r="C8" s="63">
        <f>'Statistik Industri Besar Sedang'!I12</f>
        <v>111540</v>
      </c>
      <c r="E8" s="13">
        <f t="shared" si="0"/>
        <v>162.335448548768</v>
      </c>
    </row>
    <row r="9" spans="1:8" x14ac:dyDescent="0.25">
      <c r="A9">
        <v>2007</v>
      </c>
      <c r="B9" s="13"/>
      <c r="C9" s="63">
        <f>'Statistik Industri Besar Sedang'!I13</f>
        <v>132841</v>
      </c>
      <c r="E9" s="13">
        <f t="shared" si="0"/>
        <v>136.28681970127204</v>
      </c>
    </row>
    <row r="10" spans="1:8" x14ac:dyDescent="0.25">
      <c r="A10">
        <v>2008</v>
      </c>
      <c r="B10" s="13"/>
      <c r="C10" s="63">
        <f>'Statistik Industri Besar Sedang'!I14</f>
        <v>201203</v>
      </c>
      <c r="E10" s="13">
        <f t="shared" si="0"/>
        <v>114.41799921295129</v>
      </c>
    </row>
    <row r="11" spans="1:8" x14ac:dyDescent="0.25">
      <c r="A11">
        <v>2009</v>
      </c>
      <c r="B11" s="13"/>
      <c r="C11" s="63">
        <f>'Statistik Industri Besar Sedang'!I15</f>
        <v>235378</v>
      </c>
      <c r="E11" s="13">
        <f>E12/(1+$E$23)</f>
        <v>96.058287753652323</v>
      </c>
    </row>
    <row r="12" spans="1:8" x14ac:dyDescent="0.25">
      <c r="A12" s="46">
        <v>2010</v>
      </c>
      <c r="B12" s="62">
        <f>'Fuel, Industri'!E25+'Listrik,Industri'!F12</f>
        <v>19992524.019567117</v>
      </c>
      <c r="C12" s="63">
        <f>'Statistik Industri Besar Sedang'!I16</f>
        <v>247909</v>
      </c>
      <c r="D12" s="62">
        <f>'Statistik Industri Besar Sedang'!G16</f>
        <v>562962</v>
      </c>
      <c r="E12" s="13">
        <f>B12/C12</f>
        <v>80.644607576034417</v>
      </c>
      <c r="F12">
        <f>'Fuel, Industri'!E25/'energi demand'!B12</f>
        <v>0.53753918854997973</v>
      </c>
      <c r="G12" s="13">
        <f>'Listrik,Industri'!F12/'energi demand'!B12</f>
        <v>0.4624608114500201</v>
      </c>
      <c r="H12">
        <f>SUM(F12:G12)</f>
        <v>0.99999999999999978</v>
      </c>
    </row>
    <row r="13" spans="1:8" x14ac:dyDescent="0.25">
      <c r="A13" s="46">
        <v>2011</v>
      </c>
      <c r="B13" s="62">
        <f>'Fuel, Industri'!E26+'Listrik,Industri'!F13</f>
        <v>20779954.936132599</v>
      </c>
      <c r="C13" s="63">
        <f>'Statistik Industri Besar Sedang'!I17</f>
        <v>271916</v>
      </c>
      <c r="D13" s="62">
        <f>'Statistik Industri Besar Sedang'!G17</f>
        <v>638432</v>
      </c>
      <c r="E13" s="13">
        <f t="shared" ref="E13:E20" si="1">B13/C13</f>
        <v>76.420493594097437</v>
      </c>
      <c r="F13">
        <f>'Fuel, Industri'!E26/'energi demand'!B13</f>
        <v>0.51716980001036472</v>
      </c>
      <c r="G13" s="13">
        <f>'Listrik,Industri'!F13/'energi demand'!B13</f>
        <v>0.48283019998963522</v>
      </c>
    </row>
    <row r="14" spans="1:8" x14ac:dyDescent="0.25">
      <c r="A14" s="46">
        <v>2012</v>
      </c>
      <c r="B14" s="62">
        <f>'Fuel, Industri'!E27+'Listrik,Industri'!F14</f>
        <v>21688163.069705077</v>
      </c>
      <c r="C14" s="63">
        <f>'Statistik Industri Besar Sedang'!I18</f>
        <v>323353</v>
      </c>
      <c r="D14" s="62">
        <f>'Statistik Industri Besar Sedang'!G18</f>
        <v>739162</v>
      </c>
      <c r="E14" s="13">
        <f t="shared" si="1"/>
        <v>67.072713318587049</v>
      </c>
      <c r="F14">
        <f>'Fuel, Industri'!E27/'energi demand'!B14</f>
        <v>0.49712696959358299</v>
      </c>
      <c r="G14" s="13">
        <f>'Listrik,Industri'!F14/'energi demand'!B14</f>
        <v>0.50287303040641707</v>
      </c>
    </row>
    <row r="15" spans="1:8" x14ac:dyDescent="0.25">
      <c r="A15" s="46">
        <v>2013</v>
      </c>
      <c r="B15" s="62">
        <f>'Fuel, Industri'!E28+'Listrik,Industri'!F15</f>
        <v>22453756.577488139</v>
      </c>
      <c r="C15" s="63">
        <f>'Statistik Industri Besar Sedang'!I19</f>
        <v>384394</v>
      </c>
      <c r="D15" s="62">
        <f>'Statistik Industri Besar Sedang'!G19</f>
        <v>798416</v>
      </c>
      <c r="E15" s="13">
        <f t="shared" si="1"/>
        <v>58.413389848666057</v>
      </c>
      <c r="F15">
        <f>'Fuel, Industri'!E28/'energi demand'!B15</f>
        <v>0.47901495726019006</v>
      </c>
      <c r="G15" s="13">
        <f>'Listrik,Industri'!F15/'energi demand'!B15</f>
        <v>0.52098504273980983</v>
      </c>
    </row>
    <row r="16" spans="1:8" x14ac:dyDescent="0.25">
      <c r="A16" s="46">
        <v>2014</v>
      </c>
      <c r="B16" s="62">
        <f>'Fuel, Industri'!E29+'Listrik,Industri'!F16</f>
        <v>30986165.103624381</v>
      </c>
      <c r="C16" s="63">
        <f>'Statistik Industri Besar Sedang'!I20</f>
        <v>446151</v>
      </c>
      <c r="D16" s="62">
        <f>'Statistik Industri Besar Sedang'!G20</f>
        <v>970818</v>
      </c>
      <c r="E16" s="13">
        <f t="shared" si="1"/>
        <v>69.452192427282199</v>
      </c>
      <c r="F16">
        <f>'Fuel, Industri'!E29/'energi demand'!B16</f>
        <v>0.60290191395815651</v>
      </c>
      <c r="G16" s="13">
        <f>'Listrik,Industri'!F16/'energi demand'!B16</f>
        <v>0.39709808604184349</v>
      </c>
    </row>
    <row r="17" spans="1:7" x14ac:dyDescent="0.25">
      <c r="A17" s="46">
        <v>2015</v>
      </c>
      <c r="B17" s="62">
        <f>'Fuel, Industri'!E30+'Listrik,Industri'!F17</f>
        <v>34765458.504126795</v>
      </c>
      <c r="C17" s="63">
        <f>'Statistik Industri Besar Sedang'!I21</f>
        <v>569960</v>
      </c>
      <c r="D17" s="62">
        <f>'Statistik Industri Besar Sedang'!G21</f>
        <v>1300507</v>
      </c>
      <c r="E17" s="13">
        <f t="shared" si="1"/>
        <v>60.996312906391317</v>
      </c>
      <c r="F17">
        <f>'Fuel, Industri'!E30/'energi demand'!B17</f>
        <v>0.55503794501936699</v>
      </c>
      <c r="G17" s="13">
        <f>'Listrik,Industri'!F17/'energi demand'!B17</f>
        <v>0.44496205498063301</v>
      </c>
    </row>
    <row r="18" spans="1:7" x14ac:dyDescent="0.25">
      <c r="A18" s="46">
        <v>2016</v>
      </c>
      <c r="B18" s="62">
        <f>'Fuel, Industri'!E31+'Listrik,Industri'!F18</f>
        <v>30513730.374162477</v>
      </c>
      <c r="C18" s="63">
        <f>'Statistik Industri Besar Sedang'!I22</f>
        <v>1080630</v>
      </c>
      <c r="D18" s="62">
        <f>'Statistik Industri Besar Sedang'!G22</f>
        <v>1918739</v>
      </c>
      <c r="E18" s="13">
        <f t="shared" si="1"/>
        <v>28.236982477038836</v>
      </c>
      <c r="F18">
        <f>'Fuel, Industri'!E31/'energi demand'!B18</f>
        <v>0.57211765391676206</v>
      </c>
      <c r="G18" s="13">
        <f>'Listrik,Industri'!F18/'energi demand'!B18</f>
        <v>0.42788234608323794</v>
      </c>
    </row>
    <row r="19" spans="1:7" x14ac:dyDescent="0.25">
      <c r="A19">
        <v>2017</v>
      </c>
      <c r="B19" s="13">
        <f>'Fuel, Industri'!E32+'Listrik,Industri'!F19</f>
        <v>29127390.169481345</v>
      </c>
      <c r="C19" s="54">
        <f>'Statistik Industri Besar Sedang'!I23</f>
        <v>1353522.3400143147</v>
      </c>
      <c r="D19" s="13">
        <f>'Statistik Industri Besar Sedang'!G23</f>
        <v>0</v>
      </c>
      <c r="E19" s="13">
        <f>B19/C19</f>
        <v>21.519696652493593</v>
      </c>
      <c r="G19" s="13"/>
    </row>
    <row r="20" spans="1:7" x14ac:dyDescent="0.25">
      <c r="A20">
        <v>2018</v>
      </c>
      <c r="B20" s="13">
        <f>'Fuel, Industri'!E33+'Listrik,Industri'!F20</f>
        <v>14065891.240295999</v>
      </c>
      <c r="C20" s="54">
        <f>'Statistik Industri Besar Sedang'!I24</f>
        <v>1695328.3963223549</v>
      </c>
      <c r="D20" s="13">
        <f>'Statistik Industri Besar Sedang'!G24</f>
        <v>0</v>
      </c>
      <c r="E20" s="13">
        <f t="shared" si="1"/>
        <v>8.2968534419696383</v>
      </c>
    </row>
    <row r="21" spans="1:7" x14ac:dyDescent="0.25">
      <c r="A21">
        <v>2019</v>
      </c>
      <c r="B21" s="13">
        <f>'Fuel, Industri'!E34+'Listrik,Industri'!F21</f>
        <v>0</v>
      </c>
    </row>
    <row r="22" spans="1:7" x14ac:dyDescent="0.25">
      <c r="A22">
        <v>2020</v>
      </c>
      <c r="B22" s="13">
        <f>'Fuel, Industri'!E35+'Listrik,Industri'!F22</f>
        <v>0</v>
      </c>
    </row>
    <row r="23" spans="1:7" x14ac:dyDescent="0.25">
      <c r="C23" t="s">
        <v>261</v>
      </c>
      <c r="E23">
        <f>(E18/E12)^(1/6)-1</f>
        <v>-0.16046174190765594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48CD-8E8A-4827-AA15-553FDF254D9A}">
  <dimension ref="A1:V21"/>
  <sheetViews>
    <sheetView topLeftCell="G1" workbookViewId="0">
      <selection activeCell="T21" sqref="T21"/>
    </sheetView>
  </sheetViews>
  <sheetFormatPr defaultRowHeight="15" x14ac:dyDescent="0.25"/>
  <cols>
    <col min="1" max="1" width="47.28515625" bestFit="1" customWidth="1"/>
    <col min="20" max="20" width="9.5703125" bestFit="1" customWidth="1"/>
  </cols>
  <sheetData>
    <row r="1" spans="1:22" x14ac:dyDescent="0.25">
      <c r="A1" t="s">
        <v>32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380</v>
      </c>
    </row>
    <row r="2" spans="1:22" x14ac:dyDescent="0.25">
      <c r="A2" t="s">
        <v>340</v>
      </c>
      <c r="T2" s="54">
        <v>2170</v>
      </c>
    </row>
    <row r="3" spans="1:22" x14ac:dyDescent="0.25">
      <c r="A3" t="s">
        <v>341</v>
      </c>
      <c r="T3" s="54">
        <v>2834.14</v>
      </c>
    </row>
    <row r="4" spans="1:22" x14ac:dyDescent="0.25">
      <c r="A4" t="s">
        <v>343</v>
      </c>
      <c r="T4" s="54">
        <v>1990</v>
      </c>
    </row>
    <row r="5" spans="1:22" x14ac:dyDescent="0.25">
      <c r="A5" t="s">
        <v>342</v>
      </c>
      <c r="T5" s="54">
        <v>2657.8</v>
      </c>
    </row>
    <row r="6" spans="1:22" x14ac:dyDescent="0.25">
      <c r="A6" t="s">
        <v>357</v>
      </c>
      <c r="T6" s="54">
        <f>T2+T3</f>
        <v>5004.1399999999994</v>
      </c>
    </row>
    <row r="7" spans="1:22" x14ac:dyDescent="0.25">
      <c r="A7" t="s">
        <v>358</v>
      </c>
      <c r="T7" s="54">
        <f>T4+T5</f>
        <v>4647.8</v>
      </c>
    </row>
    <row r="8" spans="1:22" x14ac:dyDescent="0.25">
      <c r="A8" t="s">
        <v>359</v>
      </c>
      <c r="T8">
        <f>T7/T6</f>
        <v>0.92879096108422243</v>
      </c>
    </row>
    <row r="9" spans="1:22" x14ac:dyDescent="0.25">
      <c r="A9" t="s">
        <v>344</v>
      </c>
      <c r="T9" s="54">
        <v>13282.65</v>
      </c>
    </row>
    <row r="10" spans="1:22" x14ac:dyDescent="0.25">
      <c r="A10" t="s">
        <v>345</v>
      </c>
      <c r="T10" s="54">
        <v>11314.99</v>
      </c>
    </row>
    <row r="11" spans="1:22" x14ac:dyDescent="0.25">
      <c r="A11" t="s">
        <v>346</v>
      </c>
      <c r="T11">
        <v>4980.3</v>
      </c>
    </row>
    <row r="12" spans="1:22" x14ac:dyDescent="0.25">
      <c r="A12" t="s">
        <v>347</v>
      </c>
      <c r="T12">
        <v>7692999.1299999999</v>
      </c>
    </row>
    <row r="13" spans="1:22" x14ac:dyDescent="0.25">
      <c r="A13" t="s">
        <v>348</v>
      </c>
      <c r="T13">
        <v>85099.97</v>
      </c>
    </row>
    <row r="14" spans="1:22" x14ac:dyDescent="0.25">
      <c r="A14" t="s">
        <v>349</v>
      </c>
      <c r="T14">
        <v>13282.65</v>
      </c>
    </row>
    <row r="15" spans="1:22" x14ac:dyDescent="0.25">
      <c r="A15" t="s">
        <v>350</v>
      </c>
      <c r="T15">
        <v>11314.99</v>
      </c>
    </row>
    <row r="16" spans="1:22" x14ac:dyDescent="0.25">
      <c r="A16" t="s">
        <v>351</v>
      </c>
      <c r="T16">
        <f>T14*1000</f>
        <v>13282650</v>
      </c>
    </row>
    <row r="17" spans="1:20" x14ac:dyDescent="0.25">
      <c r="A17" t="s">
        <v>352</v>
      </c>
      <c r="T17">
        <f>T15*1000</f>
        <v>11314990</v>
      </c>
    </row>
    <row r="18" spans="1:20" x14ac:dyDescent="0.25">
      <c r="A18" t="s">
        <v>353</v>
      </c>
      <c r="T18">
        <f>T14+T15</f>
        <v>24597.64</v>
      </c>
    </row>
    <row r="19" spans="1:20" x14ac:dyDescent="0.25">
      <c r="A19" t="s">
        <v>354</v>
      </c>
      <c r="T19">
        <f>T16+T17</f>
        <v>24597640</v>
      </c>
    </row>
    <row r="20" spans="1:20" x14ac:dyDescent="0.25">
      <c r="A20" t="s">
        <v>355</v>
      </c>
      <c r="T20">
        <f>T14/T18</f>
        <v>0.53999692653441544</v>
      </c>
    </row>
    <row r="21" spans="1:20" x14ac:dyDescent="0.25">
      <c r="A21" t="s">
        <v>356</v>
      </c>
      <c r="T21">
        <f>T15/T18</f>
        <v>0.4600030734655845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6054-B118-42AA-BD94-3AF545C81A45}">
  <dimension ref="A1:AF44"/>
  <sheetViews>
    <sheetView topLeftCell="L1" zoomScale="84" zoomScaleNormal="85" workbookViewId="0">
      <selection activeCell="Y13" sqref="Y13"/>
    </sheetView>
  </sheetViews>
  <sheetFormatPr defaultRowHeight="15" x14ac:dyDescent="0.25"/>
  <cols>
    <col min="2" max="2" width="9.85546875" bestFit="1" customWidth="1"/>
    <col min="6" max="6" width="14.28515625" bestFit="1" customWidth="1"/>
    <col min="10" max="10" width="9.85546875" bestFit="1" customWidth="1"/>
    <col min="12" max="12" width="11.42578125" bestFit="1" customWidth="1"/>
    <col min="13" max="13" width="8.85546875" customWidth="1"/>
    <col min="14" max="22" width="11.42578125" bestFit="1" customWidth="1"/>
    <col min="25" max="25" width="14.42578125" bestFit="1" customWidth="1"/>
  </cols>
  <sheetData>
    <row r="1" spans="1:25" ht="15.75" thickBot="1" x14ac:dyDescent="0.3">
      <c r="A1" s="85" t="s">
        <v>32</v>
      </c>
      <c r="B1" s="87" t="s">
        <v>383</v>
      </c>
      <c r="C1" s="88"/>
      <c r="D1" s="89"/>
      <c r="E1">
        <v>122.6</v>
      </c>
      <c r="F1" t="s">
        <v>388</v>
      </c>
      <c r="J1" s="87" t="s">
        <v>391</v>
      </c>
      <c r="K1" s="88"/>
      <c r="L1" s="89"/>
      <c r="R1" s="90" t="s">
        <v>182</v>
      </c>
      <c r="S1" s="91"/>
      <c r="T1" s="92"/>
      <c r="U1" s="85" t="s">
        <v>415</v>
      </c>
    </row>
    <row r="2" spans="1:25" ht="90" thickBot="1" x14ac:dyDescent="0.3">
      <c r="A2" s="86"/>
      <c r="B2" s="74" t="s">
        <v>384</v>
      </c>
      <c r="C2" s="74" t="s">
        <v>385</v>
      </c>
      <c r="D2" s="74" t="s">
        <v>386</v>
      </c>
      <c r="E2" s="77" t="s">
        <v>387</v>
      </c>
      <c r="F2" s="77" t="s">
        <v>336</v>
      </c>
      <c r="G2" s="77" t="s">
        <v>395</v>
      </c>
      <c r="J2" s="74" t="s">
        <v>392</v>
      </c>
      <c r="K2" s="74" t="s">
        <v>385</v>
      </c>
      <c r="L2" s="74" t="s">
        <v>393</v>
      </c>
      <c r="M2" s="79" t="s">
        <v>394</v>
      </c>
      <c r="P2" s="79" t="s">
        <v>412</v>
      </c>
      <c r="Q2" s="79" t="s">
        <v>413</v>
      </c>
      <c r="R2" s="74" t="s">
        <v>416</v>
      </c>
      <c r="S2" s="74" t="s">
        <v>417</v>
      </c>
      <c r="T2" s="74" t="s">
        <v>418</v>
      </c>
      <c r="U2" s="86"/>
      <c r="V2" s="83" t="s">
        <v>419</v>
      </c>
      <c r="W2" s="83" t="s">
        <v>420</v>
      </c>
      <c r="X2" s="79" t="s">
        <v>421</v>
      </c>
    </row>
    <row r="3" spans="1:25" ht="15.75" thickBot="1" x14ac:dyDescent="0.3">
      <c r="A3" s="75">
        <v>2000</v>
      </c>
      <c r="E3">
        <f>B3*$E$1</f>
        <v>0</v>
      </c>
      <c r="F3" s="13">
        <f>Penduduk!F3</f>
        <v>9448458.226098394</v>
      </c>
      <c r="G3">
        <f t="shared" ref="G3:G11" si="0">G4/(1+$I$13)</f>
        <v>51.752984732844354</v>
      </c>
      <c r="M3" s="13">
        <f t="shared" ref="M3:M11" si="1">M4/(1+$O$13)</f>
        <v>0.71019898630519318</v>
      </c>
      <c r="P3">
        <f>D3*1000000</f>
        <v>0</v>
      </c>
      <c r="Q3">
        <f>L3*1000000</f>
        <v>0</v>
      </c>
      <c r="X3">
        <f>S3*1000</f>
        <v>0</v>
      </c>
    </row>
    <row r="4" spans="1:25" ht="15.75" thickBot="1" x14ac:dyDescent="0.3">
      <c r="A4" s="75">
        <v>2001</v>
      </c>
      <c r="E4">
        <f t="shared" ref="E4:E33" si="2">B4*$E$1</f>
        <v>0</v>
      </c>
      <c r="F4" s="13">
        <f>Penduduk!F4</f>
        <v>9651522.3013876546</v>
      </c>
      <c r="G4">
        <f t="shared" si="0"/>
        <v>54.367238004543843</v>
      </c>
      <c r="M4" s="13">
        <f t="shared" si="1"/>
        <v>0.65287870024071271</v>
      </c>
      <c r="P4">
        <f t="shared" ref="P4:P33" si="3">D4*1000000</f>
        <v>0</v>
      </c>
      <c r="Q4">
        <f t="shared" ref="Q4:Q33" si="4">L4*1000000</f>
        <v>0</v>
      </c>
      <c r="X4">
        <f t="shared" ref="X4:X33" si="5">S4*1000</f>
        <v>0</v>
      </c>
    </row>
    <row r="5" spans="1:25" ht="15.75" thickBot="1" x14ac:dyDescent="0.3">
      <c r="A5" s="75">
        <v>2002</v>
      </c>
      <c r="E5">
        <f t="shared" si="2"/>
        <v>0</v>
      </c>
      <c r="F5" s="13">
        <f>Penduduk!F5</f>
        <v>9834901.2251140196</v>
      </c>
      <c r="G5">
        <f t="shared" si="0"/>
        <v>57.113547817597834</v>
      </c>
      <c r="M5" s="13">
        <f t="shared" si="1"/>
        <v>0.60018474462427651</v>
      </c>
      <c r="P5">
        <f t="shared" si="3"/>
        <v>0</v>
      </c>
      <c r="Q5">
        <f t="shared" si="4"/>
        <v>0</v>
      </c>
      <c r="X5">
        <f t="shared" si="5"/>
        <v>0</v>
      </c>
    </row>
    <row r="6" spans="1:25" ht="15.75" thickBot="1" x14ac:dyDescent="0.3">
      <c r="A6" s="75">
        <v>2003</v>
      </c>
      <c r="E6">
        <f t="shared" si="2"/>
        <v>0</v>
      </c>
      <c r="F6" s="13">
        <f>Penduduk!F6</f>
        <v>10021764.348391185</v>
      </c>
      <c r="G6">
        <f t="shared" si="0"/>
        <v>59.998584883793619</v>
      </c>
      <c r="M6" s="13">
        <f t="shared" si="1"/>
        <v>0.55174372750542522</v>
      </c>
      <c r="P6">
        <f t="shared" si="3"/>
        <v>0</v>
      </c>
      <c r="Q6">
        <f t="shared" si="4"/>
        <v>0</v>
      </c>
      <c r="X6">
        <f t="shared" si="5"/>
        <v>0</v>
      </c>
    </row>
    <row r="7" spans="1:25" ht="15.75" thickBot="1" x14ac:dyDescent="0.3">
      <c r="A7" s="75">
        <v>2004</v>
      </c>
      <c r="E7">
        <f t="shared" si="2"/>
        <v>0</v>
      </c>
      <c r="F7" s="13">
        <f>Penduduk!F7</f>
        <v>10212177.871010616</v>
      </c>
      <c r="G7">
        <f t="shared" si="0"/>
        <v>63.029356879640524</v>
      </c>
      <c r="M7" s="13">
        <f t="shared" si="1"/>
        <v>0.50721239346420333</v>
      </c>
      <c r="P7">
        <f t="shared" si="3"/>
        <v>0</v>
      </c>
      <c r="Q7">
        <f t="shared" si="4"/>
        <v>0</v>
      </c>
      <c r="X7">
        <f t="shared" si="5"/>
        <v>0</v>
      </c>
    </row>
    <row r="8" spans="1:25" ht="15.75" thickBot="1" x14ac:dyDescent="0.3">
      <c r="A8" s="75">
        <v>2005</v>
      </c>
      <c r="E8">
        <f t="shared" si="2"/>
        <v>0</v>
      </c>
      <c r="F8" s="13">
        <f>Penduduk!F8</f>
        <v>10406209.250559816</v>
      </c>
      <c r="G8">
        <f t="shared" si="0"/>
        <v>66.21322546782541</v>
      </c>
      <c r="M8" s="13">
        <f t="shared" si="1"/>
        <v>0.46627519128644046</v>
      </c>
      <c r="P8">
        <f t="shared" si="3"/>
        <v>0</v>
      </c>
      <c r="Q8">
        <f t="shared" si="4"/>
        <v>0</v>
      </c>
      <c r="X8">
        <f t="shared" si="5"/>
        <v>0</v>
      </c>
    </row>
    <row r="9" spans="1:25" ht="15.75" thickBot="1" x14ac:dyDescent="0.3">
      <c r="A9" s="75">
        <v>2006</v>
      </c>
      <c r="E9">
        <f t="shared" si="2"/>
        <v>0</v>
      </c>
      <c r="F9" s="13">
        <f>Penduduk!F9</f>
        <v>10603927.226320453</v>
      </c>
      <c r="G9">
        <f t="shared" si="0"/>
        <v>69.557924178490964</v>
      </c>
      <c r="M9" s="13">
        <f t="shared" si="1"/>
        <v>0.42864203795239197</v>
      </c>
      <c r="P9">
        <f t="shared" si="3"/>
        <v>0</v>
      </c>
      <c r="Q9">
        <f t="shared" si="4"/>
        <v>0</v>
      </c>
      <c r="X9">
        <f t="shared" si="5"/>
        <v>0</v>
      </c>
    </row>
    <row r="10" spans="1:25" ht="15.75" thickBot="1" x14ac:dyDescent="0.3">
      <c r="A10" s="75">
        <v>2007</v>
      </c>
      <c r="E10">
        <f t="shared" si="2"/>
        <v>0</v>
      </c>
      <c r="F10" s="13">
        <f>Penduduk!F10</f>
        <v>10805401.843620541</v>
      </c>
      <c r="G10">
        <f t="shared" si="0"/>
        <v>73.07157719376994</v>
      </c>
      <c r="M10" s="13">
        <f t="shared" si="1"/>
        <v>0.39404626309425295</v>
      </c>
      <c r="P10">
        <f t="shared" si="3"/>
        <v>0</v>
      </c>
      <c r="Q10">
        <f t="shared" si="4"/>
        <v>0</v>
      </c>
      <c r="X10">
        <f t="shared" si="5"/>
        <v>0</v>
      </c>
    </row>
    <row r="11" spans="1:25" ht="15.75" thickBot="1" x14ac:dyDescent="0.3">
      <c r="A11" s="75">
        <v>2008</v>
      </c>
      <c r="E11">
        <f t="shared" si="2"/>
        <v>0</v>
      </c>
      <c r="F11" s="13">
        <f>Penduduk!F11</f>
        <v>11010704.478649329</v>
      </c>
      <c r="G11">
        <f t="shared" si="0"/>
        <v>76.76271908120242</v>
      </c>
      <c r="M11" s="13">
        <f t="shared" si="1"/>
        <v>0.36224271935687019</v>
      </c>
      <c r="P11">
        <f t="shared" si="3"/>
        <v>0</v>
      </c>
      <c r="Q11">
        <f t="shared" si="4"/>
        <v>0</v>
      </c>
      <c r="X11">
        <f t="shared" si="5"/>
        <v>0</v>
      </c>
    </row>
    <row r="12" spans="1:25" ht="15.75" thickBot="1" x14ac:dyDescent="0.3">
      <c r="A12" s="75">
        <v>2009</v>
      </c>
      <c r="E12">
        <f t="shared" si="2"/>
        <v>0</v>
      </c>
      <c r="F12" s="13">
        <f>Penduduk!F12</f>
        <v>11219907.863743665</v>
      </c>
      <c r="G12">
        <f>G13/(1+$I$13)</f>
        <v>80.64031552396807</v>
      </c>
      <c r="M12" s="13">
        <f>M13/(1+$O$13)</f>
        <v>0.33300604527157618</v>
      </c>
      <c r="P12">
        <f t="shared" si="3"/>
        <v>0</v>
      </c>
      <c r="Q12">
        <f t="shared" si="4"/>
        <v>0</v>
      </c>
      <c r="X12">
        <f t="shared" si="5"/>
        <v>0</v>
      </c>
    </row>
    <row r="13" spans="1:25" ht="15.75" thickBot="1" x14ac:dyDescent="0.3">
      <c r="A13" s="75">
        <v>2010</v>
      </c>
      <c r="B13" s="76">
        <v>7900000</v>
      </c>
      <c r="C13" s="76">
        <v>48340</v>
      </c>
      <c r="D13" s="76">
        <v>3057</v>
      </c>
      <c r="E13">
        <f t="shared" si="2"/>
        <v>968540000</v>
      </c>
      <c r="F13" s="13">
        <f>Penduduk!F13</f>
        <v>11433086.113154793</v>
      </c>
      <c r="G13">
        <f>E13/F13</f>
        <v>84.713785098286607</v>
      </c>
      <c r="H13" t="s">
        <v>396</v>
      </c>
      <c r="I13">
        <f>(G23/G13)^(1/10)-1</f>
        <v>5.0514057985150185E-2</v>
      </c>
      <c r="J13" s="76">
        <v>3500000</v>
      </c>
      <c r="K13" s="76">
        <v>21417</v>
      </c>
      <c r="L13" s="76">
        <v>1548</v>
      </c>
      <c r="M13" s="13">
        <f>J13/F13</f>
        <v>0.30612906833378395</v>
      </c>
      <c r="N13" t="s">
        <v>396</v>
      </c>
      <c r="O13">
        <f>(M23/M13)^(1/10)-1</f>
        <v>-8.0710177245801207E-2</v>
      </c>
      <c r="P13">
        <f t="shared" si="3"/>
        <v>3057000000</v>
      </c>
      <c r="Q13">
        <f t="shared" si="4"/>
        <v>1548000000</v>
      </c>
      <c r="R13" s="76">
        <v>3400000</v>
      </c>
      <c r="S13" s="76">
        <v>2084200</v>
      </c>
      <c r="T13" s="76">
        <v>1511</v>
      </c>
      <c r="U13" s="84">
        <v>6116</v>
      </c>
      <c r="V13">
        <f>T13*1000</f>
        <v>1511000</v>
      </c>
      <c r="W13">
        <f>V13/S13</f>
        <v>0.7249784089818635</v>
      </c>
      <c r="X13">
        <f t="shared" si="5"/>
        <v>2084200000</v>
      </c>
      <c r="Y13" s="6">
        <v>11748726.665999999</v>
      </c>
    </row>
    <row r="14" spans="1:25" ht="15.75" thickBot="1" x14ac:dyDescent="0.3">
      <c r="A14" s="75">
        <v>2011</v>
      </c>
      <c r="B14" s="76">
        <v>9040000</v>
      </c>
      <c r="C14" s="76">
        <v>55316</v>
      </c>
      <c r="D14" s="76">
        <v>3498</v>
      </c>
      <c r="E14">
        <f t="shared" si="2"/>
        <v>1108304000</v>
      </c>
      <c r="F14" s="13">
        <f>Penduduk!F14</f>
        <v>11609155.639297377</v>
      </c>
      <c r="G14">
        <f t="shared" ref="G14:G23" si="6">E14/F14</f>
        <v>95.468097287657528</v>
      </c>
      <c r="J14" s="76">
        <v>3100000</v>
      </c>
      <c r="K14" s="76">
        <v>18969</v>
      </c>
      <c r="L14" s="76">
        <v>1364</v>
      </c>
      <c r="M14" s="13">
        <f t="shared" ref="M14:M23" si="7">J14/F14</f>
        <v>0.26703061758483082</v>
      </c>
      <c r="P14">
        <f t="shared" si="3"/>
        <v>3498000000</v>
      </c>
      <c r="Q14">
        <f t="shared" si="4"/>
        <v>1364000000</v>
      </c>
      <c r="R14" s="76">
        <v>3480000</v>
      </c>
      <c r="S14" s="76">
        <v>2133240</v>
      </c>
      <c r="T14" s="76">
        <v>1547</v>
      </c>
      <c r="U14" s="84">
        <v>6408</v>
      </c>
      <c r="V14">
        <f t="shared" ref="V14:V33" si="8">T14*1000</f>
        <v>1547000</v>
      </c>
      <c r="W14">
        <f t="shared" ref="W14:W33" si="9">V14/S14</f>
        <v>0.72518797697399262</v>
      </c>
      <c r="X14">
        <f t="shared" si="5"/>
        <v>2133240000</v>
      </c>
    </row>
    <row r="15" spans="1:25" ht="15.75" thickBot="1" x14ac:dyDescent="0.3">
      <c r="A15" s="75">
        <v>2012</v>
      </c>
      <c r="B15" s="76">
        <v>10180000</v>
      </c>
      <c r="C15" s="76">
        <v>62291</v>
      </c>
      <c r="D15" s="76">
        <v>3939</v>
      </c>
      <c r="E15">
        <f t="shared" si="2"/>
        <v>1248068000</v>
      </c>
      <c r="F15" s="13">
        <f>Penduduk!F15</f>
        <v>11787936.636142557</v>
      </c>
      <c r="G15">
        <f t="shared" si="6"/>
        <v>105.87671434993507</v>
      </c>
      <c r="J15" s="76">
        <v>2700000</v>
      </c>
      <c r="K15" s="76">
        <v>16521</v>
      </c>
      <c r="L15" s="76">
        <v>1188</v>
      </c>
      <c r="M15" s="13">
        <f t="shared" si="7"/>
        <v>0.22904771915057887</v>
      </c>
      <c r="P15">
        <f t="shared" si="3"/>
        <v>3939000000</v>
      </c>
      <c r="Q15">
        <f t="shared" si="4"/>
        <v>1188000000</v>
      </c>
      <c r="R15" s="76">
        <v>3560000</v>
      </c>
      <c r="S15" s="76">
        <v>2182280</v>
      </c>
      <c r="T15" s="76">
        <v>1582</v>
      </c>
      <c r="U15" s="84">
        <v>6709</v>
      </c>
      <c r="V15">
        <f t="shared" si="8"/>
        <v>1582000</v>
      </c>
      <c r="W15">
        <f t="shared" si="9"/>
        <v>0.72492988983998385</v>
      </c>
      <c r="X15">
        <f t="shared" si="5"/>
        <v>2182280000</v>
      </c>
    </row>
    <row r="16" spans="1:25" ht="15.75" thickBot="1" x14ac:dyDescent="0.3">
      <c r="A16" s="75">
        <v>2013</v>
      </c>
      <c r="B16" s="76">
        <v>11320000</v>
      </c>
      <c r="C16" s="76">
        <v>69267</v>
      </c>
      <c r="D16" s="76">
        <v>4380</v>
      </c>
      <c r="E16">
        <f t="shared" si="2"/>
        <v>1387832000</v>
      </c>
      <c r="F16" s="13">
        <f>Penduduk!F16</f>
        <v>11969470.860339155</v>
      </c>
      <c r="G16">
        <f t="shared" si="6"/>
        <v>115.94764849619057</v>
      </c>
      <c r="J16" s="76">
        <v>2300000</v>
      </c>
      <c r="K16" s="76">
        <v>14074</v>
      </c>
      <c r="L16" s="76">
        <v>1012</v>
      </c>
      <c r="M16" s="13">
        <f t="shared" si="7"/>
        <v>0.19215552858072035</v>
      </c>
      <c r="P16">
        <f t="shared" si="3"/>
        <v>4380000000</v>
      </c>
      <c r="Q16">
        <f t="shared" si="4"/>
        <v>1012000000</v>
      </c>
      <c r="R16" s="76">
        <v>3640000</v>
      </c>
      <c r="S16" s="76">
        <v>2231320</v>
      </c>
      <c r="T16" s="76">
        <v>1618</v>
      </c>
      <c r="U16" s="84">
        <v>7010</v>
      </c>
      <c r="V16">
        <f t="shared" si="8"/>
        <v>1618000</v>
      </c>
      <c r="W16">
        <f t="shared" si="9"/>
        <v>0.72513131240700568</v>
      </c>
      <c r="X16">
        <f t="shared" si="5"/>
        <v>2231320000</v>
      </c>
    </row>
    <row r="17" spans="1:24" ht="15.75" thickBot="1" x14ac:dyDescent="0.3">
      <c r="A17" s="75">
        <v>2014</v>
      </c>
      <c r="B17" s="76">
        <v>12460000</v>
      </c>
      <c r="C17" s="76">
        <v>76243</v>
      </c>
      <c r="D17" s="76">
        <v>4821</v>
      </c>
      <c r="E17">
        <f t="shared" si="2"/>
        <v>1527596000</v>
      </c>
      <c r="F17" s="13">
        <f>Penduduk!F17</f>
        <v>12153800.711588379</v>
      </c>
      <c r="G17">
        <f t="shared" si="6"/>
        <v>125.6887484211808</v>
      </c>
      <c r="J17" s="76">
        <v>1900000</v>
      </c>
      <c r="K17" s="76">
        <v>11626</v>
      </c>
      <c r="L17" s="78">
        <v>836</v>
      </c>
      <c r="M17" s="13">
        <f t="shared" si="7"/>
        <v>0.15632969842827785</v>
      </c>
      <c r="P17">
        <f t="shared" si="3"/>
        <v>4821000000</v>
      </c>
      <c r="Q17">
        <f t="shared" si="4"/>
        <v>836000000</v>
      </c>
      <c r="R17" s="76">
        <v>3720000</v>
      </c>
      <c r="S17" s="76">
        <v>2280360</v>
      </c>
      <c r="T17" s="76">
        <v>1653</v>
      </c>
      <c r="U17" s="84">
        <v>7310</v>
      </c>
      <c r="V17">
        <f t="shared" si="8"/>
        <v>1653000</v>
      </c>
      <c r="W17">
        <f t="shared" si="9"/>
        <v>0.72488554438772823</v>
      </c>
      <c r="X17">
        <f t="shared" si="5"/>
        <v>2280360000</v>
      </c>
    </row>
    <row r="18" spans="1:24" ht="15.75" thickBot="1" x14ac:dyDescent="0.3">
      <c r="A18" s="75">
        <v>2015</v>
      </c>
      <c r="B18" s="76">
        <v>13600000</v>
      </c>
      <c r="C18" s="76">
        <v>83218</v>
      </c>
      <c r="D18" s="76">
        <v>5262</v>
      </c>
      <c r="E18">
        <f t="shared" si="2"/>
        <v>1667360000</v>
      </c>
      <c r="F18" s="13">
        <f>Penduduk!F18</f>
        <v>12340969.24254684</v>
      </c>
      <c r="G18">
        <f t="shared" si="6"/>
        <v>135.10770242029241</v>
      </c>
      <c r="J18" s="76">
        <v>1500000</v>
      </c>
      <c r="K18" s="76">
        <v>9179</v>
      </c>
      <c r="L18" s="78">
        <v>660</v>
      </c>
      <c r="M18" s="13">
        <f t="shared" si="7"/>
        <v>0.12154636888880543</v>
      </c>
      <c r="P18">
        <f t="shared" si="3"/>
        <v>5262000000</v>
      </c>
      <c r="Q18">
        <f t="shared" si="4"/>
        <v>660000000</v>
      </c>
      <c r="R18" s="76">
        <v>3800000</v>
      </c>
      <c r="S18" s="76">
        <v>2329400</v>
      </c>
      <c r="T18" s="76">
        <v>1689</v>
      </c>
      <c r="U18" s="84">
        <v>7611</v>
      </c>
      <c r="V18">
        <f t="shared" si="8"/>
        <v>1689000</v>
      </c>
      <c r="W18">
        <f t="shared" si="9"/>
        <v>0.72507941959302824</v>
      </c>
      <c r="X18">
        <f t="shared" si="5"/>
        <v>2329400000</v>
      </c>
    </row>
    <row r="19" spans="1:24" ht="15.75" thickBot="1" x14ac:dyDescent="0.3">
      <c r="A19" s="75">
        <v>2016</v>
      </c>
      <c r="B19" s="76">
        <v>13880000</v>
      </c>
      <c r="C19" s="76">
        <v>84932</v>
      </c>
      <c r="D19" s="76">
        <v>5371</v>
      </c>
      <c r="E19">
        <f t="shared" si="2"/>
        <v>1701688000</v>
      </c>
      <c r="F19" s="13">
        <f>Penduduk!F19</f>
        <v>12531020.168882063</v>
      </c>
      <c r="G19">
        <f t="shared" si="6"/>
        <v>135.7980417448976</v>
      </c>
      <c r="J19" s="76">
        <v>1550000</v>
      </c>
      <c r="K19" s="76">
        <v>9484</v>
      </c>
      <c r="L19" s="78">
        <v>682</v>
      </c>
      <c r="M19" s="13">
        <f t="shared" si="7"/>
        <v>0.12369304167661244</v>
      </c>
      <c r="P19">
        <f t="shared" si="3"/>
        <v>5371000000</v>
      </c>
      <c r="Q19">
        <f t="shared" si="4"/>
        <v>682000000</v>
      </c>
      <c r="R19" s="76">
        <v>3880000</v>
      </c>
      <c r="S19" s="76">
        <v>2378440</v>
      </c>
      <c r="T19" s="76">
        <v>1724</v>
      </c>
      <c r="U19" s="84">
        <v>7777</v>
      </c>
      <c r="V19">
        <f t="shared" si="8"/>
        <v>1724000</v>
      </c>
      <c r="W19">
        <f t="shared" si="9"/>
        <v>0.72484485629235973</v>
      </c>
      <c r="X19">
        <f t="shared" si="5"/>
        <v>2378440000</v>
      </c>
    </row>
    <row r="20" spans="1:24" ht="15.75" thickBot="1" x14ac:dyDescent="0.3">
      <c r="A20" s="75">
        <v>2017</v>
      </c>
      <c r="B20" s="76">
        <v>14160000</v>
      </c>
      <c r="C20" s="76">
        <v>86645</v>
      </c>
      <c r="D20" s="76">
        <v>5479</v>
      </c>
      <c r="E20">
        <f t="shared" si="2"/>
        <v>1736016000</v>
      </c>
      <c r="F20" s="13">
        <f>Penduduk!F20</f>
        <v>12723997.879482847</v>
      </c>
      <c r="G20">
        <f t="shared" si="6"/>
        <v>136.43636351113244</v>
      </c>
      <c r="J20" s="76">
        <v>1600000</v>
      </c>
      <c r="K20" s="76">
        <v>9790</v>
      </c>
      <c r="L20" s="78">
        <v>704</v>
      </c>
      <c r="M20" s="13">
        <f t="shared" si="7"/>
        <v>0.12574664151586845</v>
      </c>
      <c r="P20">
        <f t="shared" si="3"/>
        <v>5479000000</v>
      </c>
      <c r="Q20">
        <f t="shared" si="4"/>
        <v>704000000</v>
      </c>
      <c r="R20" s="76">
        <v>3960000</v>
      </c>
      <c r="S20" s="76">
        <v>2427480</v>
      </c>
      <c r="T20" s="76">
        <v>1760</v>
      </c>
      <c r="U20" s="84">
        <v>7943</v>
      </c>
      <c r="V20">
        <f t="shared" si="8"/>
        <v>1760000</v>
      </c>
      <c r="W20">
        <f t="shared" si="9"/>
        <v>0.72503172013775607</v>
      </c>
      <c r="X20">
        <f t="shared" si="5"/>
        <v>2427480000</v>
      </c>
    </row>
    <row r="21" spans="1:24" ht="15.75" thickBot="1" x14ac:dyDescent="0.3">
      <c r="A21" s="75">
        <v>2018</v>
      </c>
      <c r="B21" s="76">
        <v>14440000</v>
      </c>
      <c r="C21" s="76">
        <v>88358</v>
      </c>
      <c r="D21" s="76">
        <v>5587</v>
      </c>
      <c r="E21">
        <f t="shared" si="2"/>
        <v>1770344000</v>
      </c>
      <c r="F21" s="13">
        <f>Penduduk!F21</f>
        <v>12900861.450007658</v>
      </c>
      <c r="G21">
        <f t="shared" si="6"/>
        <v>137.22680511377393</v>
      </c>
      <c r="J21" s="76">
        <v>1650000</v>
      </c>
      <c r="K21" s="76">
        <v>10096</v>
      </c>
      <c r="L21" s="78">
        <v>726</v>
      </c>
      <c r="M21" s="13">
        <f t="shared" si="7"/>
        <v>0.1278984358055423</v>
      </c>
      <c r="P21">
        <f t="shared" si="3"/>
        <v>5587000000</v>
      </c>
      <c r="Q21">
        <f t="shared" si="4"/>
        <v>726000000</v>
      </c>
      <c r="R21" s="76">
        <v>4040000</v>
      </c>
      <c r="S21" s="76">
        <v>2476520</v>
      </c>
      <c r="T21" s="76">
        <v>1795</v>
      </c>
      <c r="U21" s="84">
        <v>8109</v>
      </c>
      <c r="V21">
        <f t="shared" si="8"/>
        <v>1795000</v>
      </c>
      <c r="W21">
        <f t="shared" si="9"/>
        <v>0.72480739101642633</v>
      </c>
      <c r="X21">
        <f t="shared" si="5"/>
        <v>2476520000</v>
      </c>
    </row>
    <row r="22" spans="1:24" ht="15.75" thickBot="1" x14ac:dyDescent="0.3">
      <c r="A22" s="75">
        <v>2019</v>
      </c>
      <c r="B22" s="76">
        <v>14720000</v>
      </c>
      <c r="C22" s="76">
        <v>90072</v>
      </c>
      <c r="D22" s="76">
        <v>5696</v>
      </c>
      <c r="E22">
        <f t="shared" si="2"/>
        <v>1804672000</v>
      </c>
      <c r="F22" s="13">
        <f>Penduduk!F22</f>
        <v>13080183.424162766</v>
      </c>
      <c r="G22">
        <f t="shared" si="6"/>
        <v>137.96993065603843</v>
      </c>
      <c r="J22" s="76">
        <v>1700000</v>
      </c>
      <c r="K22" s="76">
        <v>10402</v>
      </c>
      <c r="L22" s="78">
        <v>748</v>
      </c>
      <c r="M22" s="13">
        <f t="shared" si="7"/>
        <v>0.12996759639162425</v>
      </c>
      <c r="P22">
        <f t="shared" si="3"/>
        <v>5696000000</v>
      </c>
      <c r="Q22">
        <f t="shared" si="4"/>
        <v>748000000</v>
      </c>
      <c r="R22" s="76">
        <v>4120000</v>
      </c>
      <c r="S22" s="76">
        <v>2525560</v>
      </c>
      <c r="T22" s="76">
        <v>1831</v>
      </c>
      <c r="U22" s="84">
        <v>8275</v>
      </c>
      <c r="V22">
        <f t="shared" si="8"/>
        <v>1831000</v>
      </c>
      <c r="W22">
        <f t="shared" si="9"/>
        <v>0.72498772549454382</v>
      </c>
      <c r="X22">
        <f t="shared" si="5"/>
        <v>2525560000</v>
      </c>
    </row>
    <row r="23" spans="1:24" ht="15.75" thickBot="1" x14ac:dyDescent="0.3">
      <c r="A23" s="75">
        <v>2020</v>
      </c>
      <c r="B23" s="76">
        <v>15000000</v>
      </c>
      <c r="C23" s="76">
        <v>91785</v>
      </c>
      <c r="D23" s="76">
        <v>5804</v>
      </c>
      <c r="E23">
        <f t="shared" si="2"/>
        <v>1839000000</v>
      </c>
      <c r="F23" s="13">
        <f>Penduduk!F23</f>
        <v>13261997.973758629</v>
      </c>
      <c r="G23">
        <f t="shared" si="6"/>
        <v>138.66688892871267</v>
      </c>
      <c r="J23" s="76">
        <v>1750000</v>
      </c>
      <c r="K23" s="76">
        <v>10708</v>
      </c>
      <c r="L23" s="78">
        <v>770</v>
      </c>
      <c r="M23" s="13">
        <f t="shared" si="7"/>
        <v>0.1319559845705531</v>
      </c>
      <c r="P23">
        <f t="shared" si="3"/>
        <v>5804000000</v>
      </c>
      <c r="Q23">
        <f t="shared" si="4"/>
        <v>770000000</v>
      </c>
      <c r="R23" s="76">
        <v>4200000</v>
      </c>
      <c r="S23" s="76">
        <v>2574600</v>
      </c>
      <c r="T23" s="76">
        <v>1867</v>
      </c>
      <c r="U23" s="84">
        <v>8441</v>
      </c>
      <c r="V23">
        <f t="shared" si="8"/>
        <v>1867000</v>
      </c>
      <c r="W23">
        <f t="shared" si="9"/>
        <v>0.72516119008778057</v>
      </c>
      <c r="X23">
        <f t="shared" si="5"/>
        <v>2574600000</v>
      </c>
    </row>
    <row r="24" spans="1:24" ht="15.75" thickBot="1" x14ac:dyDescent="0.3">
      <c r="A24" s="75">
        <v>2021</v>
      </c>
      <c r="B24" s="76">
        <v>15600000</v>
      </c>
      <c r="C24" s="76">
        <v>95456</v>
      </c>
      <c r="D24" s="76">
        <v>6036</v>
      </c>
      <c r="E24">
        <f t="shared" si="2"/>
        <v>1912560000</v>
      </c>
      <c r="J24" s="76">
        <v>1800000</v>
      </c>
      <c r="K24" s="76">
        <v>11014</v>
      </c>
      <c r="L24" s="78">
        <v>792</v>
      </c>
      <c r="P24">
        <f t="shared" si="3"/>
        <v>6036000000</v>
      </c>
      <c r="Q24">
        <f t="shared" si="4"/>
        <v>792000000</v>
      </c>
      <c r="R24" s="76">
        <v>4280000</v>
      </c>
      <c r="S24" s="76">
        <v>2623640</v>
      </c>
      <c r="T24" s="76">
        <v>1902</v>
      </c>
      <c r="U24" s="84">
        <v>8730</v>
      </c>
      <c r="V24">
        <f t="shared" si="8"/>
        <v>1902000</v>
      </c>
      <c r="W24">
        <f t="shared" si="9"/>
        <v>0.72494702017045021</v>
      </c>
      <c r="X24">
        <f t="shared" si="5"/>
        <v>2623640000</v>
      </c>
    </row>
    <row r="25" spans="1:24" ht="15.75" thickBot="1" x14ac:dyDescent="0.3">
      <c r="A25" s="75">
        <v>2022</v>
      </c>
      <c r="B25" s="76">
        <v>15920000</v>
      </c>
      <c r="C25" s="76">
        <v>97414</v>
      </c>
      <c r="D25" s="76">
        <v>6160</v>
      </c>
      <c r="E25">
        <f t="shared" si="2"/>
        <v>1951792000</v>
      </c>
      <c r="J25" s="76">
        <v>1850000</v>
      </c>
      <c r="K25" s="76">
        <v>11320</v>
      </c>
      <c r="L25" s="78">
        <v>814</v>
      </c>
      <c r="P25">
        <f t="shared" si="3"/>
        <v>6160000000</v>
      </c>
      <c r="Q25">
        <f t="shared" si="4"/>
        <v>814000000</v>
      </c>
      <c r="R25" s="76">
        <v>4360000</v>
      </c>
      <c r="S25" s="76">
        <v>2672680</v>
      </c>
      <c r="T25" s="76">
        <v>1938</v>
      </c>
      <c r="U25" s="84">
        <v>8912</v>
      </c>
      <c r="V25">
        <f t="shared" si="8"/>
        <v>1938000</v>
      </c>
      <c r="W25">
        <f t="shared" si="9"/>
        <v>0.72511486597722141</v>
      </c>
      <c r="X25">
        <f t="shared" si="5"/>
        <v>2672680000</v>
      </c>
    </row>
    <row r="26" spans="1:24" ht="15.75" thickBot="1" x14ac:dyDescent="0.3">
      <c r="A26" s="75">
        <v>2023</v>
      </c>
      <c r="B26" s="76">
        <v>16240000</v>
      </c>
      <c r="C26" s="76">
        <v>99373</v>
      </c>
      <c r="D26" s="76">
        <v>6284</v>
      </c>
      <c r="E26">
        <f t="shared" si="2"/>
        <v>1991024000</v>
      </c>
      <c r="J26" s="76">
        <v>1900000</v>
      </c>
      <c r="K26" s="76">
        <v>11626</v>
      </c>
      <c r="L26" s="78">
        <v>836</v>
      </c>
      <c r="P26">
        <f t="shared" si="3"/>
        <v>6284000000</v>
      </c>
      <c r="Q26">
        <f t="shared" si="4"/>
        <v>836000000</v>
      </c>
      <c r="R26" s="76">
        <v>4440000</v>
      </c>
      <c r="S26" s="76">
        <v>2721720</v>
      </c>
      <c r="T26" s="76">
        <v>1973</v>
      </c>
      <c r="U26" s="84">
        <v>9093</v>
      </c>
      <c r="V26">
        <f t="shared" si="8"/>
        <v>1973000</v>
      </c>
      <c r="W26">
        <f t="shared" si="9"/>
        <v>0.72490924856340844</v>
      </c>
      <c r="X26">
        <f t="shared" si="5"/>
        <v>2721720000</v>
      </c>
    </row>
    <row r="27" spans="1:24" ht="15.75" thickBot="1" x14ac:dyDescent="0.3">
      <c r="A27" s="75">
        <v>2024</v>
      </c>
      <c r="B27" s="76">
        <v>16560000</v>
      </c>
      <c r="C27" s="76">
        <v>101331</v>
      </c>
      <c r="D27" s="76">
        <v>6408</v>
      </c>
      <c r="E27">
        <f t="shared" si="2"/>
        <v>2030256000</v>
      </c>
      <c r="J27" s="76">
        <v>1950000</v>
      </c>
      <c r="K27" s="76">
        <v>11932</v>
      </c>
      <c r="L27" s="78">
        <v>858</v>
      </c>
      <c r="P27">
        <f t="shared" si="3"/>
        <v>6408000000</v>
      </c>
      <c r="Q27">
        <f t="shared" si="4"/>
        <v>858000000</v>
      </c>
      <c r="R27" s="76">
        <v>4520000</v>
      </c>
      <c r="S27" s="76">
        <v>2770760</v>
      </c>
      <c r="T27" s="76">
        <v>2009</v>
      </c>
      <c r="U27" s="84">
        <v>9274</v>
      </c>
      <c r="V27">
        <f t="shared" si="8"/>
        <v>2009000</v>
      </c>
      <c r="W27">
        <f t="shared" si="9"/>
        <v>0.7250718214497105</v>
      </c>
      <c r="X27">
        <f t="shared" si="5"/>
        <v>2770760000</v>
      </c>
    </row>
    <row r="28" spans="1:24" ht="15.75" thickBot="1" x14ac:dyDescent="0.3">
      <c r="A28" s="75">
        <v>2025</v>
      </c>
      <c r="B28" s="76">
        <v>16600000</v>
      </c>
      <c r="C28" s="76">
        <v>101575</v>
      </c>
      <c r="D28" s="76">
        <v>6423</v>
      </c>
      <c r="E28">
        <f t="shared" si="2"/>
        <v>2035160000</v>
      </c>
      <c r="J28" s="76">
        <v>2000000</v>
      </c>
      <c r="K28" s="76">
        <v>12238</v>
      </c>
      <c r="L28" s="78">
        <v>880</v>
      </c>
      <c r="P28">
        <f t="shared" si="3"/>
        <v>6423000000</v>
      </c>
      <c r="Q28">
        <f t="shared" si="4"/>
        <v>880000000</v>
      </c>
      <c r="R28" s="76">
        <v>4600000</v>
      </c>
      <c r="S28" s="76">
        <v>2819800</v>
      </c>
      <c r="T28" s="76">
        <v>2044</v>
      </c>
      <c r="U28" s="84">
        <v>9347</v>
      </c>
      <c r="V28">
        <f t="shared" si="8"/>
        <v>2044000</v>
      </c>
      <c r="W28">
        <f t="shared" si="9"/>
        <v>0.72487410454642176</v>
      </c>
      <c r="X28">
        <f t="shared" si="5"/>
        <v>2819800000</v>
      </c>
    </row>
    <row r="29" spans="1:24" ht="15.75" thickBot="1" x14ac:dyDescent="0.3">
      <c r="A29" s="75">
        <v>2026</v>
      </c>
      <c r="B29" s="76">
        <v>16940000</v>
      </c>
      <c r="C29" s="76">
        <v>103656</v>
      </c>
      <c r="D29" s="76">
        <v>6555</v>
      </c>
      <c r="E29">
        <f t="shared" si="2"/>
        <v>2076844000</v>
      </c>
      <c r="J29" s="76">
        <v>3720000</v>
      </c>
      <c r="K29" s="76">
        <v>22763</v>
      </c>
      <c r="L29" s="76">
        <v>1637</v>
      </c>
      <c r="P29">
        <f t="shared" si="3"/>
        <v>6555000000</v>
      </c>
      <c r="Q29">
        <f t="shared" si="4"/>
        <v>1637000000</v>
      </c>
      <c r="R29" s="76">
        <v>4680000</v>
      </c>
      <c r="S29" s="76">
        <v>2868840</v>
      </c>
      <c r="T29" s="76">
        <v>2080</v>
      </c>
      <c r="U29" s="84">
        <v>10271</v>
      </c>
      <c r="V29">
        <f t="shared" si="8"/>
        <v>2080000</v>
      </c>
      <c r="W29">
        <f t="shared" si="9"/>
        <v>0.72503172013775607</v>
      </c>
      <c r="X29">
        <f t="shared" si="5"/>
        <v>2868840000</v>
      </c>
    </row>
    <row r="30" spans="1:24" ht="15.75" thickBot="1" x14ac:dyDescent="0.3">
      <c r="A30" s="75">
        <v>2027</v>
      </c>
      <c r="B30" s="76">
        <v>17280000</v>
      </c>
      <c r="C30" s="76">
        <v>105736</v>
      </c>
      <c r="D30" s="76">
        <v>6686</v>
      </c>
      <c r="E30">
        <f t="shared" si="2"/>
        <v>2118528000</v>
      </c>
      <c r="J30" s="76">
        <v>5440000</v>
      </c>
      <c r="K30" s="76">
        <v>33287</v>
      </c>
      <c r="L30" s="76">
        <v>2393</v>
      </c>
      <c r="P30">
        <f t="shared" si="3"/>
        <v>6686000000</v>
      </c>
      <c r="Q30">
        <f t="shared" si="4"/>
        <v>2393000000</v>
      </c>
      <c r="R30" s="76">
        <v>4760000</v>
      </c>
      <c r="S30" s="76">
        <v>2917880</v>
      </c>
      <c r="T30" s="76">
        <v>2115</v>
      </c>
      <c r="U30" s="84">
        <v>11195</v>
      </c>
      <c r="V30">
        <f t="shared" si="8"/>
        <v>2115000</v>
      </c>
      <c r="W30">
        <f t="shared" si="9"/>
        <v>0.72484132315242578</v>
      </c>
      <c r="X30">
        <f t="shared" si="5"/>
        <v>2917880000</v>
      </c>
    </row>
    <row r="31" spans="1:24" ht="15.75" thickBot="1" x14ac:dyDescent="0.3">
      <c r="A31" s="75">
        <v>2028</v>
      </c>
      <c r="B31" s="76">
        <v>17620000</v>
      </c>
      <c r="C31" s="76">
        <v>107817</v>
      </c>
      <c r="D31" s="76">
        <v>6818</v>
      </c>
      <c r="E31">
        <f t="shared" si="2"/>
        <v>2160212000</v>
      </c>
      <c r="J31" s="76">
        <v>7160000</v>
      </c>
      <c r="K31" s="76">
        <v>43812</v>
      </c>
      <c r="L31" s="76">
        <v>3150</v>
      </c>
      <c r="P31">
        <f t="shared" si="3"/>
        <v>6818000000</v>
      </c>
      <c r="Q31">
        <f t="shared" si="4"/>
        <v>3150000000</v>
      </c>
      <c r="R31" s="76">
        <v>4840000</v>
      </c>
      <c r="S31" s="76">
        <v>2966920</v>
      </c>
      <c r="T31" s="76">
        <v>2151</v>
      </c>
      <c r="U31" s="84">
        <v>12119</v>
      </c>
      <c r="V31">
        <f t="shared" si="8"/>
        <v>2151000</v>
      </c>
      <c r="W31">
        <f t="shared" si="9"/>
        <v>0.72499427015221174</v>
      </c>
      <c r="X31">
        <f t="shared" si="5"/>
        <v>2966920000</v>
      </c>
    </row>
    <row r="32" spans="1:24" ht="15.75" thickBot="1" x14ac:dyDescent="0.3">
      <c r="A32" s="75">
        <v>2029</v>
      </c>
      <c r="B32" s="76">
        <v>17960000</v>
      </c>
      <c r="C32" s="76">
        <v>109897</v>
      </c>
      <c r="D32" s="76">
        <v>6949</v>
      </c>
      <c r="E32">
        <f t="shared" si="2"/>
        <v>2201896000</v>
      </c>
      <c r="J32" s="76">
        <v>8880000</v>
      </c>
      <c r="K32" s="76">
        <v>54337</v>
      </c>
      <c r="L32" s="76">
        <v>3907</v>
      </c>
      <c r="P32">
        <f t="shared" si="3"/>
        <v>6949000000</v>
      </c>
      <c r="Q32">
        <f t="shared" si="4"/>
        <v>3907000000</v>
      </c>
      <c r="R32" s="76">
        <v>4920000</v>
      </c>
      <c r="S32" s="76">
        <v>3015960</v>
      </c>
      <c r="T32" s="76">
        <v>2187</v>
      </c>
      <c r="U32" s="84">
        <v>13043</v>
      </c>
      <c r="V32">
        <f t="shared" si="8"/>
        <v>2187000</v>
      </c>
      <c r="W32">
        <f t="shared" si="9"/>
        <v>0.72514224326582577</v>
      </c>
      <c r="X32">
        <f t="shared" si="5"/>
        <v>3015960000</v>
      </c>
    </row>
    <row r="33" spans="1:32" ht="15.75" thickBot="1" x14ac:dyDescent="0.3">
      <c r="A33" s="75">
        <v>2030</v>
      </c>
      <c r="B33" s="76">
        <v>18300000</v>
      </c>
      <c r="C33" s="76">
        <v>111978</v>
      </c>
      <c r="D33" s="76">
        <v>7081</v>
      </c>
      <c r="E33">
        <f t="shared" si="2"/>
        <v>2243580000</v>
      </c>
      <c r="J33" s="76">
        <v>10600000</v>
      </c>
      <c r="K33" s="76">
        <v>64861</v>
      </c>
      <c r="L33" s="76">
        <v>4664</v>
      </c>
      <c r="P33">
        <f t="shared" si="3"/>
        <v>7081000000</v>
      </c>
      <c r="Q33">
        <f t="shared" si="4"/>
        <v>4664000000</v>
      </c>
      <c r="R33" s="76">
        <v>5000000</v>
      </c>
      <c r="S33" s="76">
        <v>3065000</v>
      </c>
      <c r="T33" s="76">
        <v>2222</v>
      </c>
      <c r="U33" s="84">
        <v>13967</v>
      </c>
      <c r="V33">
        <f t="shared" si="8"/>
        <v>2222000</v>
      </c>
      <c r="W33">
        <f t="shared" si="9"/>
        <v>0.72495921696574228</v>
      </c>
      <c r="X33">
        <f t="shared" si="5"/>
        <v>3065000000</v>
      </c>
    </row>
    <row r="35" spans="1:32" x14ac:dyDescent="0.25">
      <c r="A35" t="s">
        <v>32</v>
      </c>
      <c r="B35" s="82">
        <v>2000</v>
      </c>
      <c r="C35" s="82">
        <v>2001</v>
      </c>
      <c r="D35" s="82">
        <v>2002</v>
      </c>
      <c r="E35" s="82">
        <v>2003</v>
      </c>
      <c r="F35" s="82">
        <v>2004</v>
      </c>
      <c r="G35" s="82">
        <v>2005</v>
      </c>
      <c r="H35" s="82">
        <v>2006</v>
      </c>
      <c r="I35" s="82">
        <v>2007</v>
      </c>
      <c r="J35" s="82">
        <v>2008</v>
      </c>
      <c r="K35" s="82">
        <v>2009</v>
      </c>
      <c r="L35" s="82">
        <v>2010</v>
      </c>
      <c r="M35" s="82">
        <v>2011</v>
      </c>
      <c r="N35" s="82">
        <v>2012</v>
      </c>
      <c r="O35" s="82">
        <v>2013</v>
      </c>
      <c r="P35" s="82">
        <v>2014</v>
      </c>
      <c r="Q35" s="82">
        <v>2015</v>
      </c>
      <c r="R35" s="82">
        <v>2016</v>
      </c>
      <c r="S35" s="82">
        <v>2017</v>
      </c>
      <c r="T35" s="82">
        <v>2018</v>
      </c>
      <c r="U35" s="82">
        <v>2019</v>
      </c>
      <c r="V35" s="82">
        <v>2020</v>
      </c>
      <c r="W35" s="82">
        <v>2021</v>
      </c>
      <c r="X35" s="82">
        <v>2022</v>
      </c>
      <c r="Y35" s="82">
        <v>2023</v>
      </c>
      <c r="Z35" s="82">
        <v>2024</v>
      </c>
      <c r="AA35" s="82">
        <v>2025</v>
      </c>
      <c r="AB35" s="82">
        <v>2026</v>
      </c>
      <c r="AC35" s="82">
        <v>2027</v>
      </c>
      <c r="AD35" s="82">
        <v>2028</v>
      </c>
      <c r="AE35" s="82">
        <v>2029</v>
      </c>
      <c r="AF35" s="82">
        <v>2030</v>
      </c>
    </row>
    <row r="36" spans="1:32" ht="89.25" x14ac:dyDescent="0.25">
      <c r="A36" s="77" t="s">
        <v>408</v>
      </c>
      <c r="B36">
        <f>VLOOKUP(B35,$A$3:$G$23,7)</f>
        <v>51.752984732844354</v>
      </c>
      <c r="C36">
        <f t="shared" ref="C36:V36" si="10">VLOOKUP(C35,$A$3:$G$23,7)</f>
        <v>54.367238004543843</v>
      </c>
      <c r="D36">
        <f t="shared" si="10"/>
        <v>57.113547817597834</v>
      </c>
      <c r="E36">
        <f t="shared" si="10"/>
        <v>59.998584883793619</v>
      </c>
      <c r="F36">
        <f t="shared" si="10"/>
        <v>63.029356879640524</v>
      </c>
      <c r="G36">
        <f t="shared" si="10"/>
        <v>66.21322546782541</v>
      </c>
      <c r="H36">
        <f t="shared" si="10"/>
        <v>69.557924178490964</v>
      </c>
      <c r="I36">
        <f t="shared" si="10"/>
        <v>73.07157719376994</v>
      </c>
      <c r="J36">
        <f t="shared" si="10"/>
        <v>76.76271908120242</v>
      </c>
      <c r="K36">
        <f t="shared" si="10"/>
        <v>80.64031552396807</v>
      </c>
      <c r="L36">
        <f t="shared" si="10"/>
        <v>84.713785098286607</v>
      </c>
      <c r="M36">
        <f t="shared" si="10"/>
        <v>95.468097287657528</v>
      </c>
      <c r="N36">
        <f t="shared" si="10"/>
        <v>105.87671434993507</v>
      </c>
      <c r="O36">
        <f t="shared" si="10"/>
        <v>115.94764849619057</v>
      </c>
      <c r="P36">
        <f t="shared" si="10"/>
        <v>125.6887484211808</v>
      </c>
      <c r="Q36">
        <f t="shared" si="10"/>
        <v>135.10770242029241</v>
      </c>
      <c r="R36">
        <f t="shared" si="10"/>
        <v>135.7980417448976</v>
      </c>
      <c r="S36">
        <f t="shared" si="10"/>
        <v>136.43636351113244</v>
      </c>
      <c r="T36">
        <f t="shared" si="10"/>
        <v>137.22680511377393</v>
      </c>
      <c r="U36">
        <f t="shared" si="10"/>
        <v>137.96993065603843</v>
      </c>
      <c r="V36">
        <f t="shared" si="10"/>
        <v>138.66688892871267</v>
      </c>
      <c r="W36">
        <f t="shared" ref="W36:AE36" si="11">VLOOKUP(W35,$A$3:$G$23,7)</f>
        <v>138.66688892871267</v>
      </c>
      <c r="X36">
        <f t="shared" si="11"/>
        <v>138.66688892871267</v>
      </c>
      <c r="Y36">
        <f t="shared" si="11"/>
        <v>138.66688892871267</v>
      </c>
      <c r="Z36">
        <f t="shared" si="11"/>
        <v>138.66688892871267</v>
      </c>
      <c r="AA36">
        <f t="shared" si="11"/>
        <v>138.66688892871267</v>
      </c>
      <c r="AB36">
        <f t="shared" si="11"/>
        <v>138.66688892871267</v>
      </c>
      <c r="AC36">
        <f t="shared" si="11"/>
        <v>138.66688892871267</v>
      </c>
      <c r="AD36">
        <f t="shared" si="11"/>
        <v>138.66688892871267</v>
      </c>
      <c r="AE36">
        <f t="shared" si="11"/>
        <v>138.66688892871267</v>
      </c>
      <c r="AF36">
        <f t="shared" ref="AF36" si="12">VLOOKUP(AF35,$A$3:$G$23,7)</f>
        <v>138.66688892871267</v>
      </c>
    </row>
    <row r="37" spans="1:32" ht="102" x14ac:dyDescent="0.25">
      <c r="A37" s="79" t="s">
        <v>409</v>
      </c>
      <c r="B37">
        <f>VLOOKUP(B35,$A$3:$M$23,13)</f>
        <v>0.71019898630519318</v>
      </c>
      <c r="C37">
        <f t="shared" ref="C37:V37" si="13">VLOOKUP(C35,$A$3:$M$23,13)</f>
        <v>0.65287870024071271</v>
      </c>
      <c r="D37">
        <f t="shared" si="13"/>
        <v>0.60018474462427651</v>
      </c>
      <c r="E37">
        <f t="shared" si="13"/>
        <v>0.55174372750542522</v>
      </c>
      <c r="F37">
        <f t="shared" si="13"/>
        <v>0.50721239346420333</v>
      </c>
      <c r="G37">
        <f t="shared" si="13"/>
        <v>0.46627519128644046</v>
      </c>
      <c r="H37">
        <f t="shared" si="13"/>
        <v>0.42864203795239197</v>
      </c>
      <c r="I37">
        <f t="shared" si="13"/>
        <v>0.39404626309425295</v>
      </c>
      <c r="J37">
        <f t="shared" si="13"/>
        <v>0.36224271935687019</v>
      </c>
      <c r="K37">
        <f t="shared" si="13"/>
        <v>0.33300604527157618</v>
      </c>
      <c r="L37">
        <f t="shared" si="13"/>
        <v>0.30612906833378395</v>
      </c>
      <c r="M37">
        <f t="shared" si="13"/>
        <v>0.26703061758483082</v>
      </c>
      <c r="N37">
        <f t="shared" si="13"/>
        <v>0.22904771915057887</v>
      </c>
      <c r="O37">
        <f t="shared" si="13"/>
        <v>0.19215552858072035</v>
      </c>
      <c r="P37">
        <f t="shared" si="13"/>
        <v>0.15632969842827785</v>
      </c>
      <c r="Q37">
        <f t="shared" si="13"/>
        <v>0.12154636888880543</v>
      </c>
      <c r="R37">
        <f t="shared" si="13"/>
        <v>0.12369304167661244</v>
      </c>
      <c r="S37">
        <f t="shared" si="13"/>
        <v>0.12574664151586845</v>
      </c>
      <c r="T37">
        <f t="shared" si="13"/>
        <v>0.1278984358055423</v>
      </c>
      <c r="U37">
        <f t="shared" si="13"/>
        <v>0.12996759639162425</v>
      </c>
      <c r="V37">
        <f t="shared" si="13"/>
        <v>0.1319559845705531</v>
      </c>
      <c r="W37">
        <f t="shared" ref="W37:AE37" si="14">VLOOKUP(W35,$A$3:$M$23,13)</f>
        <v>0.1319559845705531</v>
      </c>
      <c r="X37">
        <f t="shared" si="14"/>
        <v>0.1319559845705531</v>
      </c>
      <c r="Y37">
        <f t="shared" si="14"/>
        <v>0.1319559845705531</v>
      </c>
      <c r="Z37">
        <f t="shared" si="14"/>
        <v>0.1319559845705531</v>
      </c>
      <c r="AA37">
        <f t="shared" si="14"/>
        <v>0.1319559845705531</v>
      </c>
      <c r="AB37">
        <f t="shared" si="14"/>
        <v>0.1319559845705531</v>
      </c>
      <c r="AC37">
        <f t="shared" si="14"/>
        <v>0.1319559845705531</v>
      </c>
      <c r="AD37">
        <f t="shared" si="14"/>
        <v>0.1319559845705531</v>
      </c>
      <c r="AE37">
        <f t="shared" si="14"/>
        <v>0.1319559845705531</v>
      </c>
      <c r="AF37">
        <f t="shared" ref="AF37" si="15">VLOOKUP(AF35,$A$3:$M$23,13)</f>
        <v>0.1319559845705531</v>
      </c>
    </row>
    <row r="38" spans="1:32" ht="38.25" x14ac:dyDescent="0.25">
      <c r="A38" s="77" t="s">
        <v>387</v>
      </c>
      <c r="L38">
        <f t="shared" ref="L38:V38" si="16">VLOOKUP(L35,$A$3:$M$23,5)</f>
        <v>968540000</v>
      </c>
      <c r="M38">
        <f t="shared" si="16"/>
        <v>1108304000</v>
      </c>
      <c r="N38">
        <f t="shared" si="16"/>
        <v>1248068000</v>
      </c>
      <c r="O38">
        <f t="shared" si="16"/>
        <v>1387832000</v>
      </c>
      <c r="P38">
        <f t="shared" si="16"/>
        <v>1527596000</v>
      </c>
      <c r="Q38">
        <f t="shared" si="16"/>
        <v>1667360000</v>
      </c>
      <c r="R38">
        <f t="shared" si="16"/>
        <v>1701688000</v>
      </c>
      <c r="S38">
        <f t="shared" si="16"/>
        <v>1736016000</v>
      </c>
      <c r="T38">
        <f t="shared" si="16"/>
        <v>1770344000</v>
      </c>
      <c r="U38">
        <f t="shared" si="16"/>
        <v>1804672000</v>
      </c>
      <c r="V38">
        <f t="shared" si="16"/>
        <v>1839000000</v>
      </c>
      <c r="W38">
        <f t="shared" ref="W38:AE38" si="17">VLOOKUP(W35,$A$3:$M$23,5)</f>
        <v>1839000000</v>
      </c>
      <c r="X38">
        <f t="shared" si="17"/>
        <v>1839000000</v>
      </c>
      <c r="Y38">
        <f t="shared" si="17"/>
        <v>1839000000</v>
      </c>
      <c r="Z38">
        <f t="shared" si="17"/>
        <v>1839000000</v>
      </c>
      <c r="AA38">
        <f t="shared" si="17"/>
        <v>1839000000</v>
      </c>
      <c r="AB38">
        <f t="shared" si="17"/>
        <v>1839000000</v>
      </c>
      <c r="AC38">
        <f t="shared" si="17"/>
        <v>1839000000</v>
      </c>
      <c r="AD38">
        <f t="shared" si="17"/>
        <v>1839000000</v>
      </c>
      <c r="AE38">
        <f t="shared" si="17"/>
        <v>1839000000</v>
      </c>
      <c r="AF38">
        <f t="shared" ref="AF38" si="18">VLOOKUP(AF35,$A$3:$M$23,5)</f>
        <v>1839000000</v>
      </c>
    </row>
    <row r="39" spans="1:32" ht="51.75" thickBot="1" x14ac:dyDescent="0.3">
      <c r="A39" s="74" t="s">
        <v>392</v>
      </c>
      <c r="L39">
        <f t="shared" ref="L39:V39" si="19">VLOOKUP(L35,$A$3:$M$23,10)</f>
        <v>3500000</v>
      </c>
      <c r="M39">
        <f t="shared" si="19"/>
        <v>3100000</v>
      </c>
      <c r="N39">
        <f t="shared" si="19"/>
        <v>2700000</v>
      </c>
      <c r="O39">
        <f t="shared" si="19"/>
        <v>2300000</v>
      </c>
      <c r="P39">
        <f t="shared" si="19"/>
        <v>1900000</v>
      </c>
      <c r="Q39">
        <f t="shared" si="19"/>
        <v>1500000</v>
      </c>
      <c r="R39">
        <f t="shared" si="19"/>
        <v>1550000</v>
      </c>
      <c r="S39">
        <f t="shared" si="19"/>
        <v>1600000</v>
      </c>
      <c r="T39">
        <f t="shared" si="19"/>
        <v>1650000</v>
      </c>
      <c r="U39">
        <f t="shared" si="19"/>
        <v>1700000</v>
      </c>
      <c r="V39">
        <f t="shared" si="19"/>
        <v>1750000</v>
      </c>
      <c r="W39">
        <f t="shared" ref="W39:AE39" si="20">VLOOKUP(W35,$A$3:$M$23,10)</f>
        <v>1750000</v>
      </c>
      <c r="X39">
        <f t="shared" si="20"/>
        <v>1750000</v>
      </c>
      <c r="Y39">
        <f t="shared" si="20"/>
        <v>1750000</v>
      </c>
      <c r="Z39">
        <f t="shared" si="20"/>
        <v>1750000</v>
      </c>
      <c r="AA39">
        <f t="shared" si="20"/>
        <v>1750000</v>
      </c>
      <c r="AB39">
        <f t="shared" si="20"/>
        <v>1750000</v>
      </c>
      <c r="AC39">
        <f t="shared" si="20"/>
        <v>1750000</v>
      </c>
      <c r="AD39">
        <f t="shared" si="20"/>
        <v>1750000</v>
      </c>
      <c r="AE39">
        <f t="shared" si="20"/>
        <v>1750000</v>
      </c>
      <c r="AF39">
        <f t="shared" ref="AF39" si="21">VLOOKUP(AF35,$A$3:$M$23,10)</f>
        <v>1750000</v>
      </c>
    </row>
    <row r="40" spans="1:32" ht="63.75" x14ac:dyDescent="0.25">
      <c r="A40" s="79" t="s">
        <v>412</v>
      </c>
      <c r="L40">
        <f t="shared" ref="L40:V40" si="22">VLOOKUP(L35,$A$3:$Q$33,16)</f>
        <v>3057000000</v>
      </c>
      <c r="M40">
        <f t="shared" si="22"/>
        <v>3498000000</v>
      </c>
      <c r="N40">
        <f t="shared" si="22"/>
        <v>3939000000</v>
      </c>
      <c r="O40">
        <f t="shared" si="22"/>
        <v>4380000000</v>
      </c>
      <c r="P40">
        <f t="shared" si="22"/>
        <v>4821000000</v>
      </c>
      <c r="Q40">
        <f t="shared" si="22"/>
        <v>5262000000</v>
      </c>
      <c r="R40">
        <f t="shared" si="22"/>
        <v>5371000000</v>
      </c>
      <c r="S40">
        <f t="shared" si="22"/>
        <v>5479000000</v>
      </c>
      <c r="T40">
        <f t="shared" si="22"/>
        <v>5587000000</v>
      </c>
      <c r="U40">
        <f t="shared" si="22"/>
        <v>5696000000</v>
      </c>
      <c r="V40">
        <f t="shared" si="22"/>
        <v>5804000000</v>
      </c>
      <c r="W40">
        <f t="shared" ref="W40:AE40" si="23">VLOOKUP(W35,$A$3:$Q$33,16)</f>
        <v>6036000000</v>
      </c>
      <c r="X40">
        <f t="shared" si="23"/>
        <v>6160000000</v>
      </c>
      <c r="Y40">
        <f t="shared" si="23"/>
        <v>6284000000</v>
      </c>
      <c r="Z40">
        <f t="shared" si="23"/>
        <v>6408000000</v>
      </c>
      <c r="AA40">
        <f t="shared" si="23"/>
        <v>6423000000</v>
      </c>
      <c r="AB40">
        <f t="shared" si="23"/>
        <v>6555000000</v>
      </c>
      <c r="AC40">
        <f t="shared" si="23"/>
        <v>6686000000</v>
      </c>
      <c r="AD40">
        <f t="shared" si="23"/>
        <v>6818000000</v>
      </c>
      <c r="AE40">
        <f t="shared" si="23"/>
        <v>6949000000</v>
      </c>
      <c r="AF40">
        <f t="shared" ref="AF40" si="24">VLOOKUP(AF35,$A$3:$Q$33,16)</f>
        <v>7081000000</v>
      </c>
    </row>
    <row r="41" spans="1:32" ht="76.5" x14ac:dyDescent="0.25">
      <c r="A41" s="79" t="s">
        <v>413</v>
      </c>
      <c r="L41">
        <f t="shared" ref="L41:V41" si="25">VLOOKUP(L35,$A$3:$Q$33,17)</f>
        <v>1548000000</v>
      </c>
      <c r="M41">
        <f t="shared" si="25"/>
        <v>1364000000</v>
      </c>
      <c r="N41">
        <f t="shared" si="25"/>
        <v>1188000000</v>
      </c>
      <c r="O41">
        <f t="shared" si="25"/>
        <v>1012000000</v>
      </c>
      <c r="P41">
        <f t="shared" si="25"/>
        <v>836000000</v>
      </c>
      <c r="Q41">
        <f t="shared" si="25"/>
        <v>660000000</v>
      </c>
      <c r="R41">
        <f t="shared" si="25"/>
        <v>682000000</v>
      </c>
      <c r="S41">
        <f t="shared" si="25"/>
        <v>704000000</v>
      </c>
      <c r="T41">
        <f t="shared" si="25"/>
        <v>726000000</v>
      </c>
      <c r="U41">
        <f t="shared" si="25"/>
        <v>748000000</v>
      </c>
      <c r="V41">
        <f t="shared" si="25"/>
        <v>770000000</v>
      </c>
      <c r="W41">
        <f t="shared" ref="W41:AE41" si="26">VLOOKUP(W35,$A$3:$Q$33,17)</f>
        <v>792000000</v>
      </c>
      <c r="X41">
        <f t="shared" si="26"/>
        <v>814000000</v>
      </c>
      <c r="Y41">
        <f t="shared" si="26"/>
        <v>836000000</v>
      </c>
      <c r="Z41">
        <f t="shared" si="26"/>
        <v>858000000</v>
      </c>
      <c r="AA41">
        <f t="shared" si="26"/>
        <v>880000000</v>
      </c>
      <c r="AB41">
        <f t="shared" si="26"/>
        <v>1637000000</v>
      </c>
      <c r="AC41">
        <f t="shared" si="26"/>
        <v>2393000000</v>
      </c>
      <c r="AD41">
        <f t="shared" si="26"/>
        <v>3150000000</v>
      </c>
      <c r="AE41">
        <f t="shared" si="26"/>
        <v>3907000000</v>
      </c>
      <c r="AF41">
        <f t="shared" ref="AF41" si="27">VLOOKUP(AF35,$A$3:$Q$33,17)</f>
        <v>4664000000</v>
      </c>
    </row>
    <row r="42" spans="1:32" ht="63.75" x14ac:dyDescent="0.25">
      <c r="A42" s="83" t="s">
        <v>419</v>
      </c>
      <c r="L42">
        <f t="shared" ref="L42:V42" si="28">VLOOKUP(L35,$A$3:$W$33,22)</f>
        <v>1511000</v>
      </c>
      <c r="M42">
        <f t="shared" si="28"/>
        <v>1547000</v>
      </c>
      <c r="N42">
        <f t="shared" si="28"/>
        <v>1582000</v>
      </c>
      <c r="O42">
        <f t="shared" si="28"/>
        <v>1618000</v>
      </c>
      <c r="P42">
        <f t="shared" si="28"/>
        <v>1653000</v>
      </c>
      <c r="Q42">
        <f t="shared" si="28"/>
        <v>1689000</v>
      </c>
      <c r="R42">
        <f t="shared" si="28"/>
        <v>1724000</v>
      </c>
      <c r="S42">
        <f t="shared" si="28"/>
        <v>1760000</v>
      </c>
      <c r="T42">
        <f t="shared" si="28"/>
        <v>1795000</v>
      </c>
      <c r="U42">
        <f t="shared" si="28"/>
        <v>1831000</v>
      </c>
      <c r="V42">
        <f t="shared" si="28"/>
        <v>1867000</v>
      </c>
      <c r="W42">
        <f t="shared" ref="W42:AE42" si="29">VLOOKUP(W35,$A$3:$W$33,22)</f>
        <v>1902000</v>
      </c>
      <c r="X42">
        <f t="shared" si="29"/>
        <v>1938000</v>
      </c>
      <c r="Y42">
        <f t="shared" si="29"/>
        <v>1973000</v>
      </c>
      <c r="Z42">
        <f t="shared" si="29"/>
        <v>2009000</v>
      </c>
      <c r="AA42">
        <f t="shared" si="29"/>
        <v>2044000</v>
      </c>
      <c r="AB42">
        <f t="shared" si="29"/>
        <v>2080000</v>
      </c>
      <c r="AC42">
        <f t="shared" si="29"/>
        <v>2115000</v>
      </c>
      <c r="AD42">
        <f t="shared" si="29"/>
        <v>2151000</v>
      </c>
      <c r="AE42">
        <f t="shared" si="29"/>
        <v>2187000</v>
      </c>
      <c r="AF42">
        <f t="shared" ref="AF42" si="30">VLOOKUP(AF35,$A$3:$W$33,22)</f>
        <v>2222000</v>
      </c>
    </row>
    <row r="43" spans="1:32" ht="63.75" x14ac:dyDescent="0.25">
      <c r="A43" s="79" t="s">
        <v>422</v>
      </c>
      <c r="L43">
        <f t="shared" ref="L43:AF43" si="31">VLOOKUP(L35,$A$3:$W$33,19)</f>
        <v>2084200</v>
      </c>
      <c r="M43">
        <f t="shared" si="31"/>
        <v>2133240</v>
      </c>
      <c r="N43">
        <f t="shared" si="31"/>
        <v>2182280</v>
      </c>
      <c r="O43">
        <f t="shared" si="31"/>
        <v>2231320</v>
      </c>
      <c r="P43">
        <f t="shared" si="31"/>
        <v>2280360</v>
      </c>
      <c r="Q43">
        <f t="shared" si="31"/>
        <v>2329400</v>
      </c>
      <c r="R43">
        <f t="shared" si="31"/>
        <v>2378440</v>
      </c>
      <c r="S43">
        <f t="shared" si="31"/>
        <v>2427480</v>
      </c>
      <c r="T43">
        <f t="shared" si="31"/>
        <v>2476520</v>
      </c>
      <c r="U43">
        <f t="shared" si="31"/>
        <v>2525560</v>
      </c>
      <c r="V43">
        <f t="shared" si="31"/>
        <v>2574600</v>
      </c>
      <c r="W43">
        <f t="shared" si="31"/>
        <v>2623640</v>
      </c>
      <c r="X43">
        <f t="shared" si="31"/>
        <v>2672680</v>
      </c>
      <c r="Y43">
        <f t="shared" si="31"/>
        <v>2721720</v>
      </c>
      <c r="Z43">
        <f t="shared" si="31"/>
        <v>2770760</v>
      </c>
      <c r="AA43">
        <f t="shared" si="31"/>
        <v>2819800</v>
      </c>
      <c r="AB43">
        <f t="shared" si="31"/>
        <v>2868840</v>
      </c>
      <c r="AC43">
        <f t="shared" si="31"/>
        <v>2917880</v>
      </c>
      <c r="AD43">
        <f t="shared" si="31"/>
        <v>2966920</v>
      </c>
      <c r="AE43">
        <f t="shared" si="31"/>
        <v>3015960</v>
      </c>
      <c r="AF43">
        <f t="shared" si="31"/>
        <v>3065000</v>
      </c>
    </row>
    <row r="44" spans="1:32" ht="63.75" x14ac:dyDescent="0.25">
      <c r="A44" s="79" t="s">
        <v>423</v>
      </c>
      <c r="L44">
        <f>VLOOKUP(L35,$A$3:$X$33,24)</f>
        <v>2084200000</v>
      </c>
      <c r="M44">
        <f t="shared" ref="M44:AF44" si="32">VLOOKUP(M35,$A$3:$X$33,24)</f>
        <v>2133240000</v>
      </c>
      <c r="N44">
        <f t="shared" si="32"/>
        <v>2182280000</v>
      </c>
      <c r="O44">
        <f t="shared" si="32"/>
        <v>2231320000</v>
      </c>
      <c r="P44">
        <f t="shared" si="32"/>
        <v>2280360000</v>
      </c>
      <c r="Q44">
        <f t="shared" si="32"/>
        <v>2329400000</v>
      </c>
      <c r="R44">
        <f t="shared" si="32"/>
        <v>2378440000</v>
      </c>
      <c r="S44">
        <f t="shared" si="32"/>
        <v>2427480000</v>
      </c>
      <c r="T44">
        <f t="shared" si="32"/>
        <v>2476520000</v>
      </c>
      <c r="U44">
        <f t="shared" si="32"/>
        <v>2525560000</v>
      </c>
      <c r="V44">
        <f t="shared" si="32"/>
        <v>2574600000</v>
      </c>
      <c r="W44">
        <f t="shared" si="32"/>
        <v>2623640000</v>
      </c>
      <c r="X44">
        <f t="shared" si="32"/>
        <v>2672680000</v>
      </c>
      <c r="Y44">
        <f t="shared" si="32"/>
        <v>2721720000</v>
      </c>
      <c r="Z44">
        <f t="shared" si="32"/>
        <v>2770760000</v>
      </c>
      <c r="AA44">
        <f t="shared" si="32"/>
        <v>2819800000</v>
      </c>
      <c r="AB44">
        <f t="shared" si="32"/>
        <v>2868840000</v>
      </c>
      <c r="AC44">
        <f t="shared" si="32"/>
        <v>2917880000</v>
      </c>
      <c r="AD44">
        <f t="shared" si="32"/>
        <v>2966920000</v>
      </c>
      <c r="AE44">
        <f t="shared" si="32"/>
        <v>3015960000</v>
      </c>
      <c r="AF44">
        <f t="shared" si="32"/>
        <v>3065000000</v>
      </c>
    </row>
  </sheetData>
  <mergeCells count="5">
    <mergeCell ref="A1:A2"/>
    <mergeCell ref="B1:D1"/>
    <mergeCell ref="J1:L1"/>
    <mergeCell ref="R1:T1"/>
    <mergeCell ref="U1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6A88-84AC-4268-9FAE-8F156693B84E}">
  <dimension ref="A1:V29"/>
  <sheetViews>
    <sheetView zoomScale="70" zoomScaleNormal="70" workbookViewId="0">
      <selection activeCell="K2" sqref="K2"/>
    </sheetView>
  </sheetViews>
  <sheetFormatPr defaultRowHeight="15" x14ac:dyDescent="0.25"/>
  <cols>
    <col min="1" max="1" width="20" bestFit="1" customWidth="1"/>
    <col min="2" max="2" width="11" customWidth="1"/>
    <col min="3" max="3" width="15" bestFit="1" customWidth="1"/>
    <col min="4" max="4" width="16.5703125" customWidth="1"/>
    <col min="5" max="5" width="21.7109375" bestFit="1" customWidth="1"/>
    <col min="6" max="6" width="16.5703125" customWidth="1"/>
    <col min="7" max="8" width="14.140625" customWidth="1"/>
    <col min="9" max="11" width="22.42578125" customWidth="1"/>
    <col min="12" max="12" width="29.42578125" customWidth="1"/>
    <col min="13" max="13" width="17.42578125" customWidth="1"/>
    <col min="14" max="14" width="24.85546875" customWidth="1"/>
  </cols>
  <sheetData>
    <row r="1" spans="1:14" s="37" customFormat="1" ht="45" x14ac:dyDescent="0.25">
      <c r="A1" s="2" t="s">
        <v>32</v>
      </c>
      <c r="B1" s="2" t="s">
        <v>270</v>
      </c>
      <c r="C1" s="2" t="s">
        <v>274</v>
      </c>
      <c r="D1" s="2" t="s">
        <v>272</v>
      </c>
      <c r="E1" s="2" t="s">
        <v>288</v>
      </c>
      <c r="F1" s="2" t="s">
        <v>286</v>
      </c>
      <c r="G1" s="56" t="s">
        <v>273</v>
      </c>
      <c r="H1" s="55" t="s">
        <v>305</v>
      </c>
      <c r="I1" s="55" t="s">
        <v>280</v>
      </c>
      <c r="J1" s="55" t="s">
        <v>327</v>
      </c>
      <c r="K1" s="55" t="s">
        <v>328</v>
      </c>
      <c r="L1" s="55" t="s">
        <v>281</v>
      </c>
      <c r="M1" s="37" t="s">
        <v>283</v>
      </c>
      <c r="N1" s="37" t="s">
        <v>282</v>
      </c>
    </row>
    <row r="2" spans="1:14" x14ac:dyDescent="0.25">
      <c r="A2" s="14">
        <v>2000</v>
      </c>
      <c r="B2" s="14"/>
      <c r="C2" s="14"/>
      <c r="D2" s="14"/>
      <c r="E2" s="6">
        <f t="shared" ref="E2:E10" si="0">D2*1000</f>
        <v>0</v>
      </c>
      <c r="F2" s="52">
        <f t="shared" ref="F2:F10" si="1">E2*$F$23</f>
        <v>0</v>
      </c>
      <c r="G2" s="14" t="e">
        <f t="shared" ref="G2:G19" si="2">C2/B2</f>
        <v>#DIV/0!</v>
      </c>
      <c r="H2" s="24"/>
      <c r="I2" s="54">
        <f>'Statistik Industri Besar Sedang'!I6</f>
        <v>29448</v>
      </c>
      <c r="J2" s="54">
        <f>D2*1000</f>
        <v>0</v>
      </c>
      <c r="K2" s="54">
        <f>K3/(1+$I$27)</f>
        <v>508732.77537440538</v>
      </c>
      <c r="N2">
        <f t="shared" ref="N2:N9" si="3">N3/(1+$I$24)</f>
        <v>69.485881184812015</v>
      </c>
    </row>
    <row r="3" spans="1:14" x14ac:dyDescent="0.25">
      <c r="A3" s="14">
        <v>2001</v>
      </c>
      <c r="B3" s="14"/>
      <c r="C3" s="14"/>
      <c r="D3" s="14"/>
      <c r="E3" s="6">
        <f t="shared" si="0"/>
        <v>0</v>
      </c>
      <c r="F3" s="52">
        <f t="shared" si="1"/>
        <v>0</v>
      </c>
      <c r="G3" s="14" t="e">
        <f t="shared" si="2"/>
        <v>#DIV/0!</v>
      </c>
      <c r="H3" s="24"/>
      <c r="I3" s="54">
        <f>'Statistik Industri Besar Sedang'!I7</f>
        <v>36885</v>
      </c>
      <c r="J3" s="54">
        <f t="shared" ref="J3:J21" si="4">D3*1000</f>
        <v>0</v>
      </c>
      <c r="K3" s="54">
        <f>K4/(1+$I$27)</f>
        <v>416844.62485947646</v>
      </c>
      <c r="N3">
        <f t="shared" si="3"/>
        <v>62.118625369358043</v>
      </c>
    </row>
    <row r="4" spans="1:14" x14ac:dyDescent="0.25">
      <c r="A4" s="14">
        <v>2002</v>
      </c>
      <c r="B4" s="14">
        <v>10344</v>
      </c>
      <c r="C4" s="52">
        <v>4398463</v>
      </c>
      <c r="D4" s="54">
        <v>15779770</v>
      </c>
      <c r="E4" s="6">
        <f t="shared" si="0"/>
        <v>15779770000</v>
      </c>
      <c r="F4" s="52">
        <f t="shared" si="1"/>
        <v>9285463.6385699995</v>
      </c>
      <c r="G4" s="14">
        <f t="shared" si="2"/>
        <v>425.21877416860013</v>
      </c>
      <c r="H4" s="24"/>
      <c r="I4" s="54">
        <f>'Statistik Industri Besar Sedang'!I8</f>
        <v>46200</v>
      </c>
      <c r="J4" s="54">
        <f t="shared" si="4"/>
        <v>15779770000</v>
      </c>
      <c r="K4" s="54">
        <f t="shared" ref="K4:K21" si="5">J4/I4</f>
        <v>341553.46320346318</v>
      </c>
      <c r="N4">
        <f t="shared" si="3"/>
        <v>55.532484469982933</v>
      </c>
    </row>
    <row r="5" spans="1:14" x14ac:dyDescent="0.25">
      <c r="A5" s="14">
        <v>2003</v>
      </c>
      <c r="B5" s="14">
        <v>10422</v>
      </c>
      <c r="C5" s="52">
        <v>4392910</v>
      </c>
      <c r="D5" s="14">
        <v>14892085.123</v>
      </c>
      <c r="E5" s="6">
        <f t="shared" si="0"/>
        <v>14892085123</v>
      </c>
      <c r="F5" s="52">
        <f t="shared" si="1"/>
        <v>8763113.4618632421</v>
      </c>
      <c r="G5" s="14">
        <f t="shared" si="2"/>
        <v>421.50355018230664</v>
      </c>
      <c r="H5" s="24"/>
      <c r="I5" s="54">
        <f>'Statistik Industri Besar Sedang'!I9</f>
        <v>57867</v>
      </c>
      <c r="J5" s="54">
        <f t="shared" si="4"/>
        <v>14892085123</v>
      </c>
      <c r="K5" s="54">
        <f t="shared" si="5"/>
        <v>257350.21900219467</v>
      </c>
      <c r="N5">
        <f t="shared" si="3"/>
        <v>49.644640606134608</v>
      </c>
    </row>
    <row r="6" spans="1:14" x14ac:dyDescent="0.25">
      <c r="A6" s="14">
        <v>2004</v>
      </c>
      <c r="B6" s="14">
        <v>10034</v>
      </c>
      <c r="C6" s="52">
        <v>3525224</v>
      </c>
      <c r="D6" s="52">
        <v>12010453</v>
      </c>
      <c r="E6" s="6">
        <f t="shared" si="0"/>
        <v>12010453000</v>
      </c>
      <c r="F6" s="52">
        <f t="shared" si="1"/>
        <v>7067442.9737729998</v>
      </c>
      <c r="G6" s="14">
        <f t="shared" si="2"/>
        <v>351.32788519035279</v>
      </c>
      <c r="H6" s="24"/>
      <c r="I6" s="54">
        <f>'Statistik Industri Besar Sedang'!I10</f>
        <v>72480</v>
      </c>
      <c r="J6" s="54">
        <f t="shared" si="4"/>
        <v>12010453000</v>
      </c>
      <c r="K6" s="54">
        <f t="shared" si="5"/>
        <v>165707.1330022075</v>
      </c>
      <c r="N6">
        <f t="shared" si="3"/>
        <v>44.381056681237773</v>
      </c>
    </row>
    <row r="7" spans="1:14" x14ac:dyDescent="0.25">
      <c r="A7" s="14">
        <v>2005</v>
      </c>
      <c r="B7" s="14">
        <v>10101</v>
      </c>
      <c r="C7" s="52">
        <v>3674756</v>
      </c>
      <c r="D7" s="14">
        <v>12790710.857999999</v>
      </c>
      <c r="E7" s="6">
        <f t="shared" si="0"/>
        <v>12790710858</v>
      </c>
      <c r="F7" s="52">
        <f t="shared" si="1"/>
        <v>7526578.6879923781</v>
      </c>
      <c r="G7" s="14">
        <f t="shared" si="2"/>
        <v>363.8012078012078</v>
      </c>
      <c r="H7" s="24"/>
      <c r="I7" s="54">
        <f>'Statistik Industri Besar Sedang'!I11</f>
        <v>90783</v>
      </c>
      <c r="J7" s="54">
        <f t="shared" si="4"/>
        <v>12790710858</v>
      </c>
      <c r="K7" s="54">
        <f t="shared" si="5"/>
        <v>140893.23835960476</v>
      </c>
      <c r="N7">
        <f t="shared" si="3"/>
        <v>39.675545398144067</v>
      </c>
    </row>
    <row r="8" spans="1:14" x14ac:dyDescent="0.25">
      <c r="A8" s="14">
        <v>2006</v>
      </c>
      <c r="B8" s="14">
        <v>9965</v>
      </c>
      <c r="C8" s="52">
        <v>3713287.3</v>
      </c>
      <c r="D8" s="14">
        <v>13018709.771</v>
      </c>
      <c r="E8" s="6">
        <f t="shared" si="0"/>
        <v>13018709771</v>
      </c>
      <c r="F8" s="52">
        <f t="shared" si="1"/>
        <v>7660742.5963570112</v>
      </c>
      <c r="G8" s="14">
        <f t="shared" si="2"/>
        <v>372.63294530858002</v>
      </c>
      <c r="H8" s="24"/>
      <c r="I8" s="54">
        <f>'Statistik Industri Besar Sedang'!I12</f>
        <v>111540</v>
      </c>
      <c r="J8" s="54">
        <f t="shared" si="4"/>
        <v>13018709771</v>
      </c>
      <c r="K8" s="54">
        <f t="shared" si="5"/>
        <v>116717.85701093778</v>
      </c>
      <c r="N8">
        <f t="shared" si="3"/>
        <v>35.468936982423564</v>
      </c>
    </row>
    <row r="9" spans="1:14" x14ac:dyDescent="0.25">
      <c r="A9" s="14">
        <v>2007</v>
      </c>
      <c r="B9" s="71">
        <v>10206</v>
      </c>
      <c r="C9" s="52">
        <v>3980153</v>
      </c>
      <c r="D9" s="52">
        <v>14112842</v>
      </c>
      <c r="E9" s="6">
        <f t="shared" si="0"/>
        <v>14112842000</v>
      </c>
      <c r="F9" s="52">
        <f t="shared" si="1"/>
        <v>8304574.8593219994</v>
      </c>
      <c r="G9" s="14">
        <f t="shared" si="2"/>
        <v>389.98167744464041</v>
      </c>
      <c r="H9" s="24"/>
      <c r="I9" s="54">
        <f>'Statistik Industri Besar Sedang'!I13</f>
        <v>132841</v>
      </c>
      <c r="J9" s="54">
        <f t="shared" si="4"/>
        <v>14112842000</v>
      </c>
      <c r="K9" s="54">
        <f t="shared" si="5"/>
        <v>106238.60103431922</v>
      </c>
      <c r="N9">
        <f t="shared" si="3"/>
        <v>31.708335147977138</v>
      </c>
    </row>
    <row r="10" spans="1:14" x14ac:dyDescent="0.25">
      <c r="A10" s="14">
        <v>2008</v>
      </c>
      <c r="B10" s="14">
        <v>10486</v>
      </c>
      <c r="C10" s="14">
        <v>4152997.85</v>
      </c>
      <c r="D10" s="14">
        <v>14766840.809</v>
      </c>
      <c r="E10" s="6">
        <f t="shared" si="0"/>
        <v>14766840809</v>
      </c>
      <c r="F10" s="52">
        <f t="shared" si="1"/>
        <v>8689414.572488768</v>
      </c>
      <c r="G10" s="14">
        <f t="shared" si="2"/>
        <v>396.05167366011824</v>
      </c>
      <c r="H10" s="24"/>
      <c r="I10" s="54">
        <f>'Statistik Industri Besar Sedang'!I14</f>
        <v>201203</v>
      </c>
      <c r="J10" s="54">
        <f t="shared" si="4"/>
        <v>14766840809</v>
      </c>
      <c r="K10" s="54">
        <f t="shared" si="5"/>
        <v>73392.746673757356</v>
      </c>
      <c r="N10">
        <f>N11/(1+$I$24)</f>
        <v>28.346451949058181</v>
      </c>
    </row>
    <row r="11" spans="1:14" x14ac:dyDescent="0.25">
      <c r="A11" s="14">
        <v>2009</v>
      </c>
      <c r="B11" s="14">
        <v>10636</v>
      </c>
      <c r="C11" s="14">
        <v>4225273.25</v>
      </c>
      <c r="D11" s="14">
        <v>14336095.348999999</v>
      </c>
      <c r="E11" s="6">
        <f>D11*1000</f>
        <v>14336095349</v>
      </c>
      <c r="F11" s="52">
        <f>E11*$F$23</f>
        <v>8435946.283260908</v>
      </c>
      <c r="G11" s="14">
        <f t="shared" si="2"/>
        <v>397.26149398270024</v>
      </c>
      <c r="H11" s="24">
        <f t="shared" ref="H11:H19" si="6">C11/B11</f>
        <v>397.26149398270024</v>
      </c>
      <c r="I11" s="54">
        <f>'Statistik Industri Besar Sedang'!I15</f>
        <v>235378</v>
      </c>
      <c r="J11" s="54">
        <f t="shared" si="4"/>
        <v>14336095349</v>
      </c>
      <c r="K11" s="54">
        <f t="shared" si="5"/>
        <v>60906.691997552873</v>
      </c>
      <c r="L11">
        <f>D11/I11</f>
        <v>60.906691997552869</v>
      </c>
      <c r="M11">
        <f>'Statistik Industri Besar Sedang'!G15</f>
        <v>565727</v>
      </c>
      <c r="N11">
        <f t="shared" ref="N11:N18" si="7">D11/M11</f>
        <v>25.341013154754854</v>
      </c>
    </row>
    <row r="12" spans="1:14" x14ac:dyDescent="0.25">
      <c r="A12" s="14">
        <v>2010</v>
      </c>
      <c r="B12" s="14">
        <v>10792</v>
      </c>
      <c r="C12" s="14">
        <v>4446774.25</v>
      </c>
      <c r="D12" s="14">
        <v>15712295.507999999</v>
      </c>
      <c r="E12" s="6">
        <f t="shared" ref="E12:E20" si="8">D12*1000</f>
        <v>15712295508</v>
      </c>
      <c r="F12" s="52">
        <f t="shared" ref="F12:F20" si="9">E12*$F$23</f>
        <v>9245758.881023027</v>
      </c>
      <c r="G12" s="14">
        <f t="shared" si="2"/>
        <v>412.04357394366195</v>
      </c>
      <c r="H12" s="24">
        <f t="shared" si="6"/>
        <v>412.04357394366195</v>
      </c>
      <c r="I12" s="54">
        <f>'Statistik Industri Besar Sedang'!I16</f>
        <v>247909</v>
      </c>
      <c r="J12" s="54">
        <f t="shared" si="4"/>
        <v>15712295508</v>
      </c>
      <c r="K12" s="54">
        <f t="shared" si="5"/>
        <v>63379.286383310005</v>
      </c>
      <c r="L12">
        <f t="shared" ref="L12:L20" si="10">D12/I12</f>
        <v>63.379286383310003</v>
      </c>
      <c r="M12">
        <f>'Statistik Industri Besar Sedang'!G16</f>
        <v>562962</v>
      </c>
      <c r="N12">
        <f t="shared" si="7"/>
        <v>27.910046340605582</v>
      </c>
    </row>
    <row r="13" spans="1:14" x14ac:dyDescent="0.25">
      <c r="A13" s="14">
        <v>2011</v>
      </c>
      <c r="B13" s="14">
        <v>11201</v>
      </c>
      <c r="C13" s="52">
        <v>5051444.2510000002</v>
      </c>
      <c r="D13" s="14">
        <v>17050460.109999999</v>
      </c>
      <c r="E13" s="6">
        <f t="shared" si="8"/>
        <v>17050460110</v>
      </c>
      <c r="F13" s="52">
        <f t="shared" si="9"/>
        <v>10033189.79758851</v>
      </c>
      <c r="G13" s="14">
        <f t="shared" si="2"/>
        <v>450.98154191590038</v>
      </c>
      <c r="H13" s="24">
        <f t="shared" si="6"/>
        <v>450.98154191590038</v>
      </c>
      <c r="I13" s="54">
        <f>'Statistik Industri Besar Sedang'!I17</f>
        <v>271916</v>
      </c>
      <c r="J13" s="54">
        <f t="shared" si="4"/>
        <v>17050460110</v>
      </c>
      <c r="K13" s="54">
        <f t="shared" si="5"/>
        <v>62704.879852601538</v>
      </c>
      <c r="L13">
        <f t="shared" si="10"/>
        <v>62.704879852601536</v>
      </c>
      <c r="M13">
        <f>'Statistik Industri Besar Sedang'!G17</f>
        <v>638432</v>
      </c>
      <c r="N13">
        <f t="shared" si="7"/>
        <v>26.706775521903662</v>
      </c>
    </row>
    <row r="14" spans="1:14" x14ac:dyDescent="0.25">
      <c r="A14" s="14">
        <v>2012</v>
      </c>
      <c r="B14" s="14">
        <v>11778</v>
      </c>
      <c r="C14" s="14">
        <v>5765510.5499999998</v>
      </c>
      <c r="D14" s="14">
        <v>18534385.412999999</v>
      </c>
      <c r="E14" s="6">
        <f t="shared" si="8"/>
        <v>18534385413</v>
      </c>
      <c r="F14" s="52">
        <f t="shared" si="9"/>
        <v>10906392.286811132</v>
      </c>
      <c r="G14" s="14">
        <f t="shared" si="2"/>
        <v>489.51524452368824</v>
      </c>
      <c r="H14" s="24">
        <f t="shared" si="6"/>
        <v>489.51524452368824</v>
      </c>
      <c r="I14" s="54">
        <f>'Statistik Industri Besar Sedang'!I18</f>
        <v>323353</v>
      </c>
      <c r="J14" s="54">
        <f t="shared" si="4"/>
        <v>18534385413</v>
      </c>
      <c r="K14" s="54">
        <f t="shared" si="5"/>
        <v>57319.355048507357</v>
      </c>
      <c r="L14">
        <f t="shared" si="10"/>
        <v>57.319355048507354</v>
      </c>
      <c r="M14">
        <f>'Statistik Industri Besar Sedang'!G18</f>
        <v>739162</v>
      </c>
      <c r="N14">
        <f t="shared" si="7"/>
        <v>25.074862361701491</v>
      </c>
    </row>
    <row r="15" spans="1:14" x14ac:dyDescent="0.25">
      <c r="A15" s="14">
        <v>2013</v>
      </c>
      <c r="B15" s="14">
        <v>12471</v>
      </c>
      <c r="C15" s="14">
        <v>6246436.8499999996</v>
      </c>
      <c r="D15" s="14">
        <v>19879769.306000002</v>
      </c>
      <c r="E15" s="6">
        <f t="shared" si="8"/>
        <v>19879769306</v>
      </c>
      <c r="F15" s="52">
        <f t="shared" si="9"/>
        <v>11698071.330191946</v>
      </c>
      <c r="G15" s="14">
        <f t="shared" si="2"/>
        <v>500.87698259963111</v>
      </c>
      <c r="H15" s="24">
        <f t="shared" si="6"/>
        <v>500.87698259963111</v>
      </c>
      <c r="I15" s="54">
        <f>'Statistik Industri Besar Sedang'!I19</f>
        <v>384394</v>
      </c>
      <c r="J15" s="54">
        <f t="shared" si="4"/>
        <v>19879769306</v>
      </c>
      <c r="K15" s="54">
        <f t="shared" si="5"/>
        <v>51717.168597844917</v>
      </c>
      <c r="L15">
        <f t="shared" si="10"/>
        <v>51.717168597844925</v>
      </c>
      <c r="M15">
        <f>'Statistik Industri Besar Sedang'!G19</f>
        <v>798416</v>
      </c>
      <c r="N15">
        <f t="shared" si="7"/>
        <v>24.899011675617725</v>
      </c>
    </row>
    <row r="16" spans="1:14" x14ac:dyDescent="0.25">
      <c r="A16" s="14">
        <v>2014</v>
      </c>
      <c r="B16" s="14">
        <v>12926</v>
      </c>
      <c r="C16" s="14">
        <v>6696942.1500000004</v>
      </c>
      <c r="D16" s="14">
        <v>20910417.283</v>
      </c>
      <c r="E16" s="6">
        <f t="shared" si="8"/>
        <v>20910417283</v>
      </c>
      <c r="F16" s="52">
        <f t="shared" si="9"/>
        <v>12304546.856425803</v>
      </c>
      <c r="G16" s="14">
        <f t="shared" si="2"/>
        <v>518.09857264428285</v>
      </c>
      <c r="H16" s="24">
        <f t="shared" si="6"/>
        <v>518.09857264428285</v>
      </c>
      <c r="I16" s="54">
        <f>'Statistik Industri Besar Sedang'!I20</f>
        <v>446151</v>
      </c>
      <c r="J16" s="54">
        <f t="shared" si="4"/>
        <v>20910417283</v>
      </c>
      <c r="K16" s="54">
        <f t="shared" si="5"/>
        <v>46868.475657344708</v>
      </c>
      <c r="L16">
        <f t="shared" si="10"/>
        <v>46.86847565734471</v>
      </c>
      <c r="M16">
        <f>'Statistik Industri Besar Sedang'!G20</f>
        <v>970818</v>
      </c>
      <c r="N16">
        <f t="shared" si="7"/>
        <v>21.538967430558561</v>
      </c>
    </row>
    <row r="17" spans="1:22" x14ac:dyDescent="0.25">
      <c r="A17" s="14">
        <v>2015</v>
      </c>
      <c r="B17" s="14">
        <v>14248</v>
      </c>
      <c r="C17" s="14">
        <v>9593763.4499999993</v>
      </c>
      <c r="D17" s="14">
        <v>26288633.624000002</v>
      </c>
      <c r="E17" s="6">
        <f t="shared" si="8"/>
        <v>26288633624</v>
      </c>
      <c r="F17" s="52">
        <f t="shared" si="9"/>
        <v>15469309.858340183</v>
      </c>
      <c r="G17" s="14">
        <f t="shared" si="2"/>
        <v>673.34106190342504</v>
      </c>
      <c r="H17" s="24">
        <f t="shared" si="6"/>
        <v>673.34106190342504</v>
      </c>
      <c r="I17" s="54">
        <f>'Statistik Industri Besar Sedang'!I21</f>
        <v>569960</v>
      </c>
      <c r="J17" s="54">
        <f t="shared" si="4"/>
        <v>26288633624</v>
      </c>
      <c r="K17" s="54">
        <f t="shared" si="5"/>
        <v>46123.646613797457</v>
      </c>
      <c r="L17">
        <f t="shared" si="10"/>
        <v>46.123646613797462</v>
      </c>
      <c r="M17">
        <f>'Statistik Industri Besar Sedang'!G21</f>
        <v>1300507</v>
      </c>
      <c r="N17">
        <f t="shared" si="7"/>
        <v>20.214142349099237</v>
      </c>
    </row>
    <row r="18" spans="1:22" x14ac:dyDescent="0.25">
      <c r="A18" s="14">
        <v>2016</v>
      </c>
      <c r="B18" s="14">
        <v>13999</v>
      </c>
      <c r="C18" s="53">
        <f>B18*G18</f>
        <v>8526222.445212489</v>
      </c>
      <c r="D18" s="52">
        <v>22187928</v>
      </c>
      <c r="E18" s="6">
        <f t="shared" si="8"/>
        <v>22187928000</v>
      </c>
      <c r="F18" s="52">
        <f t="shared" si="9"/>
        <v>13056286.540247999</v>
      </c>
      <c r="G18" s="16">
        <f>(G17+G19)/2</f>
        <v>609.05939318611968</v>
      </c>
      <c r="H18" s="24">
        <f t="shared" si="6"/>
        <v>609.05939318611968</v>
      </c>
      <c r="I18" s="54">
        <f>'Statistik Industri Besar Sedang'!I22</f>
        <v>1080630</v>
      </c>
      <c r="J18" s="54">
        <f t="shared" si="4"/>
        <v>22187928000</v>
      </c>
      <c r="K18" s="54">
        <f t="shared" si="5"/>
        <v>20532.400544127038</v>
      </c>
      <c r="L18">
        <f t="shared" si="10"/>
        <v>20.532400544127036</v>
      </c>
      <c r="M18">
        <f>'Statistik Industri Besar Sedang'!G22</f>
        <v>1918739</v>
      </c>
      <c r="N18">
        <f t="shared" si="7"/>
        <v>11.563807271338103</v>
      </c>
    </row>
    <row r="19" spans="1:22" x14ac:dyDescent="0.25">
      <c r="A19" s="14">
        <v>2017</v>
      </c>
      <c r="B19" s="14">
        <v>14590</v>
      </c>
      <c r="C19" s="52">
        <v>7948307</v>
      </c>
      <c r="D19" s="52">
        <v>22956679</v>
      </c>
      <c r="E19" s="6">
        <f t="shared" si="8"/>
        <v>22956679000</v>
      </c>
      <c r="F19" s="52">
        <f t="shared" si="9"/>
        <v>13508651.147438999</v>
      </c>
      <c r="G19" s="14">
        <f t="shared" si="2"/>
        <v>544.77772446881431</v>
      </c>
      <c r="H19" s="24">
        <f t="shared" si="6"/>
        <v>544.77772446881431</v>
      </c>
      <c r="I19" s="54">
        <f>'Statistik Industri Besar Sedang'!I23</f>
        <v>1353522.3400143147</v>
      </c>
      <c r="J19" s="54">
        <f t="shared" si="4"/>
        <v>22956679000</v>
      </c>
      <c r="K19" s="54">
        <f t="shared" si="5"/>
        <v>16960.694568038834</v>
      </c>
      <c r="L19">
        <f t="shared" si="10"/>
        <v>16.960694568038836</v>
      </c>
    </row>
    <row r="20" spans="1:22" x14ac:dyDescent="0.25">
      <c r="A20" s="14">
        <v>2018</v>
      </c>
      <c r="B20" s="14">
        <v>15142</v>
      </c>
      <c r="C20" s="52">
        <v>8235088</v>
      </c>
      <c r="D20" s="52">
        <v>23903656</v>
      </c>
      <c r="E20" s="6">
        <f t="shared" si="8"/>
        <v>23903656000</v>
      </c>
      <c r="F20" s="52">
        <f t="shared" si="9"/>
        <v>14065891.240295999</v>
      </c>
      <c r="G20" s="14">
        <f>C20/B20</f>
        <v>543.85735041606131</v>
      </c>
      <c r="H20" s="24">
        <f>C20/B20</f>
        <v>543.85735041606131</v>
      </c>
      <c r="I20" s="54">
        <f>'Statistik Industri Besar Sedang'!I24</f>
        <v>1695328.3963223549</v>
      </c>
      <c r="J20" s="54">
        <f t="shared" si="4"/>
        <v>23903656000</v>
      </c>
      <c r="K20" s="54">
        <f t="shared" si="5"/>
        <v>14099.72017920172</v>
      </c>
      <c r="L20">
        <f t="shared" si="10"/>
        <v>14.099720179201721</v>
      </c>
    </row>
    <row r="21" spans="1:22" x14ac:dyDescent="0.25">
      <c r="A21" s="14">
        <v>2019</v>
      </c>
      <c r="B21" s="14"/>
      <c r="C21" s="14"/>
      <c r="D21" s="14"/>
      <c r="E21" s="14"/>
      <c r="F21" s="14"/>
      <c r="G21" s="14"/>
      <c r="H21" s="24"/>
      <c r="J21" s="54">
        <f t="shared" si="4"/>
        <v>0</v>
      </c>
      <c r="K21" s="54" t="e">
        <f t="shared" si="5"/>
        <v>#DIV/0!</v>
      </c>
    </row>
    <row r="22" spans="1:22" x14ac:dyDescent="0.25">
      <c r="A22" s="14">
        <v>2020</v>
      </c>
      <c r="B22" s="14"/>
      <c r="C22" s="14"/>
      <c r="D22" s="14"/>
      <c r="E22" s="14"/>
      <c r="F22" s="14"/>
      <c r="G22" s="14"/>
      <c r="H22" s="24"/>
    </row>
    <row r="23" spans="1:22" x14ac:dyDescent="0.25">
      <c r="E23" t="s">
        <v>287</v>
      </c>
      <c r="F23">
        <v>5.8844099999999999E-4</v>
      </c>
      <c r="G23" t="s">
        <v>284</v>
      </c>
      <c r="I23">
        <f>(L20/L11)^(1/9)-1</f>
        <v>-0.15004889592740578</v>
      </c>
    </row>
    <row r="24" spans="1:22" x14ac:dyDescent="0.25">
      <c r="G24" t="s">
        <v>285</v>
      </c>
      <c r="I24">
        <f>(N18/N11)^(1/7)-1</f>
        <v>-0.10602521965374867</v>
      </c>
    </row>
    <row r="25" spans="1:22" x14ac:dyDescent="0.25">
      <c r="G25" t="s">
        <v>304</v>
      </c>
      <c r="I25">
        <f>(B20/B11)^(1/9)-1</f>
        <v>4.0027901022883228E-2</v>
      </c>
    </row>
    <row r="26" spans="1:22" x14ac:dyDescent="0.25">
      <c r="G26" t="s">
        <v>306</v>
      </c>
      <c r="H26">
        <f>AVERAGE(H11:H20)</f>
        <v>513.98129395842841</v>
      </c>
    </row>
    <row r="27" spans="1:22" x14ac:dyDescent="0.25">
      <c r="I27">
        <f>(K20/K4)^(1/16)-1</f>
        <v>-0.18062164453096852</v>
      </c>
    </row>
    <row r="28" spans="1:22" x14ac:dyDescent="0.25">
      <c r="A28" t="s">
        <v>32</v>
      </c>
      <c r="B28">
        <v>2000</v>
      </c>
      <c r="C28">
        <v>2001</v>
      </c>
      <c r="D28">
        <v>2002</v>
      </c>
      <c r="E28">
        <v>2003</v>
      </c>
      <c r="F28">
        <v>2004</v>
      </c>
      <c r="G28">
        <v>2005</v>
      </c>
      <c r="H28">
        <v>2006</v>
      </c>
      <c r="I28">
        <v>2007</v>
      </c>
      <c r="J28">
        <v>2008</v>
      </c>
      <c r="K28">
        <v>2009</v>
      </c>
      <c r="L28">
        <v>2010</v>
      </c>
      <c r="M28">
        <v>2011</v>
      </c>
      <c r="N28">
        <v>2012</v>
      </c>
      <c r="O28">
        <v>2013</v>
      </c>
      <c r="P28">
        <v>2014</v>
      </c>
      <c r="Q28">
        <v>2015</v>
      </c>
      <c r="R28">
        <v>2016</v>
      </c>
      <c r="S28">
        <v>2017</v>
      </c>
      <c r="T28">
        <v>2018</v>
      </c>
      <c r="U28">
        <v>2019</v>
      </c>
      <c r="V28">
        <v>2020</v>
      </c>
    </row>
    <row r="29" spans="1:22" x14ac:dyDescent="0.25">
      <c r="A29" t="s">
        <v>327</v>
      </c>
      <c r="B29">
        <v>0</v>
      </c>
      <c r="C29">
        <v>0</v>
      </c>
      <c r="D29">
        <v>15779770000</v>
      </c>
      <c r="E29">
        <v>14892085123</v>
      </c>
      <c r="F29">
        <v>12010453000</v>
      </c>
      <c r="G29">
        <v>12790710858</v>
      </c>
      <c r="H29">
        <v>13018709771</v>
      </c>
      <c r="I29">
        <v>14112842000</v>
      </c>
      <c r="J29">
        <v>14766840809</v>
      </c>
      <c r="K29">
        <v>14336095349</v>
      </c>
      <c r="L29">
        <v>15712295508</v>
      </c>
      <c r="M29">
        <v>17050460110</v>
      </c>
      <c r="N29">
        <v>18534385413</v>
      </c>
      <c r="O29">
        <v>19879769306</v>
      </c>
      <c r="P29">
        <v>20910417283</v>
      </c>
      <c r="Q29">
        <v>26288633624</v>
      </c>
      <c r="R29">
        <v>22187928000</v>
      </c>
      <c r="S29">
        <v>22956679000</v>
      </c>
      <c r="T29">
        <v>23903656000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73F5-BFA1-449D-98EB-6A624EE2B89A}">
  <dimension ref="A1:M56"/>
  <sheetViews>
    <sheetView topLeftCell="A13" workbookViewId="0">
      <selection activeCell="J32" sqref="J32"/>
    </sheetView>
  </sheetViews>
  <sheetFormatPr defaultRowHeight="15" x14ac:dyDescent="0.25"/>
  <cols>
    <col min="2" max="2" width="13.7109375" bestFit="1" customWidth="1"/>
    <col min="3" max="3" width="14.42578125" bestFit="1" customWidth="1"/>
    <col min="4" max="4" width="13.5703125" bestFit="1" customWidth="1"/>
    <col min="5" max="5" width="14.42578125" bestFit="1" customWidth="1"/>
    <col min="6" max="6" width="14.28515625" bestFit="1" customWidth="1"/>
    <col min="7" max="7" width="12.5703125" bestFit="1" customWidth="1"/>
    <col min="8" max="8" width="17.140625" customWidth="1"/>
    <col min="9" max="9" width="12.7109375" customWidth="1"/>
    <col min="10" max="10" width="22.28515625" customWidth="1"/>
    <col min="11" max="11" width="10.140625" bestFit="1" customWidth="1"/>
    <col min="12" max="12" width="13.7109375" bestFit="1" customWidth="1"/>
    <col min="13" max="13" width="19.42578125" bestFit="1" customWidth="1"/>
    <col min="14" max="14" width="12.7109375" bestFit="1" customWidth="1"/>
    <col min="16" max="16" width="12" bestFit="1" customWidth="1"/>
  </cols>
  <sheetData>
    <row r="1" spans="1:13" ht="30" customHeight="1" x14ac:dyDescent="0.25">
      <c r="A1" s="95" t="s">
        <v>187</v>
      </c>
      <c r="B1" s="14" t="s">
        <v>221</v>
      </c>
      <c r="C1" s="14" t="s">
        <v>222</v>
      </c>
      <c r="D1" s="14" t="s">
        <v>223</v>
      </c>
      <c r="E1" s="14" t="s">
        <v>224</v>
      </c>
      <c r="F1" s="96" t="s">
        <v>225</v>
      </c>
      <c r="G1" s="97"/>
      <c r="H1" s="14" t="s">
        <v>226</v>
      </c>
      <c r="I1" s="24"/>
      <c r="M1" s="93" t="s">
        <v>294</v>
      </c>
    </row>
    <row r="2" spans="1:13" x14ac:dyDescent="0.25">
      <c r="A2" s="95"/>
      <c r="B2" s="14" t="s">
        <v>227</v>
      </c>
      <c r="C2" s="14" t="s">
        <v>227</v>
      </c>
      <c r="D2" s="14" t="s">
        <v>227</v>
      </c>
      <c r="E2" s="14" t="s">
        <v>229</v>
      </c>
      <c r="F2" s="14" t="s">
        <v>228</v>
      </c>
      <c r="G2" s="14" t="s">
        <v>229</v>
      </c>
      <c r="H2" s="14" t="s">
        <v>230</v>
      </c>
      <c r="I2" s="24"/>
      <c r="M2" s="94"/>
    </row>
    <row r="3" spans="1:13" x14ac:dyDescent="0.25">
      <c r="A3" s="14">
        <v>2010</v>
      </c>
      <c r="B3" s="14">
        <v>130069387</v>
      </c>
      <c r="C3" s="14">
        <v>597438576</v>
      </c>
      <c r="D3" s="14">
        <v>20700133</v>
      </c>
      <c r="E3" s="14">
        <v>1140984266</v>
      </c>
      <c r="F3" s="14">
        <v>63017075</v>
      </c>
      <c r="G3" s="14">
        <v>14348411</v>
      </c>
      <c r="H3" s="14">
        <v>19177472</v>
      </c>
      <c r="I3" s="24"/>
      <c r="L3" s="64">
        <v>2000</v>
      </c>
      <c r="M3" s="66">
        <f t="shared" ref="M3:M12" si="0">M4/(1+$K$21)</f>
        <v>3.4822876593162935E-3</v>
      </c>
    </row>
    <row r="4" spans="1:13" x14ac:dyDescent="0.25">
      <c r="A4" s="14">
        <v>2011</v>
      </c>
      <c r="B4" s="14">
        <v>130069387</v>
      </c>
      <c r="C4" s="14">
        <v>597438576</v>
      </c>
      <c r="D4" s="14">
        <v>20700133</v>
      </c>
      <c r="E4" s="14">
        <v>1140984266</v>
      </c>
      <c r="F4" s="14">
        <v>63017075</v>
      </c>
      <c r="G4" s="14">
        <v>14348411</v>
      </c>
      <c r="H4" s="14">
        <v>19177472</v>
      </c>
      <c r="I4" s="24"/>
      <c r="L4" s="64">
        <v>2001</v>
      </c>
      <c r="M4" s="66">
        <f t="shared" si="0"/>
        <v>4.2070689810267741E-3</v>
      </c>
    </row>
    <row r="5" spans="1:13" x14ac:dyDescent="0.25">
      <c r="A5" s="14">
        <v>2012</v>
      </c>
      <c r="B5" s="14">
        <v>266497358</v>
      </c>
      <c r="C5" s="14">
        <v>609705531</v>
      </c>
      <c r="D5" s="14">
        <v>28572113</v>
      </c>
      <c r="E5" s="14">
        <v>936704812</v>
      </c>
      <c r="F5" s="14">
        <v>69686040</v>
      </c>
      <c r="G5" s="14">
        <v>18785666</v>
      </c>
      <c r="H5" s="14">
        <v>27824163</v>
      </c>
      <c r="I5" s="24"/>
      <c r="L5" s="65">
        <v>2002</v>
      </c>
      <c r="M5" s="66">
        <f t="shared" si="0"/>
        <v>5.0827017014995063E-3</v>
      </c>
    </row>
    <row r="6" spans="1:13" x14ac:dyDescent="0.25">
      <c r="A6" s="14">
        <v>2013</v>
      </c>
      <c r="B6" s="33">
        <v>250213318</v>
      </c>
      <c r="C6" s="33">
        <v>739325232</v>
      </c>
      <c r="D6" s="33">
        <v>20660043</v>
      </c>
      <c r="E6" s="33">
        <v>807080692</v>
      </c>
      <c r="F6" s="33">
        <v>61100529</v>
      </c>
      <c r="G6" s="33">
        <v>23804221</v>
      </c>
      <c r="H6" s="33">
        <v>28637553</v>
      </c>
      <c r="I6" s="24"/>
      <c r="L6" s="64">
        <v>2003</v>
      </c>
      <c r="M6" s="66">
        <f t="shared" si="0"/>
        <v>6.1405830764678796E-3</v>
      </c>
    </row>
    <row r="7" spans="1:13" x14ac:dyDescent="0.25">
      <c r="A7" s="14">
        <v>2014</v>
      </c>
      <c r="B7" s="33">
        <v>532584471</v>
      </c>
      <c r="C7" s="33">
        <v>1243783312</v>
      </c>
      <c r="D7" s="33">
        <v>69859319</v>
      </c>
      <c r="E7" s="33">
        <v>1151032211</v>
      </c>
      <c r="F7" s="33">
        <v>184315945</v>
      </c>
      <c r="G7" s="33">
        <v>35785616</v>
      </c>
      <c r="H7" s="33">
        <v>100075015</v>
      </c>
      <c r="I7" s="24"/>
      <c r="L7" s="65">
        <v>2004</v>
      </c>
      <c r="M7" s="66">
        <f t="shared" si="0"/>
        <v>7.4186451878298166E-3</v>
      </c>
    </row>
    <row r="8" spans="1:13" x14ac:dyDescent="0.25">
      <c r="A8" s="14">
        <v>2015</v>
      </c>
      <c r="B8" s="14">
        <v>389282900</v>
      </c>
      <c r="C8" s="14">
        <v>1282835105</v>
      </c>
      <c r="D8" s="14">
        <v>79760230</v>
      </c>
      <c r="E8" s="14">
        <v>1372987800</v>
      </c>
      <c r="F8" s="14">
        <v>240989260</v>
      </c>
      <c r="G8" s="14">
        <v>40598897</v>
      </c>
      <c r="H8" s="14">
        <v>47643540</v>
      </c>
      <c r="I8" s="24"/>
      <c r="L8" s="64">
        <v>2005</v>
      </c>
      <c r="M8" s="66">
        <f t="shared" si="0"/>
        <v>8.9627150610211894E-3</v>
      </c>
    </row>
    <row r="9" spans="1:13" x14ac:dyDescent="0.25">
      <c r="A9" s="14">
        <v>2016</v>
      </c>
      <c r="B9" s="14"/>
      <c r="C9" s="14"/>
      <c r="D9" s="14"/>
      <c r="E9" s="14"/>
      <c r="F9" s="14"/>
      <c r="G9" s="14"/>
      <c r="H9" s="14"/>
      <c r="I9" s="24"/>
      <c r="L9" s="65">
        <v>2006</v>
      </c>
      <c r="M9" s="66">
        <f t="shared" si="0"/>
        <v>1.0828157868614168E-2</v>
      </c>
    </row>
    <row r="10" spans="1:13" x14ac:dyDescent="0.25">
      <c r="A10" s="14">
        <v>2017</v>
      </c>
      <c r="B10" s="14">
        <v>171578672</v>
      </c>
      <c r="C10" s="14">
        <v>393293381</v>
      </c>
      <c r="D10" s="14"/>
      <c r="E10" s="14">
        <v>1992631705</v>
      </c>
      <c r="F10" s="14">
        <v>315871799</v>
      </c>
      <c r="G10" s="14">
        <v>34411739</v>
      </c>
      <c r="H10" s="14">
        <v>26026616</v>
      </c>
      <c r="I10" s="24"/>
      <c r="L10" s="64">
        <v>2007</v>
      </c>
      <c r="M10" s="66">
        <f t="shared" si="0"/>
        <v>1.3081862139916323E-2</v>
      </c>
    </row>
    <row r="11" spans="1:13" x14ac:dyDescent="0.25">
      <c r="J11" s="49" t="s">
        <v>257</v>
      </c>
      <c r="K11" s="49" t="s">
        <v>259</v>
      </c>
      <c r="L11" s="65">
        <v>2008</v>
      </c>
      <c r="M11" s="66">
        <f t="shared" si="0"/>
        <v>1.5804638159535686E-2</v>
      </c>
    </row>
    <row r="12" spans="1:13" x14ac:dyDescent="0.25">
      <c r="A12" s="95" t="s">
        <v>187</v>
      </c>
      <c r="B12" s="14" t="s">
        <v>224</v>
      </c>
      <c r="C12" s="14" t="s">
        <v>238</v>
      </c>
      <c r="D12" s="98" t="s">
        <v>239</v>
      </c>
      <c r="E12" s="98"/>
      <c r="F12" s="24"/>
      <c r="J12" t="s">
        <v>258</v>
      </c>
      <c r="K12" t="s">
        <v>260</v>
      </c>
      <c r="L12" s="64">
        <v>2009</v>
      </c>
      <c r="M12" s="66">
        <f t="shared" si="0"/>
        <v>1.9094115553448976E-2</v>
      </c>
    </row>
    <row r="13" spans="1:13" ht="15" customHeight="1" x14ac:dyDescent="0.25">
      <c r="A13" s="95"/>
      <c r="B13" s="14" t="s">
        <v>237</v>
      </c>
      <c r="C13" s="14" t="s">
        <v>227</v>
      </c>
      <c r="D13" s="14" t="s">
        <v>237</v>
      </c>
      <c r="E13" s="14" t="s">
        <v>228</v>
      </c>
      <c r="F13" s="24"/>
      <c r="J13">
        <f>'Statistik Industri Besar Sedang'!I16</f>
        <v>247909</v>
      </c>
      <c r="K13" s="50">
        <f t="shared" ref="K13:K20" si="1">J13/E25</f>
        <v>2.3068243960301649E-2</v>
      </c>
      <c r="L13" s="65">
        <v>2010</v>
      </c>
      <c r="M13" s="67">
        <f>K13</f>
        <v>2.3068243960301649E-2</v>
      </c>
    </row>
    <row r="14" spans="1:13" x14ac:dyDescent="0.25">
      <c r="A14" s="14">
        <v>2010</v>
      </c>
      <c r="B14" s="58">
        <f>E3</f>
        <v>1140984266</v>
      </c>
      <c r="C14" s="58">
        <f>B3+C3+D3+H3</f>
        <v>767385568</v>
      </c>
      <c r="D14" s="58">
        <f>G3</f>
        <v>14348411</v>
      </c>
      <c r="E14" s="58">
        <f>F3</f>
        <v>63017075</v>
      </c>
      <c r="F14" s="24"/>
      <c r="J14">
        <f>'Statistik Industri Besar Sedang'!I17</f>
        <v>271916</v>
      </c>
      <c r="K14" s="50">
        <f t="shared" si="1"/>
        <v>2.5302125476321487E-2</v>
      </c>
      <c r="L14" s="64">
        <v>2011</v>
      </c>
      <c r="M14" s="67">
        <f t="shared" ref="M14:M20" si="2">K14</f>
        <v>2.5302125476321487E-2</v>
      </c>
    </row>
    <row r="15" spans="1:13" x14ac:dyDescent="0.25">
      <c r="A15" s="14">
        <v>2011</v>
      </c>
      <c r="B15" s="58">
        <f t="shared" ref="B15:B21" si="3">E4</f>
        <v>1140984266</v>
      </c>
      <c r="C15" s="58">
        <f t="shared" ref="C15:C21" si="4">B4+C4+D4+H4</f>
        <v>767385568</v>
      </c>
      <c r="D15" s="58">
        <f t="shared" ref="D15:D21" si="5">G4</f>
        <v>14348411</v>
      </c>
      <c r="E15" s="58">
        <f t="shared" ref="E15:E21" si="6">F4</f>
        <v>63017075</v>
      </c>
      <c r="F15" s="24"/>
      <c r="J15">
        <f>'Statistik Industri Besar Sedang'!I18</f>
        <v>323353</v>
      </c>
      <c r="K15" s="50">
        <f t="shared" si="1"/>
        <v>2.999071363240469E-2</v>
      </c>
      <c r="L15" s="64">
        <v>2012</v>
      </c>
      <c r="M15" s="67">
        <f t="shared" si="2"/>
        <v>2.999071363240469E-2</v>
      </c>
    </row>
    <row r="16" spans="1:13" x14ac:dyDescent="0.25">
      <c r="A16" s="14">
        <v>2012</v>
      </c>
      <c r="B16" s="58">
        <f t="shared" si="3"/>
        <v>936704812</v>
      </c>
      <c r="C16" s="58">
        <f t="shared" si="4"/>
        <v>932599165</v>
      </c>
      <c r="D16" s="58">
        <f t="shared" si="5"/>
        <v>18785666</v>
      </c>
      <c r="E16" s="58">
        <f t="shared" si="6"/>
        <v>69686040</v>
      </c>
      <c r="F16" s="24"/>
      <c r="J16">
        <f>'Statistik Industri Besar Sedang'!I19</f>
        <v>384394</v>
      </c>
      <c r="K16" s="50">
        <f t="shared" si="1"/>
        <v>3.573868062907759E-2</v>
      </c>
      <c r="L16" s="64">
        <v>2013</v>
      </c>
      <c r="M16" s="67">
        <f t="shared" si="2"/>
        <v>3.573868062907759E-2</v>
      </c>
    </row>
    <row r="17" spans="1:13" x14ac:dyDescent="0.25">
      <c r="A17" s="14">
        <v>2013</v>
      </c>
      <c r="B17" s="58">
        <f t="shared" si="3"/>
        <v>807080692</v>
      </c>
      <c r="C17" s="58">
        <f t="shared" si="4"/>
        <v>1038836146</v>
      </c>
      <c r="D17" s="58">
        <f t="shared" si="5"/>
        <v>23804221</v>
      </c>
      <c r="E17" s="58">
        <f t="shared" si="6"/>
        <v>61100529</v>
      </c>
      <c r="F17" s="24"/>
      <c r="J17">
        <f>'Statistik Industri Besar Sedang'!I20</f>
        <v>446151</v>
      </c>
      <c r="K17" s="50">
        <f t="shared" si="1"/>
        <v>2.3881817629310728E-2</v>
      </c>
      <c r="L17" s="64">
        <v>2014</v>
      </c>
      <c r="M17" s="67">
        <f t="shared" si="2"/>
        <v>2.3881817629310728E-2</v>
      </c>
    </row>
    <row r="18" spans="1:13" x14ac:dyDescent="0.25">
      <c r="A18" s="14">
        <v>2014</v>
      </c>
      <c r="B18" s="58">
        <f t="shared" si="3"/>
        <v>1151032211</v>
      </c>
      <c r="C18" s="58">
        <f t="shared" si="4"/>
        <v>1946302117</v>
      </c>
      <c r="D18" s="58">
        <f t="shared" si="5"/>
        <v>35785616</v>
      </c>
      <c r="E18" s="58">
        <f t="shared" si="6"/>
        <v>184315945</v>
      </c>
      <c r="F18" s="24"/>
      <c r="J18">
        <f>'Statistik Industri Besar Sedang'!I21</f>
        <v>569960</v>
      </c>
      <c r="K18" s="50">
        <f t="shared" si="1"/>
        <v>2.9537500485852287E-2</v>
      </c>
      <c r="L18" s="64">
        <v>2015</v>
      </c>
      <c r="M18" s="67">
        <f t="shared" si="2"/>
        <v>2.9537500485852287E-2</v>
      </c>
    </row>
    <row r="19" spans="1:13" x14ac:dyDescent="0.25">
      <c r="A19" s="14">
        <v>2015</v>
      </c>
      <c r="B19" s="58">
        <f t="shared" si="3"/>
        <v>1372987800</v>
      </c>
      <c r="C19" s="58">
        <f t="shared" si="4"/>
        <v>1799521775</v>
      </c>
      <c r="D19" s="58">
        <f t="shared" si="5"/>
        <v>40598897</v>
      </c>
      <c r="E19" s="58">
        <f t="shared" si="6"/>
        <v>240989260</v>
      </c>
      <c r="F19" s="24"/>
      <c r="J19">
        <f>'Statistik Industri Besar Sedang'!I22</f>
        <v>1080630</v>
      </c>
      <c r="K19" s="50">
        <f t="shared" si="1"/>
        <v>6.1900814934925712E-2</v>
      </c>
      <c r="L19" s="64">
        <v>2016</v>
      </c>
      <c r="M19" s="67">
        <f t="shared" si="2"/>
        <v>6.1900814934925712E-2</v>
      </c>
    </row>
    <row r="20" spans="1:13" x14ac:dyDescent="0.25">
      <c r="A20" s="14">
        <v>2016</v>
      </c>
      <c r="B20" s="58">
        <f t="shared" si="3"/>
        <v>0</v>
      </c>
      <c r="C20" s="58">
        <f t="shared" si="4"/>
        <v>0</v>
      </c>
      <c r="D20" s="58">
        <f t="shared" si="5"/>
        <v>0</v>
      </c>
      <c r="E20" s="58">
        <f t="shared" si="6"/>
        <v>0</v>
      </c>
      <c r="F20" s="24"/>
      <c r="J20">
        <f>'Statistik Industri Besar Sedang'!I23</f>
        <v>1353522.3400143147</v>
      </c>
      <c r="K20" s="50">
        <f t="shared" si="1"/>
        <v>8.6660154709296416E-2</v>
      </c>
      <c r="L20" s="64">
        <v>2017</v>
      </c>
      <c r="M20" s="67">
        <f t="shared" si="2"/>
        <v>8.6660154709296416E-2</v>
      </c>
    </row>
    <row r="21" spans="1:13" x14ac:dyDescent="0.25">
      <c r="A21" s="14">
        <v>2017</v>
      </c>
      <c r="B21" s="58">
        <f t="shared" si="3"/>
        <v>1992631705</v>
      </c>
      <c r="C21" s="58">
        <f t="shared" si="4"/>
        <v>590898669</v>
      </c>
      <c r="D21" s="58">
        <f t="shared" si="5"/>
        <v>34411739</v>
      </c>
      <c r="E21" s="58">
        <f t="shared" si="6"/>
        <v>315871799</v>
      </c>
      <c r="F21" s="24"/>
      <c r="J21" t="s">
        <v>261</v>
      </c>
      <c r="K21" s="50">
        <f>(K20/K13)^(1/7)-1</f>
        <v>0.20813367321089804</v>
      </c>
    </row>
    <row r="23" spans="1:13" x14ac:dyDescent="0.25">
      <c r="A23" s="95" t="s">
        <v>187</v>
      </c>
      <c r="B23" s="14" t="s">
        <v>224</v>
      </c>
      <c r="C23" s="14" t="s">
        <v>238</v>
      </c>
      <c r="D23" s="14" t="s">
        <v>249</v>
      </c>
      <c r="E23" s="15" t="s">
        <v>71</v>
      </c>
      <c r="F23" s="49" t="s">
        <v>297</v>
      </c>
      <c r="G23" s="49" t="s">
        <v>299</v>
      </c>
      <c r="H23" s="49" t="s">
        <v>300</v>
      </c>
      <c r="I23" s="49" t="s">
        <v>301</v>
      </c>
    </row>
    <row r="24" spans="1:13" x14ac:dyDescent="0.25">
      <c r="A24" s="95"/>
      <c r="B24" s="99" t="s">
        <v>248</v>
      </c>
      <c r="C24" s="100"/>
      <c r="D24" s="100"/>
      <c r="E24" s="101"/>
      <c r="F24" t="s">
        <v>298</v>
      </c>
    </row>
    <row r="25" spans="1:13" x14ac:dyDescent="0.25">
      <c r="A25" s="48">
        <v>2010</v>
      </c>
      <c r="B25" s="6">
        <f>B14*konversi!$C$27</f>
        <v>5704921.3300000001</v>
      </c>
      <c r="C25" s="6">
        <f>C14*konversi!$C$3</f>
        <v>4548274.1118132789</v>
      </c>
      <c r="D25" s="6">
        <f>D14*konversi!$D$19+E14*konversi!$C$31*konversi!$C$35</f>
        <v>493569.69673080882</v>
      </c>
      <c r="E25" s="6">
        <f t="shared" ref="E25:E32" si="7">SUM(B25:D25)</f>
        <v>10746765.138544088</v>
      </c>
      <c r="F25" s="13">
        <f>'energi demand'!B12</f>
        <v>19992524.019567117</v>
      </c>
      <c r="G25">
        <f>B25/$F25</f>
        <v>0.28535273107169806</v>
      </c>
      <c r="H25">
        <f t="shared" ref="H25:I25" si="8">C25/$F25</f>
        <v>0.22749874439874546</v>
      </c>
      <c r="I25">
        <f t="shared" si="8"/>
        <v>2.4687713079536204E-2</v>
      </c>
      <c r="J25">
        <f>SUM(G25:I25)</f>
        <v>0.53753918854997973</v>
      </c>
    </row>
    <row r="26" spans="1:13" x14ac:dyDescent="0.25">
      <c r="A26" s="14">
        <v>2011</v>
      </c>
      <c r="B26" s="6">
        <f>B15*konversi!$C$27</f>
        <v>5704921.3300000001</v>
      </c>
      <c r="C26" s="6">
        <f>C15*konversi!$C$3</f>
        <v>4548274.1118132789</v>
      </c>
      <c r="D26" s="6">
        <f>D15*konversi!$D$19+E15*konversi!$C$31*konversi!$C$35</f>
        <v>493569.69673080882</v>
      </c>
      <c r="E26" s="6">
        <f t="shared" si="7"/>
        <v>10746765.138544088</v>
      </c>
      <c r="F26" s="13">
        <f>'energi demand'!B13</f>
        <v>20779954.936132599</v>
      </c>
      <c r="G26">
        <f t="shared" ref="G26:G32" si="9">B26/$F26</f>
        <v>0.27453963916351759</v>
      </c>
      <c r="H26">
        <f t="shared" ref="H26:H32" si="10">C26/$F26</f>
        <v>0.21887795838790053</v>
      </c>
      <c r="I26">
        <f t="shared" ref="I26:I32" si="11">D26/$F26</f>
        <v>2.3752202458946627E-2</v>
      </c>
      <c r="J26">
        <f t="shared" ref="J26:J32" si="12">SUM(G26:I26)</f>
        <v>0.51716980001036472</v>
      </c>
    </row>
    <row r="27" spans="1:13" x14ac:dyDescent="0.25">
      <c r="A27" s="14">
        <v>2012</v>
      </c>
      <c r="B27" s="6">
        <f>B16*konversi!$C$27</f>
        <v>4683524.0600000005</v>
      </c>
      <c r="C27" s="6">
        <f>C16*konversi!$C$3</f>
        <v>5527490.7631155513</v>
      </c>
      <c r="D27" s="6">
        <f>D16*konversi!$D$19+E16*konversi!$C$31*konversi!$C$35</f>
        <v>570755.95977839211</v>
      </c>
      <c r="E27" s="6">
        <f t="shared" si="7"/>
        <v>10781770.782893945</v>
      </c>
      <c r="F27" s="13">
        <f>'energi demand'!B14</f>
        <v>21688163.069705077</v>
      </c>
      <c r="G27">
        <f t="shared" si="9"/>
        <v>0.21594839751745232</v>
      </c>
      <c r="H27">
        <f t="shared" si="10"/>
        <v>0.25486209898691603</v>
      </c>
      <c r="I27">
        <f t="shared" si="11"/>
        <v>2.6316473089214625E-2</v>
      </c>
      <c r="J27">
        <f t="shared" si="12"/>
        <v>0.49712696959358299</v>
      </c>
    </row>
    <row r="28" spans="1:13" x14ac:dyDescent="0.25">
      <c r="A28" s="14">
        <v>2013</v>
      </c>
      <c r="B28" s="6">
        <f>B17*konversi!$C$27</f>
        <v>4035403.46</v>
      </c>
      <c r="C28" s="6">
        <f>C17*konversi!$C$3</f>
        <v>6157154.5599717088</v>
      </c>
      <c r="D28" s="6">
        <f>D17*konversi!$D$19+E17*konversi!$C$31*konversi!$C$35</f>
        <v>563127.22732448136</v>
      </c>
      <c r="E28" s="6">
        <f t="shared" si="7"/>
        <v>10755685.247296192</v>
      </c>
      <c r="F28" s="13">
        <f>'energi demand'!B15</f>
        <v>22453756.577488139</v>
      </c>
      <c r="G28">
        <f t="shared" si="9"/>
        <v>0.17972063810675876</v>
      </c>
      <c r="H28">
        <f t="shared" si="10"/>
        <v>0.27421489757062728</v>
      </c>
      <c r="I28">
        <f t="shared" si="11"/>
        <v>2.5079421582803914E-2</v>
      </c>
      <c r="J28">
        <f t="shared" si="12"/>
        <v>0.47901495726018994</v>
      </c>
    </row>
    <row r="29" spans="1:13" x14ac:dyDescent="0.25">
      <c r="A29" s="14">
        <v>2014</v>
      </c>
      <c r="B29" s="6">
        <f>B18*konversi!$C$27</f>
        <v>5755161.0549999997</v>
      </c>
      <c r="C29" s="6">
        <f>C18*konversi!$C$3</f>
        <v>11535681.542187251</v>
      </c>
      <c r="D29" s="6">
        <f>D18*konversi!$D$19+E18*konversi!$C$31*konversi!$C$35</f>
        <v>1390775.6500113285</v>
      </c>
      <c r="E29" s="6">
        <f t="shared" si="7"/>
        <v>18681618.247198578</v>
      </c>
      <c r="F29" s="13">
        <f>'energi demand'!B16</f>
        <v>30986165.103624381</v>
      </c>
      <c r="G29">
        <f t="shared" si="9"/>
        <v>0.18573324694274063</v>
      </c>
      <c r="H29">
        <f t="shared" si="10"/>
        <v>0.37228490533144254</v>
      </c>
      <c r="I29">
        <f t="shared" si="11"/>
        <v>4.4883761683973365E-2</v>
      </c>
      <c r="J29">
        <f t="shared" si="12"/>
        <v>0.60290191395815651</v>
      </c>
    </row>
    <row r="30" spans="1:13" x14ac:dyDescent="0.25">
      <c r="A30" s="14">
        <v>2015</v>
      </c>
      <c r="B30" s="6">
        <f>B19*konversi!$C$27</f>
        <v>6864939</v>
      </c>
      <c r="C30" s="6">
        <f>C19*konversi!$C$3</f>
        <v>10665718.309256475</v>
      </c>
      <c r="D30" s="6">
        <f>D19*konversi!$D$19+E19*konversi!$C$31*konversi!$C$35</f>
        <v>1765491.3365301373</v>
      </c>
      <c r="E30" s="6">
        <f t="shared" si="7"/>
        <v>19296148.645786613</v>
      </c>
      <c r="F30" s="13">
        <f>'energi demand'!B17</f>
        <v>34765458.504126795</v>
      </c>
      <c r="G30">
        <f t="shared" si="9"/>
        <v>0.19746435960811806</v>
      </c>
      <c r="H30">
        <f t="shared" si="10"/>
        <v>0.30679067005517596</v>
      </c>
      <c r="I30">
        <f t="shared" si="11"/>
        <v>5.0782915356072947E-2</v>
      </c>
      <c r="J30">
        <f t="shared" si="12"/>
        <v>0.55503794501936699</v>
      </c>
    </row>
    <row r="31" spans="1:13" x14ac:dyDescent="0.25">
      <c r="A31" s="14">
        <v>2016</v>
      </c>
      <c r="B31" s="57">
        <f>(B32+B30)/2</f>
        <v>8414048.7624999993</v>
      </c>
      <c r="C31" s="57">
        <f t="shared" ref="C31:D31" si="13">(C32+C30)/2</f>
        <v>7083979.6024118112</v>
      </c>
      <c r="D31" s="57">
        <f t="shared" si="13"/>
        <v>1959415.4690026671</v>
      </c>
      <c r="E31" s="6">
        <f t="shared" si="7"/>
        <v>17457443.833914477</v>
      </c>
      <c r="F31" s="13">
        <f>'energi demand'!B18</f>
        <v>30513730.374162477</v>
      </c>
      <c r="G31">
        <f t="shared" si="9"/>
        <v>0.27574631679988237</v>
      </c>
      <c r="H31">
        <f t="shared" si="10"/>
        <v>0.23215711470040962</v>
      </c>
      <c r="I31">
        <f t="shared" si="11"/>
        <v>6.4214222416470054E-2</v>
      </c>
      <c r="J31">
        <f t="shared" si="12"/>
        <v>0.57211765391676195</v>
      </c>
    </row>
    <row r="32" spans="1:13" x14ac:dyDescent="0.25">
      <c r="A32" s="14">
        <v>2017</v>
      </c>
      <c r="B32" s="6">
        <f>B21*konversi!$C$27</f>
        <v>9963158.5250000004</v>
      </c>
      <c r="C32" s="6">
        <f>C21*konversi!$C$3</f>
        <v>3502240.8955671471</v>
      </c>
      <c r="D32" s="6">
        <f>D21*konversi!$D$19+E21*konversi!$C$31*konversi!$C$35</f>
        <v>2153339.6014751969</v>
      </c>
      <c r="E32" s="6">
        <f t="shared" si="7"/>
        <v>15618739.022042345</v>
      </c>
      <c r="F32" s="13">
        <f>'energi demand'!B19</f>
        <v>29127390.169481345</v>
      </c>
      <c r="G32">
        <f t="shared" si="9"/>
        <v>0.34205462511499046</v>
      </c>
      <c r="H32">
        <f t="shared" si="10"/>
        <v>0.1202387469384975</v>
      </c>
      <c r="I32">
        <f t="shared" si="11"/>
        <v>7.3928339921487035E-2</v>
      </c>
      <c r="J32">
        <f t="shared" si="12"/>
        <v>0.53622171197497503</v>
      </c>
    </row>
    <row r="33" spans="1:2" x14ac:dyDescent="0.25">
      <c r="B33" t="s">
        <v>290</v>
      </c>
    </row>
    <row r="35" spans="1:2" x14ac:dyDescent="0.25">
      <c r="A35" t="s">
        <v>187</v>
      </c>
      <c r="B35" t="s">
        <v>262</v>
      </c>
    </row>
    <row r="36" spans="1:2" x14ac:dyDescent="0.25">
      <c r="A36">
        <v>2000</v>
      </c>
      <c r="B36" s="59">
        <f t="shared" ref="B36:B52" si="14">B37/(1+$K$21)</f>
        <v>3.4822876593162966E-3</v>
      </c>
    </row>
    <row r="37" spans="1:2" x14ac:dyDescent="0.25">
      <c r="A37">
        <v>2001</v>
      </c>
      <c r="B37" s="59">
        <f t="shared" si="14"/>
        <v>4.2070689810267776E-3</v>
      </c>
    </row>
    <row r="38" spans="1:2" x14ac:dyDescent="0.25">
      <c r="A38">
        <v>2002</v>
      </c>
      <c r="B38" s="59">
        <f t="shared" si="14"/>
        <v>5.0827017014995106E-3</v>
      </c>
    </row>
    <row r="39" spans="1:2" x14ac:dyDescent="0.25">
      <c r="A39">
        <v>2003</v>
      </c>
      <c r="B39" s="59">
        <f t="shared" si="14"/>
        <v>6.1405830764678848E-3</v>
      </c>
    </row>
    <row r="40" spans="1:2" x14ac:dyDescent="0.25">
      <c r="A40">
        <v>2004</v>
      </c>
      <c r="B40" s="59">
        <f t="shared" si="14"/>
        <v>7.4186451878298226E-3</v>
      </c>
    </row>
    <row r="41" spans="1:2" x14ac:dyDescent="0.25">
      <c r="A41">
        <v>2005</v>
      </c>
      <c r="B41" s="59">
        <f t="shared" si="14"/>
        <v>8.9627150610211963E-3</v>
      </c>
    </row>
    <row r="42" spans="1:2" x14ac:dyDescent="0.25">
      <c r="A42">
        <v>2006</v>
      </c>
      <c r="B42" s="59">
        <f t="shared" si="14"/>
        <v>1.0828157868614175E-2</v>
      </c>
    </row>
    <row r="43" spans="1:2" x14ac:dyDescent="0.25">
      <c r="A43">
        <v>2007</v>
      </c>
      <c r="B43" s="59">
        <f t="shared" si="14"/>
        <v>1.3081862139916332E-2</v>
      </c>
    </row>
    <row r="44" spans="1:2" x14ac:dyDescent="0.25">
      <c r="A44">
        <v>2008</v>
      </c>
      <c r="B44" s="59">
        <f t="shared" si="14"/>
        <v>1.5804638159535696E-2</v>
      </c>
    </row>
    <row r="45" spans="1:2" x14ac:dyDescent="0.25">
      <c r="A45">
        <v>2009</v>
      </c>
      <c r="B45" s="59">
        <f t="shared" si="14"/>
        <v>1.909411555344899E-2</v>
      </c>
    </row>
    <row r="46" spans="1:2" x14ac:dyDescent="0.25">
      <c r="A46">
        <v>2010</v>
      </c>
      <c r="B46" s="59">
        <f t="shared" si="14"/>
        <v>2.3068243960301667E-2</v>
      </c>
    </row>
    <row r="47" spans="1:2" x14ac:dyDescent="0.25">
      <c r="A47">
        <v>2011</v>
      </c>
      <c r="B47" s="59">
        <f t="shared" si="14"/>
        <v>2.7869522310284365E-2</v>
      </c>
    </row>
    <row r="48" spans="1:2" x14ac:dyDescent="0.25">
      <c r="A48">
        <v>2012</v>
      </c>
      <c r="B48" s="59">
        <f t="shared" si="14"/>
        <v>3.3670108359356923E-2</v>
      </c>
    </row>
    <row r="49" spans="1:2" x14ac:dyDescent="0.25">
      <c r="A49">
        <v>2013</v>
      </c>
      <c r="B49" s="59">
        <f t="shared" si="14"/>
        <v>4.067799168959884E-2</v>
      </c>
    </row>
    <row r="50" spans="1:2" x14ac:dyDescent="0.25">
      <c r="A50">
        <v>2014</v>
      </c>
      <c r="B50" s="59">
        <f t="shared" si="14"/>
        <v>4.9144451518797427E-2</v>
      </c>
    </row>
    <row r="51" spans="1:2" x14ac:dyDescent="0.25">
      <c r="A51">
        <v>2015</v>
      </c>
      <c r="B51" s="59">
        <f t="shared" si="14"/>
        <v>5.9373066731339637E-2</v>
      </c>
    </row>
    <row r="52" spans="1:2" x14ac:dyDescent="0.25">
      <c r="A52">
        <v>2016</v>
      </c>
      <c r="B52" s="59">
        <f t="shared" si="14"/>
        <v>7.173060119992912E-2</v>
      </c>
    </row>
    <row r="53" spans="1:2" x14ac:dyDescent="0.25">
      <c r="A53">
        <v>2017</v>
      </c>
      <c r="B53" s="59">
        <f>K20</f>
        <v>8.6660154709296416E-2</v>
      </c>
    </row>
    <row r="54" spans="1:2" x14ac:dyDescent="0.25">
      <c r="A54">
        <v>2018</v>
      </c>
      <c r="B54" s="59">
        <f>B53*(1+$K$21)</f>
        <v>0.10469705102996699</v>
      </c>
    </row>
    <row r="55" spans="1:2" x14ac:dyDescent="0.25">
      <c r="A55">
        <v>2019</v>
      </c>
      <c r="B55" s="59">
        <f>B54*(1+$K$21)</f>
        <v>0.12648803283518284</v>
      </c>
    </row>
    <row r="56" spans="1:2" x14ac:dyDescent="0.25">
      <c r="A56">
        <v>2020</v>
      </c>
      <c r="B56" s="59">
        <f>B55*(1+$K$21)</f>
        <v>0.15281445172639013</v>
      </c>
    </row>
  </sheetData>
  <mergeCells count="7">
    <mergeCell ref="M1:M2"/>
    <mergeCell ref="A12:A13"/>
    <mergeCell ref="F1:G1"/>
    <mergeCell ref="A23:A24"/>
    <mergeCell ref="A1:A2"/>
    <mergeCell ref="D12:E12"/>
    <mergeCell ref="B24:E24"/>
  </mergeCells>
  <conditionalFormatting sqref="J12:K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K21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{AF5DC637-3C6D-4694-9509-CF87FB1705A7}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DC637-3C6D-4694-9509-CF87FB170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J13:K21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397E-7B25-4D57-922A-43A7984D7482}">
  <dimension ref="A1:V3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2" sqref="P12"/>
    </sheetView>
  </sheetViews>
  <sheetFormatPr defaultRowHeight="15" x14ac:dyDescent="0.25"/>
  <cols>
    <col min="1" max="1" width="27.7109375" bestFit="1" customWidth="1"/>
    <col min="2" max="2" width="17" bestFit="1" customWidth="1"/>
    <col min="3" max="3" width="21.85546875" bestFit="1" customWidth="1"/>
    <col min="4" max="4" width="28.85546875" bestFit="1" customWidth="1"/>
    <col min="5" max="5" width="19.28515625" bestFit="1" customWidth="1"/>
  </cols>
  <sheetData>
    <row r="1" spans="1:7" ht="18.75" x14ac:dyDescent="0.3">
      <c r="A1" s="117" t="s">
        <v>427</v>
      </c>
    </row>
    <row r="2" spans="1:7" x14ac:dyDescent="0.25">
      <c r="A2" s="14" t="s">
        <v>32</v>
      </c>
      <c r="B2" s="14" t="s">
        <v>270</v>
      </c>
      <c r="C2" s="14" t="s">
        <v>274</v>
      </c>
      <c r="D2" s="14" t="s">
        <v>272</v>
      </c>
      <c r="E2" s="14" t="s">
        <v>327</v>
      </c>
      <c r="F2" s="15" t="s">
        <v>273</v>
      </c>
    </row>
    <row r="3" spans="1:7" x14ac:dyDescent="0.25">
      <c r="A3" s="14">
        <v>2000</v>
      </c>
      <c r="B3" s="53">
        <f>B4/(1+$B$25)</f>
        <v>5349236.2897534845</v>
      </c>
      <c r="C3" s="53">
        <f>B3*F3</f>
        <v>3588765.4257785468</v>
      </c>
      <c r="D3" s="53">
        <f>D4/(1+$B$27)</f>
        <v>6239928.1060598679</v>
      </c>
      <c r="E3" s="53">
        <f>D3*1000</f>
        <v>6239928106.0598679</v>
      </c>
      <c r="F3" s="16">
        <f>F4/(1+$B$28)</f>
        <v>0.67089304554612084</v>
      </c>
      <c r="G3" s="102" t="s">
        <v>93</v>
      </c>
    </row>
    <row r="4" spans="1:7" x14ac:dyDescent="0.25">
      <c r="A4" s="14">
        <v>2001</v>
      </c>
      <c r="B4" s="53">
        <f>B5/(1+$B$25)</f>
        <v>5620742.8338585971</v>
      </c>
      <c r="C4" s="53">
        <f>B4*F4</f>
        <v>3829840.1364271501</v>
      </c>
      <c r="D4" s="53">
        <f>D5/(1+$B$27)</f>
        <v>6616848.2069321256</v>
      </c>
      <c r="E4" s="53">
        <f t="shared" ref="E4:E21" si="0">D4*1000</f>
        <v>6616848206.932126</v>
      </c>
      <c r="F4" s="16">
        <f>F5/(1+$B$28)</f>
        <v>0.68137615429702802</v>
      </c>
      <c r="G4" s="102"/>
    </row>
    <row r="5" spans="1:7" x14ac:dyDescent="0.25">
      <c r="A5" s="14">
        <v>2002</v>
      </c>
      <c r="B5" s="52">
        <v>5906030</v>
      </c>
      <c r="C5" s="52">
        <v>4087109</v>
      </c>
      <c r="D5" s="52">
        <v>7016536</v>
      </c>
      <c r="E5" s="53">
        <f t="shared" si="0"/>
        <v>7016536000</v>
      </c>
      <c r="F5" s="14">
        <f t="shared" ref="F5:F21" si="1">C5/B5</f>
        <v>0.69202306794919766</v>
      </c>
    </row>
    <row r="6" spans="1:7" x14ac:dyDescent="0.25">
      <c r="A6" s="14">
        <v>2003</v>
      </c>
      <c r="B6" s="52">
        <v>6138618</v>
      </c>
      <c r="C6" s="52">
        <v>4335150</v>
      </c>
      <c r="D6" s="52">
        <v>7660942.3609999996</v>
      </c>
      <c r="E6" s="53">
        <f t="shared" si="0"/>
        <v>7660942361</v>
      </c>
      <c r="F6" s="14">
        <f t="shared" si="1"/>
        <v>0.70620944323298829</v>
      </c>
    </row>
    <row r="7" spans="1:7" x14ac:dyDescent="0.25">
      <c r="A7" s="14">
        <v>2004</v>
      </c>
      <c r="B7" s="52">
        <v>5821881</v>
      </c>
      <c r="C7" s="52">
        <v>4237805</v>
      </c>
      <c r="D7" s="52">
        <v>7494798</v>
      </c>
      <c r="E7" s="53">
        <f t="shared" si="0"/>
        <v>7494798000</v>
      </c>
      <c r="F7" s="14">
        <f t="shared" si="1"/>
        <v>0.72790993151526118</v>
      </c>
    </row>
    <row r="8" spans="1:7" x14ac:dyDescent="0.25">
      <c r="A8" s="14">
        <v>2005</v>
      </c>
      <c r="B8" s="52">
        <v>6060583</v>
      </c>
      <c r="C8" s="14">
        <v>4556800.45</v>
      </c>
      <c r="D8" s="52">
        <v>8053599.9000000004</v>
      </c>
      <c r="E8" s="53">
        <f t="shared" si="0"/>
        <v>8053599900</v>
      </c>
      <c r="F8" s="14">
        <f t="shared" si="1"/>
        <v>0.75187493513412818</v>
      </c>
    </row>
    <row r="9" spans="1:7" x14ac:dyDescent="0.25">
      <c r="A9" s="14">
        <v>2006</v>
      </c>
      <c r="B9" s="52">
        <v>6171699</v>
      </c>
      <c r="C9" s="14">
        <v>4681082.8499999996</v>
      </c>
      <c r="D9" s="14">
        <v>8631525.4800000004</v>
      </c>
      <c r="E9" s="53">
        <f t="shared" si="0"/>
        <v>8631525480</v>
      </c>
      <c r="F9" s="14">
        <f t="shared" si="1"/>
        <v>0.75847555916126175</v>
      </c>
    </row>
    <row r="10" spans="1:7" x14ac:dyDescent="0.25">
      <c r="A10" s="14">
        <v>2007</v>
      </c>
      <c r="B10" s="52">
        <v>6660238</v>
      </c>
      <c r="C10" s="52">
        <v>5117953</v>
      </c>
      <c r="D10" s="52">
        <v>9345913</v>
      </c>
      <c r="E10" s="53">
        <f t="shared" si="0"/>
        <v>9345913000</v>
      </c>
      <c r="F10" s="14">
        <f t="shared" si="1"/>
        <v>0.76843395085881316</v>
      </c>
    </row>
    <row r="11" spans="1:7" x14ac:dyDescent="0.25">
      <c r="A11" s="14">
        <v>2008</v>
      </c>
      <c r="B11" s="52">
        <v>6999908</v>
      </c>
      <c r="C11" s="14">
        <v>5413224.9500000002</v>
      </c>
      <c r="D11" s="14">
        <v>9877163.6899999995</v>
      </c>
      <c r="E11" s="53">
        <f t="shared" si="0"/>
        <v>9877163690</v>
      </c>
      <c r="F11" s="14">
        <f t="shared" si="1"/>
        <v>0.77332801373960913</v>
      </c>
    </row>
    <row r="12" spans="1:7" x14ac:dyDescent="0.25">
      <c r="A12" s="14">
        <v>2009</v>
      </c>
      <c r="B12" s="52">
        <v>7227571</v>
      </c>
      <c r="C12" s="52">
        <v>5639606.5999999996</v>
      </c>
      <c r="D12" s="14">
        <v>10723598.179</v>
      </c>
      <c r="E12" s="53">
        <f t="shared" si="0"/>
        <v>10723598179</v>
      </c>
      <c r="F12" s="14">
        <f t="shared" si="1"/>
        <v>0.78029072284450751</v>
      </c>
    </row>
    <row r="13" spans="1:7" x14ac:dyDescent="0.25">
      <c r="A13" s="14">
        <v>2010</v>
      </c>
      <c r="B13" s="52">
        <v>7740064</v>
      </c>
      <c r="C13" s="14">
        <v>6192060.9500000002</v>
      </c>
      <c r="D13" s="14">
        <v>11748726.665999999</v>
      </c>
      <c r="E13" s="53">
        <f t="shared" si="0"/>
        <v>11748726666</v>
      </c>
      <c r="F13" s="14">
        <f t="shared" si="1"/>
        <v>0.80000125967950653</v>
      </c>
    </row>
    <row r="14" spans="1:7" x14ac:dyDescent="0.25">
      <c r="A14" s="14">
        <v>2011</v>
      </c>
      <c r="B14" s="52">
        <v>8204882</v>
      </c>
      <c r="C14" s="52">
        <v>6772206.9000000004</v>
      </c>
      <c r="D14" s="14">
        <v>12552127.051000001</v>
      </c>
      <c r="E14" s="53">
        <f t="shared" si="0"/>
        <v>12552127051</v>
      </c>
      <c r="F14" s="14">
        <f t="shared" si="1"/>
        <v>0.82538748272065343</v>
      </c>
    </row>
    <row r="15" spans="1:7" x14ac:dyDescent="0.25">
      <c r="A15" s="14">
        <v>2012</v>
      </c>
      <c r="B15" s="52">
        <v>8935976</v>
      </c>
      <c r="C15" s="52">
        <v>7423448.5</v>
      </c>
      <c r="D15" s="14">
        <v>13627774.593</v>
      </c>
      <c r="E15" s="53">
        <f t="shared" si="0"/>
        <v>13627774593</v>
      </c>
      <c r="F15" s="14">
        <f t="shared" si="1"/>
        <v>0.83073729159523257</v>
      </c>
    </row>
    <row r="16" spans="1:7" x14ac:dyDescent="0.25">
      <c r="A16" s="14">
        <v>2013</v>
      </c>
      <c r="B16" s="52">
        <v>9698693</v>
      </c>
      <c r="C16" s="14">
        <v>8189723.0499999998</v>
      </c>
      <c r="D16" s="14">
        <v>14486337.716</v>
      </c>
      <c r="E16" s="53">
        <f t="shared" si="0"/>
        <v>14486337716</v>
      </c>
      <c r="F16" s="14">
        <f t="shared" si="1"/>
        <v>0.84441512376976979</v>
      </c>
    </row>
    <row r="17" spans="1:22" x14ac:dyDescent="0.25">
      <c r="A17" s="14">
        <v>2014</v>
      </c>
      <c r="B17" s="52">
        <v>10354331</v>
      </c>
      <c r="C17" s="52">
        <v>8749862.5500000007</v>
      </c>
      <c r="D17" s="52">
        <v>15897744.961999999</v>
      </c>
      <c r="E17" s="53">
        <f t="shared" si="0"/>
        <v>15897744962</v>
      </c>
      <c r="F17" s="14">
        <f t="shared" si="1"/>
        <v>0.84504373580485315</v>
      </c>
    </row>
    <row r="18" spans="1:22" x14ac:dyDescent="0.25">
      <c r="A18" s="14">
        <v>2015</v>
      </c>
      <c r="B18" s="52">
        <v>12378723</v>
      </c>
      <c r="C18" s="52">
        <v>10226279.050000001</v>
      </c>
      <c r="D18" s="52">
        <v>18425554.890999999</v>
      </c>
      <c r="E18" s="53">
        <f t="shared" si="0"/>
        <v>18425554891</v>
      </c>
      <c r="F18" s="14">
        <f t="shared" si="1"/>
        <v>0.82611744765594974</v>
      </c>
    </row>
    <row r="19" spans="1:22" x14ac:dyDescent="0.25">
      <c r="A19" s="14">
        <v>2016</v>
      </c>
      <c r="B19" s="52">
        <v>11747972</v>
      </c>
      <c r="C19" s="52">
        <v>11747972</v>
      </c>
      <c r="D19" s="52">
        <v>17464021</v>
      </c>
      <c r="E19" s="53">
        <f t="shared" si="0"/>
        <v>17464021000</v>
      </c>
      <c r="F19" s="14">
        <f t="shared" si="1"/>
        <v>1</v>
      </c>
    </row>
    <row r="20" spans="1:22" x14ac:dyDescent="0.25">
      <c r="A20" s="14">
        <v>2017</v>
      </c>
      <c r="B20" s="52">
        <v>12388399</v>
      </c>
      <c r="C20" s="52">
        <v>10858705</v>
      </c>
      <c r="D20" s="52">
        <v>17555203</v>
      </c>
      <c r="E20" s="53">
        <f t="shared" si="0"/>
        <v>17555203000</v>
      </c>
      <c r="F20" s="14">
        <f t="shared" si="1"/>
        <v>0.87652205906509795</v>
      </c>
    </row>
    <row r="21" spans="1:22" x14ac:dyDescent="0.25">
      <c r="A21" s="14">
        <v>2018</v>
      </c>
      <c r="B21" s="52">
        <v>13041471</v>
      </c>
      <c r="C21" s="52">
        <v>11566059</v>
      </c>
      <c r="D21" s="52">
        <v>17933627</v>
      </c>
      <c r="E21" s="53">
        <f t="shared" si="0"/>
        <v>17933627000</v>
      </c>
      <c r="F21" s="14">
        <f t="shared" si="1"/>
        <v>0.88686767006574641</v>
      </c>
    </row>
    <row r="22" spans="1:22" x14ac:dyDescent="0.25">
      <c r="A22" s="14">
        <v>2019</v>
      </c>
      <c r="B22" s="14"/>
      <c r="C22" s="14"/>
      <c r="D22" s="14"/>
      <c r="E22" s="14"/>
      <c r="F22" s="14"/>
    </row>
    <row r="23" spans="1:22" x14ac:dyDescent="0.25">
      <c r="A23" s="14">
        <v>2020</v>
      </c>
      <c r="B23" s="14"/>
      <c r="C23" s="14"/>
      <c r="D23" s="14"/>
      <c r="E23" s="14"/>
      <c r="F23" s="14"/>
    </row>
    <row r="24" spans="1:22" x14ac:dyDescent="0.25">
      <c r="F24">
        <f>AVERAGE(F3:F21)</f>
        <v>0.79188983655977496</v>
      </c>
    </row>
    <row r="25" spans="1:22" x14ac:dyDescent="0.25">
      <c r="A25" t="s">
        <v>275</v>
      </c>
      <c r="B25">
        <f>(B21/B5)^(1/16)-1</f>
        <v>5.075613216510666E-2</v>
      </c>
    </row>
    <row r="26" spans="1:22" x14ac:dyDescent="0.25">
      <c r="A26" t="s">
        <v>271</v>
      </c>
      <c r="B26">
        <f>(C21/C5)^(1/16)-1</f>
        <v>6.7174830908962146E-2</v>
      </c>
    </row>
    <row r="27" spans="1:22" x14ac:dyDescent="0.25">
      <c r="A27" t="s">
        <v>277</v>
      </c>
      <c r="B27">
        <f>(D21/D5)^(1/16)-1</f>
        <v>6.0404558268261743E-2</v>
      </c>
    </row>
    <row r="28" spans="1:22" x14ac:dyDescent="0.25">
      <c r="A28" t="s">
        <v>276</v>
      </c>
      <c r="B28">
        <f>(F21/F5)^(1/16)-1</f>
        <v>1.5625603545157851E-2</v>
      </c>
    </row>
    <row r="30" spans="1:22" x14ac:dyDescent="0.25">
      <c r="A30" t="s">
        <v>32</v>
      </c>
      <c r="B30">
        <v>2000</v>
      </c>
      <c r="C30">
        <v>2001</v>
      </c>
      <c r="D30">
        <v>2002</v>
      </c>
      <c r="E30">
        <v>2003</v>
      </c>
      <c r="F30">
        <v>2004</v>
      </c>
      <c r="G30">
        <v>2005</v>
      </c>
      <c r="H30">
        <v>2006</v>
      </c>
      <c r="I30">
        <v>2007</v>
      </c>
      <c r="J30">
        <v>2008</v>
      </c>
      <c r="K30">
        <v>2009</v>
      </c>
      <c r="L30">
        <v>2010</v>
      </c>
      <c r="M30">
        <v>2011</v>
      </c>
      <c r="N30">
        <v>2012</v>
      </c>
      <c r="O30">
        <v>2013</v>
      </c>
      <c r="P30">
        <v>2014</v>
      </c>
      <c r="Q30">
        <v>2015</v>
      </c>
      <c r="R30">
        <v>2016</v>
      </c>
      <c r="S30">
        <v>2017</v>
      </c>
      <c r="T30">
        <v>2018</v>
      </c>
      <c r="U30">
        <v>2019</v>
      </c>
      <c r="V30">
        <v>2020</v>
      </c>
    </row>
    <row r="31" spans="1:22" x14ac:dyDescent="0.25">
      <c r="A31" t="s">
        <v>327</v>
      </c>
      <c r="B31">
        <f>VLOOKUP(B30,$A$3:$F$23,5)</f>
        <v>6239928106.0598679</v>
      </c>
      <c r="C31">
        <f t="shared" ref="C31:T31" si="2">VLOOKUP(C30,$A$3:$F$23,5)</f>
        <v>6616848206.932126</v>
      </c>
      <c r="D31">
        <f t="shared" si="2"/>
        <v>7016536000</v>
      </c>
      <c r="E31">
        <f t="shared" si="2"/>
        <v>7660942361</v>
      </c>
      <c r="F31">
        <f t="shared" si="2"/>
        <v>7494798000</v>
      </c>
      <c r="G31">
        <f t="shared" si="2"/>
        <v>8053599900</v>
      </c>
      <c r="H31">
        <f t="shared" si="2"/>
        <v>8631525480</v>
      </c>
      <c r="I31">
        <f t="shared" si="2"/>
        <v>9345913000</v>
      </c>
      <c r="J31">
        <f t="shared" si="2"/>
        <v>9877163690</v>
      </c>
      <c r="K31">
        <f t="shared" si="2"/>
        <v>10723598179</v>
      </c>
      <c r="L31">
        <f t="shared" si="2"/>
        <v>11748726666</v>
      </c>
      <c r="M31">
        <f t="shared" si="2"/>
        <v>12552127051</v>
      </c>
      <c r="N31">
        <f t="shared" si="2"/>
        <v>13627774593</v>
      </c>
      <c r="O31">
        <f t="shared" si="2"/>
        <v>14486337716</v>
      </c>
      <c r="P31">
        <f t="shared" si="2"/>
        <v>15897744962</v>
      </c>
      <c r="Q31">
        <f t="shared" si="2"/>
        <v>18425554891</v>
      </c>
      <c r="R31">
        <f t="shared" si="2"/>
        <v>17464021000</v>
      </c>
      <c r="S31">
        <f t="shared" si="2"/>
        <v>17555203000</v>
      </c>
      <c r="T31">
        <f t="shared" si="2"/>
        <v>17933627000</v>
      </c>
    </row>
  </sheetData>
  <mergeCells count="1">
    <mergeCell ref="G3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data jabar</vt:lpstr>
      <vt:lpstr>data emisi jabar</vt:lpstr>
      <vt:lpstr>pertamina</vt:lpstr>
      <vt:lpstr>energi demand</vt:lpstr>
      <vt:lpstr>PLN</vt:lpstr>
      <vt:lpstr>data emisi jabar Household</vt:lpstr>
      <vt:lpstr>Listrik,Industri</vt:lpstr>
      <vt:lpstr>Fuel, Industri</vt:lpstr>
      <vt:lpstr>JDA Listrik,Household</vt:lpstr>
      <vt:lpstr>Listrik,Jabar</vt:lpstr>
      <vt:lpstr>Statistik Industri Besar Sedang</vt:lpstr>
      <vt:lpstr>Penduduk</vt:lpstr>
      <vt:lpstr>Tenaga Listrik</vt:lpstr>
      <vt:lpstr>data jabar old</vt:lpstr>
      <vt:lpstr>PDRB</vt:lpstr>
      <vt:lpstr>Listrik Per Capita</vt:lpstr>
      <vt:lpstr>Kendaraan</vt:lpstr>
      <vt:lpstr>Kendaraan-JabarDalamAngka</vt:lpstr>
      <vt:lpstr>Energi-Household</vt:lpstr>
      <vt:lpstr>Energi-Transportasi</vt:lpstr>
      <vt:lpstr>Sheet12</vt:lpstr>
      <vt:lpstr>Sheet14</vt:lpstr>
      <vt:lpstr>Regression</vt:lpstr>
      <vt:lpstr>Energi-Industri</vt:lpstr>
      <vt:lpstr>Energi-Komersial</vt:lpstr>
      <vt:lpstr>Energi-Lainnya</vt:lpstr>
      <vt:lpstr>Industri, 2015</vt:lpstr>
      <vt:lpstr>Industri, 2014</vt:lpstr>
      <vt:lpstr>Industri</vt:lpstr>
      <vt:lpstr>Kendaraan Jabar dalam Angka</vt:lpstr>
      <vt:lpstr>Statistik Transportasi</vt:lpstr>
      <vt:lpstr>data industri jabar</vt:lpstr>
      <vt:lpstr>konversi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2020-06-04T08:04:50Z</dcterms:created>
  <dcterms:modified xsi:type="dcterms:W3CDTF">2020-08-15T07:30:47Z</dcterms:modified>
</cp:coreProperties>
</file>