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Industri\Pupuk\"/>
    </mc:Choice>
  </mc:AlternateContent>
  <xr:revisionPtr revIDLastSave="0" documentId="13_ncr:1_{6D20C004-AF54-495F-9228-FAA35CC08E47}" xr6:coauthVersionLast="45" xr6:coauthVersionMax="45" xr10:uidLastSave="{00000000-0000-0000-0000-000000000000}"/>
  <bookViews>
    <workbookView xWindow="-120" yWindow="-120" windowWidth="29040" windowHeight="15990" firstSheet="6" activeTab="11" xr2:uid="{00000000-000D-0000-FFFF-FFFF00000000}"/>
  </bookViews>
  <sheets>
    <sheet name="Data Pupuk Indonesia" sheetId="1" r:id="rId1"/>
    <sheet name="Pendapatan" sheetId="2" r:id="rId2"/>
    <sheet name="Produksi Pupuk" sheetId="3" r:id="rId3"/>
    <sheet name="Penggunaan Gas" sheetId="4" r:id="rId4"/>
    <sheet name="Penggunaan Batubara" sheetId="13" r:id="rId5"/>
    <sheet name="Pengunaan Batubara" sheetId="5" r:id="rId6"/>
    <sheet name="Penggunaan Listrik Non PLN" sheetId="6" r:id="rId7"/>
    <sheet name="Penggunaan Listrik PLN" sheetId="9" r:id="rId8"/>
    <sheet name="Penggunaan BBM" sheetId="7" r:id="rId9"/>
    <sheet name="Total Penggunaan Energi" sheetId="10" r:id="rId10"/>
    <sheet name="Intensitas Energi" sheetId="11" r:id="rId11"/>
    <sheet name="Emisi GRK" sheetId="8" r:id="rId12"/>
    <sheet name="Waste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8" l="1"/>
  <c r="Q9" i="8"/>
  <c r="Q10" i="8"/>
  <c r="Q11" i="8"/>
  <c r="Q8" i="8"/>
  <c r="P5" i="8"/>
  <c r="P6" i="8"/>
  <c r="P7" i="8"/>
  <c r="P8" i="8"/>
  <c r="P9" i="8"/>
  <c r="P10" i="8"/>
  <c r="P11" i="8"/>
  <c r="P12" i="8"/>
  <c r="P13" i="8"/>
  <c r="P14" i="8"/>
  <c r="P4" i="8"/>
  <c r="M4" i="10"/>
  <c r="M5" i="10"/>
  <c r="M6" i="10"/>
  <c r="M7" i="10"/>
  <c r="M11" i="10"/>
  <c r="L9" i="10"/>
  <c r="L10" i="10"/>
  <c r="L11" i="10"/>
  <c r="L12" i="10"/>
  <c r="L13" i="10"/>
  <c r="L8" i="10"/>
  <c r="K5" i="10"/>
  <c r="K6" i="10"/>
  <c r="K7" i="10"/>
  <c r="K8" i="10"/>
  <c r="K9" i="10"/>
  <c r="K10" i="10"/>
  <c r="K11" i="10"/>
  <c r="K12" i="10"/>
  <c r="K13" i="10"/>
  <c r="K14" i="10"/>
  <c r="K4" i="10"/>
  <c r="E3" i="1" l="1"/>
  <c r="F3" i="1"/>
  <c r="G3" i="1"/>
  <c r="H3" i="1"/>
  <c r="I3" i="1"/>
  <c r="J3" i="1"/>
  <c r="K3" i="1"/>
  <c r="L3" i="1"/>
  <c r="M3" i="1"/>
  <c r="N3" i="1"/>
  <c r="O3" i="1"/>
  <c r="P3" i="1"/>
  <c r="D3" i="1"/>
  <c r="D2" i="1"/>
  <c r="E2" i="1"/>
  <c r="F2" i="1"/>
  <c r="G2" i="1"/>
  <c r="H2" i="1"/>
  <c r="I2" i="1"/>
  <c r="J2" i="1"/>
  <c r="K2" i="1"/>
  <c r="L2" i="1"/>
  <c r="M2" i="1"/>
  <c r="N2" i="1"/>
  <c r="O2" i="1"/>
  <c r="P2" i="1"/>
  <c r="R10" i="12"/>
  <c r="S10" i="12"/>
  <c r="T10" i="12"/>
  <c r="U10" i="12"/>
  <c r="R11" i="12"/>
  <c r="S11" i="12"/>
  <c r="T11" i="12"/>
  <c r="U11" i="12"/>
  <c r="Q12" i="12"/>
  <c r="R12" i="12"/>
  <c r="S12" i="12"/>
  <c r="T12" i="12"/>
  <c r="U12" i="12"/>
  <c r="R13" i="12"/>
  <c r="S13" i="12"/>
  <c r="T13" i="12"/>
  <c r="U13" i="12"/>
  <c r="Q13" i="12"/>
  <c r="P5" i="12"/>
  <c r="P6" i="12"/>
  <c r="P7" i="12"/>
  <c r="P8" i="12"/>
  <c r="P9" i="12"/>
  <c r="P10" i="12"/>
  <c r="P11" i="12"/>
  <c r="P12" i="12"/>
  <c r="P13" i="12"/>
  <c r="P14" i="12"/>
  <c r="P4" i="12"/>
  <c r="E4" i="3" l="1"/>
  <c r="E5" i="3"/>
  <c r="E6" i="3"/>
  <c r="E7" i="3"/>
  <c r="E8" i="3"/>
  <c r="E9" i="3"/>
  <c r="D4" i="2"/>
  <c r="D5" i="2"/>
  <c r="D6" i="2"/>
  <c r="E10" i="3"/>
  <c r="E11" i="3"/>
  <c r="E12" i="3"/>
  <c r="E13" i="3"/>
  <c r="E14" i="3"/>
  <c r="E15" i="3"/>
  <c r="E16" i="3"/>
  <c r="E17" i="3"/>
  <c r="E18" i="3"/>
  <c r="E19" i="3"/>
  <c r="D10" i="10"/>
  <c r="D11" i="10"/>
  <c r="D12" i="10"/>
  <c r="D13" i="10"/>
  <c r="D9" i="10"/>
  <c r="D8" i="10"/>
  <c r="C9" i="10"/>
  <c r="C10" i="10"/>
  <c r="C11" i="10"/>
  <c r="C12" i="10"/>
  <c r="C13" i="10"/>
  <c r="C8" i="10"/>
  <c r="H5" i="10"/>
  <c r="I5" i="10" s="1"/>
  <c r="H6" i="10"/>
  <c r="H7" i="10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H4" i="10"/>
  <c r="I4" i="10" s="1"/>
  <c r="C16" i="2"/>
  <c r="D16" i="2" s="1"/>
  <c r="C12" i="11" s="1"/>
  <c r="O21" i="6"/>
  <c r="O22" i="6"/>
  <c r="O23" i="6"/>
  <c r="O24" i="6"/>
  <c r="O25" i="6"/>
  <c r="O26" i="6"/>
  <c r="O27" i="6"/>
  <c r="O28" i="6"/>
  <c r="O29" i="6"/>
  <c r="O30" i="6"/>
  <c r="O20" i="6"/>
  <c r="N21" i="6"/>
  <c r="N22" i="6"/>
  <c r="N23" i="6"/>
  <c r="N24" i="6"/>
  <c r="N25" i="6"/>
  <c r="N26" i="6"/>
  <c r="N27" i="6"/>
  <c r="N30" i="6"/>
  <c r="N20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M4" i="4"/>
  <c r="M5" i="4"/>
  <c r="M6" i="4"/>
  <c r="M7" i="4"/>
  <c r="M8" i="4"/>
  <c r="M9" i="4"/>
  <c r="M10" i="4"/>
  <c r="M11" i="4"/>
  <c r="M12" i="4"/>
  <c r="M13" i="4"/>
  <c r="M3" i="4"/>
  <c r="D15" i="2"/>
  <c r="D17" i="2"/>
  <c r="C13" i="11" s="1"/>
  <c r="D7" i="2"/>
  <c r="D8" i="2"/>
  <c r="C4" i="11" s="1"/>
  <c r="D9" i="2"/>
  <c r="D10" i="2"/>
  <c r="C6" i="11" s="1"/>
  <c r="C15" i="2"/>
  <c r="C5" i="11"/>
  <c r="C7" i="11"/>
  <c r="C8" i="11"/>
  <c r="C9" i="11"/>
  <c r="C10" i="11"/>
  <c r="C11" i="11"/>
  <c r="C3" i="1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4" i="10"/>
  <c r="G4" i="10" s="1"/>
  <c r="E5" i="10"/>
  <c r="D5" i="10" s="1"/>
  <c r="E6" i="10"/>
  <c r="D6" i="10" s="1"/>
  <c r="E7" i="10"/>
  <c r="D7" i="10" s="1"/>
  <c r="E8" i="10"/>
  <c r="E9" i="10"/>
  <c r="E10" i="10"/>
  <c r="E11" i="10"/>
  <c r="E12" i="10"/>
  <c r="E13" i="10"/>
  <c r="E14" i="10"/>
  <c r="D14" i="10" s="1"/>
  <c r="E4" i="10"/>
  <c r="D4" i="10" s="1"/>
  <c r="I6" i="10"/>
  <c r="I7" i="10"/>
  <c r="I14" i="10"/>
  <c r="Q12" i="6"/>
  <c r="Q13" i="6"/>
  <c r="Q14" i="6"/>
  <c r="P12" i="6"/>
  <c r="P13" i="6"/>
  <c r="P14" i="6"/>
  <c r="Q4" i="6"/>
  <c r="Q5" i="6"/>
  <c r="Q6" i="6"/>
  <c r="Q7" i="6"/>
  <c r="P4" i="6"/>
  <c r="P5" i="6"/>
  <c r="P6" i="6"/>
  <c r="P7" i="6"/>
  <c r="K5" i="9"/>
  <c r="K6" i="9"/>
  <c r="K7" i="9"/>
  <c r="K8" i="9"/>
  <c r="K9" i="9"/>
  <c r="K10" i="9"/>
  <c r="K11" i="9"/>
  <c r="K12" i="9"/>
  <c r="K13" i="9"/>
  <c r="K14" i="9"/>
  <c r="K4" i="9"/>
  <c r="J5" i="9"/>
  <c r="J6" i="9"/>
  <c r="J7" i="9"/>
  <c r="J8" i="9"/>
  <c r="J9" i="9"/>
  <c r="J10" i="9"/>
  <c r="J11" i="9"/>
  <c r="J12" i="9"/>
  <c r="J13" i="9"/>
  <c r="J14" i="9"/>
  <c r="J4" i="9"/>
  <c r="N9" i="8"/>
  <c r="O9" i="8" s="1"/>
  <c r="N10" i="8"/>
  <c r="O10" i="8"/>
  <c r="N11" i="8"/>
  <c r="O11" i="8" s="1"/>
  <c r="O8" i="8"/>
  <c r="N8" i="8"/>
  <c r="N9" i="7"/>
  <c r="O9" i="7"/>
  <c r="N10" i="7"/>
  <c r="O10" i="7" s="1"/>
  <c r="N11" i="7"/>
  <c r="O11" i="7" s="1"/>
  <c r="N8" i="7"/>
  <c r="O8" i="7" s="1"/>
  <c r="P9" i="6"/>
  <c r="Q9" i="6" s="1"/>
  <c r="P10" i="6"/>
  <c r="Q10" i="6"/>
  <c r="P11" i="6"/>
  <c r="Q11" i="6" s="1"/>
  <c r="Q8" i="6"/>
  <c r="P8" i="6"/>
  <c r="I8" i="5"/>
  <c r="I9" i="5"/>
  <c r="I10" i="5"/>
  <c r="H10" i="5"/>
  <c r="H8" i="5"/>
  <c r="H9" i="5"/>
  <c r="H7" i="5"/>
  <c r="I7" i="5" s="1"/>
  <c r="I21" i="4"/>
  <c r="I22" i="4"/>
  <c r="I23" i="4"/>
  <c r="I24" i="4"/>
  <c r="I8" i="4"/>
  <c r="I9" i="4"/>
  <c r="I10" i="4"/>
  <c r="I7" i="4"/>
  <c r="J6" i="10" l="1"/>
  <c r="D5" i="11" s="1"/>
  <c r="E5" i="11" s="1"/>
  <c r="F5" i="11" s="1"/>
  <c r="J4" i="10"/>
  <c r="D3" i="11" s="1"/>
  <c r="J5" i="10"/>
  <c r="D4" i="11" s="1"/>
  <c r="E4" i="11" s="1"/>
  <c r="F4" i="11" s="1"/>
  <c r="J11" i="10"/>
  <c r="D10" i="11" s="1"/>
  <c r="E10" i="11" s="1"/>
  <c r="F10" i="11" s="1"/>
  <c r="J10" i="10"/>
  <c r="D9" i="11" s="1"/>
  <c r="E9" i="11" s="1"/>
  <c r="F9" i="11" s="1"/>
  <c r="J9" i="10"/>
  <c r="D8" i="11" s="1"/>
  <c r="E8" i="11" s="1"/>
  <c r="F8" i="11" s="1"/>
  <c r="J8" i="10"/>
  <c r="D7" i="11" s="1"/>
  <c r="E7" i="11" s="1"/>
  <c r="F7" i="11" s="1"/>
  <c r="J7" i="10"/>
  <c r="D6" i="11" s="1"/>
  <c r="E6" i="11" s="1"/>
  <c r="F6" i="11" s="1"/>
  <c r="J14" i="10"/>
  <c r="D13" i="11" s="1"/>
  <c r="E13" i="11" s="1"/>
  <c r="F13" i="11" s="1"/>
  <c r="J13" i="10"/>
  <c r="D12" i="11" s="1"/>
  <c r="E12" i="11" s="1"/>
  <c r="F12" i="11" s="1"/>
  <c r="E3" i="11"/>
  <c r="F3" i="11" s="1"/>
  <c r="J12" i="10"/>
  <c r="D11" i="11" s="1"/>
  <c r="E11" i="11" s="1"/>
  <c r="F11" i="11" s="1"/>
  <c r="D12" i="2" l="1"/>
  <c r="D13" i="2"/>
  <c r="D14" i="2"/>
  <c r="D11" i="2"/>
</calcChain>
</file>

<file path=xl/sharedStrings.xml><?xml version="1.0" encoding="utf-8"?>
<sst xmlns="http://schemas.openxmlformats.org/spreadsheetml/2006/main" count="236" uniqueCount="92">
  <si>
    <t>Tahun</t>
  </si>
  <si>
    <t>Juta Rp</t>
  </si>
  <si>
    <t>Rp</t>
  </si>
  <si>
    <t>Pupuk</t>
  </si>
  <si>
    <t>Produksi (Ribu Ton)</t>
  </si>
  <si>
    <t>Non Pupuk</t>
  </si>
  <si>
    <t>Amoniak</t>
  </si>
  <si>
    <t>Total</t>
  </si>
  <si>
    <t>Asam Sulfat</t>
  </si>
  <si>
    <t>Asam Fosfat</t>
  </si>
  <si>
    <t>Alumunium Florida</t>
  </si>
  <si>
    <t>Lain-lain</t>
  </si>
  <si>
    <t>Total Produksi</t>
  </si>
  <si>
    <t>Penjualan Pupuk</t>
  </si>
  <si>
    <t>Penjualan Non Pupuk</t>
  </si>
  <si>
    <t>MMSCF</t>
  </si>
  <si>
    <t>Perusahaan</t>
  </si>
  <si>
    <t>PT Pupuk Sriwidjaja</t>
  </si>
  <si>
    <t>PT Pupuk Kujang</t>
  </si>
  <si>
    <t>PT Petrokimia Gresik</t>
  </si>
  <si>
    <t>PT Pupuk Kalimantan Timur</t>
  </si>
  <si>
    <t>PT Pupuk Iskandar Muda</t>
  </si>
  <si>
    <t>Total Konsumsi Gas</t>
  </si>
  <si>
    <t>Gas Sebagai Pemanas (MMSCF)</t>
  </si>
  <si>
    <t>Gas Sebagai Bahan Baku (MMSCF)</t>
  </si>
  <si>
    <t>Batubara</t>
  </si>
  <si>
    <t>Ton</t>
  </si>
  <si>
    <t>GJ</t>
  </si>
  <si>
    <t>Listrik</t>
  </si>
  <si>
    <t>PT Pupuk Indonesia (Persero)</t>
  </si>
  <si>
    <t>PT Pupuk Sriwidjaja Palembang</t>
  </si>
  <si>
    <t>KWh</t>
  </si>
  <si>
    <t>Liter</t>
  </si>
  <si>
    <t>IPPU</t>
  </si>
  <si>
    <t>Energi</t>
  </si>
  <si>
    <t>Emisi GRK (Ton/Year)</t>
  </si>
  <si>
    <t>Kwh</t>
  </si>
  <si>
    <t>Ton CO2e</t>
  </si>
  <si>
    <t>BBM</t>
  </si>
  <si>
    <t>Gas</t>
  </si>
  <si>
    <t>GJ/KWh</t>
  </si>
  <si>
    <t>GJ/MMSCF</t>
  </si>
  <si>
    <t>BOE</t>
  </si>
  <si>
    <t>GJ/BOE</t>
  </si>
  <si>
    <t>Penggunaan Energi</t>
  </si>
  <si>
    <t>Pendapatan</t>
  </si>
  <si>
    <t>Konsumsi Energi</t>
  </si>
  <si>
    <t>Intensitas Energi</t>
  </si>
  <si>
    <t>GJ/Rp</t>
  </si>
  <si>
    <t>BOE/GJ</t>
  </si>
  <si>
    <t>BOE/Rp</t>
  </si>
  <si>
    <t>Penggunaan Gas Total</t>
  </si>
  <si>
    <t>MMBTU</t>
  </si>
  <si>
    <t>MMBTU/MMSCF</t>
  </si>
  <si>
    <t>Produksi Goods</t>
  </si>
  <si>
    <t>Penggunaan Batubara Total</t>
  </si>
  <si>
    <t>Total Konsumsi Listrik (PLN + IPP)</t>
  </si>
  <si>
    <t>Liter/BOE</t>
  </si>
  <si>
    <t>Limbah Cair</t>
  </si>
  <si>
    <t>m3/Tahun</t>
  </si>
  <si>
    <t>ke Badan Air</t>
  </si>
  <si>
    <t>Nox</t>
  </si>
  <si>
    <t>SO2</t>
  </si>
  <si>
    <t>Partikulat</t>
  </si>
  <si>
    <t>NH3</t>
  </si>
  <si>
    <t>Fluor</t>
  </si>
  <si>
    <t>Ton/Tahun</t>
  </si>
  <si>
    <t>Emisi Udara</t>
  </si>
  <si>
    <t>Beban Pencemar</t>
  </si>
  <si>
    <t>COD</t>
  </si>
  <si>
    <t>TSS</t>
  </si>
  <si>
    <t>Oil &amp; Grease</t>
  </si>
  <si>
    <t>Ammonia</t>
  </si>
  <si>
    <t>TKN</t>
  </si>
  <si>
    <t>Debit</t>
  </si>
  <si>
    <t>kg/Ton Urea</t>
  </si>
  <si>
    <t>m3/Ton Urea</t>
  </si>
  <si>
    <t>Produksi (Ton)</t>
  </si>
  <si>
    <t>Intensitas Limbah</t>
  </si>
  <si>
    <t>Cair</t>
  </si>
  <si>
    <t>Produksi Total</t>
  </si>
  <si>
    <t>Ton/Year</t>
  </si>
  <si>
    <t>m3/Ton</t>
  </si>
  <si>
    <t>Ton/Ton</t>
  </si>
  <si>
    <t>Time</t>
  </si>
  <si>
    <t>ippu production[fertilizer]</t>
  </si>
  <si>
    <t>IPPU VA Desired[fertilizer]</t>
  </si>
  <si>
    <t>Production</t>
  </si>
  <si>
    <t>GJ/Ton</t>
  </si>
  <si>
    <t>Emission Intensity</t>
  </si>
  <si>
    <t>Ton CO2e/Ton Production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</si>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</sst>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6" xfId="0" applyBorder="1"/>
    <xf numFmtId="0" fontId="0" fillId="0" borderId="1" xfId="0" applyFill="1" applyBorder="1"/>
    <xf numFmtId="0" fontId="0" fillId="0" borderId="0" xfId="0" applyBorder="1" applyAlignment="1">
      <alignment wrapText="1"/>
    </xf>
    <xf numFmtId="43" fontId="0" fillId="0" borderId="0" xfId="1" applyFont="1"/>
    <xf numFmtId="43" fontId="0" fillId="0" borderId="1" xfId="1" applyFont="1" applyBorder="1"/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11" xfId="0" applyBorder="1"/>
    <xf numFmtId="0" fontId="0" fillId="0" borderId="1" xfId="0" applyBorder="1" applyAlignment="1">
      <alignment horizontal="center" vertical="center"/>
    </xf>
    <xf numFmtId="43" fontId="0" fillId="0" borderId="1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43" fontId="0" fillId="0" borderId="1" xfId="1" applyFont="1" applyBorder="1" applyAlignment="1">
      <alignment wrapText="1"/>
    </xf>
    <xf numFmtId="3" fontId="0" fillId="0" borderId="0" xfId="0" applyNumberFormat="1"/>
    <xf numFmtId="43" fontId="0" fillId="0" borderId="3" xfId="1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11" fontId="0" fillId="0" borderId="0" xfId="0" applyNumberForma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0" xfId="0" applyFill="1"/>
    <xf numFmtId="43" fontId="0" fillId="2" borderId="0" xfId="0" applyNumberFormat="1" applyFill="1"/>
    <xf numFmtId="0" fontId="0" fillId="5" borderId="1" xfId="0" applyFill="1" applyBorder="1"/>
    <xf numFmtId="43" fontId="0" fillId="5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workbookViewId="0">
      <selection activeCell="E15" sqref="E15"/>
    </sheetView>
  </sheetViews>
  <sheetFormatPr defaultRowHeight="15" x14ac:dyDescent="0.25"/>
  <cols>
    <col min="1" max="1" width="23.85546875" customWidth="1"/>
    <col min="4" max="16" width="21.7109375" bestFit="1" customWidth="1"/>
  </cols>
  <sheetData>
    <row r="1" spans="1:17" x14ac:dyDescent="0.25">
      <c r="A1" t="s">
        <v>84</v>
      </c>
      <c r="B1" s="4">
        <v>2005</v>
      </c>
      <c r="C1" s="4">
        <v>2006</v>
      </c>
      <c r="D1" s="4">
        <v>2007</v>
      </c>
      <c r="E1" s="4">
        <v>2008</v>
      </c>
      <c r="F1" s="4">
        <v>2009</v>
      </c>
      <c r="G1" s="4">
        <v>2010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M1" s="4">
        <v>2016</v>
      </c>
      <c r="N1" s="4">
        <v>2017</v>
      </c>
      <c r="O1" s="4">
        <v>2018</v>
      </c>
      <c r="P1" s="4">
        <v>2019</v>
      </c>
      <c r="Q1" s="4">
        <v>2020</v>
      </c>
    </row>
    <row r="2" spans="1:17" x14ac:dyDescent="0.25">
      <c r="A2" t="s">
        <v>85</v>
      </c>
      <c r="D2" s="10">
        <f>VLOOKUP(D1,'Produksi Pupuk'!$B$4:$E$19,4)</f>
        <v>7944649</v>
      </c>
      <c r="E2" s="10">
        <f>VLOOKUP(E1,'Produksi Pupuk'!$B$4:$E$19,4)</f>
        <v>8598846</v>
      </c>
      <c r="F2" s="10">
        <f>VLOOKUP(F1,'Produksi Pupuk'!$B$4:$E$19,4)</f>
        <v>10508263</v>
      </c>
      <c r="G2" s="10">
        <f>VLOOKUP(G1,'Produksi Pupuk'!$B$4:$E$19,4)</f>
        <v>10309251</v>
      </c>
      <c r="H2" s="10">
        <f>VLOOKUP(H1,'Produksi Pupuk'!$B$4:$E$19,4)</f>
        <v>10552349</v>
      </c>
      <c r="I2" s="10">
        <f>VLOOKUP(I1,'Produksi Pupuk'!$B$4:$E$19,4)</f>
        <v>11926412</v>
      </c>
      <c r="J2" s="10">
        <f>VLOOKUP(J1,'Produksi Pupuk'!$B$4:$E$19,4)</f>
        <v>11439125</v>
      </c>
      <c r="K2" s="10">
        <f>VLOOKUP(K1,'Produksi Pupuk'!$B$4:$E$19,4)</f>
        <v>11263944</v>
      </c>
      <c r="L2" s="10">
        <f>VLOOKUP(L1,'Produksi Pupuk'!$B$4:$E$19,4)</f>
        <v>17608348</v>
      </c>
      <c r="M2" s="10">
        <f>VLOOKUP(M1,'Produksi Pupuk'!$B$4:$E$19,4)</f>
        <v>17214421</v>
      </c>
      <c r="N2" s="10">
        <f>VLOOKUP(N1,'Produksi Pupuk'!$B$4:$E$19,4)</f>
        <v>18372029</v>
      </c>
      <c r="O2" s="10">
        <f>VLOOKUP(O1,'Produksi Pupuk'!$B$4:$E$19,4)</f>
        <v>18462166</v>
      </c>
      <c r="P2" s="10">
        <f>VLOOKUP(P1,'Produksi Pupuk'!$B$4:$E$19,4)</f>
        <v>18910392</v>
      </c>
    </row>
    <row r="3" spans="1:17" x14ac:dyDescent="0.25">
      <c r="A3" t="s">
        <v>86</v>
      </c>
      <c r="D3" s="10">
        <f>VLOOKUP(D1,Pendapatan!$B$3:$D$17,3)</f>
        <v>22218785000000</v>
      </c>
      <c r="E3" s="10">
        <f>VLOOKUP(E1,Pendapatan!$B$3:$D$17,3)</f>
        <v>36036743000000</v>
      </c>
      <c r="F3" s="10">
        <f>VLOOKUP(F1,Pendapatan!$B$3:$D$17,3)</f>
        <v>34209998000000</v>
      </c>
      <c r="G3" s="10">
        <f>VLOOKUP(G1,Pendapatan!$B$3:$D$17,3)</f>
        <v>32676371000000</v>
      </c>
      <c r="H3" s="10">
        <f>VLOOKUP(H1,Pendapatan!$B$3:$D$17,3)</f>
        <v>40773954000000</v>
      </c>
      <c r="I3" s="10">
        <f>VLOOKUP(I1,Pendapatan!$B$3:$D$17,3)</f>
        <v>51261674000000</v>
      </c>
      <c r="J3" s="10">
        <f>VLOOKUP(J1,Pendapatan!$B$3:$D$17,3)</f>
        <v>56320230000000</v>
      </c>
      <c r="K3" s="10">
        <f>VLOOKUP(K1,Pendapatan!$B$3:$D$17,3)</f>
        <v>65209676000000</v>
      </c>
      <c r="L3" s="10">
        <f>VLOOKUP(L1,Pendapatan!$B$3:$D$17,3)</f>
        <v>66532867000000</v>
      </c>
      <c r="M3" s="10">
        <f>VLOOKUP(M1,Pendapatan!$B$3:$D$17,3)</f>
        <v>64368382000000</v>
      </c>
      <c r="N3" s="10">
        <f>VLOOKUP(N1,Pendapatan!$B$3:$D$17,3)</f>
        <v>59154748000000</v>
      </c>
      <c r="O3" s="10">
        <f>VLOOKUP(O1,Pendapatan!$B$3:$D$17,3)</f>
        <v>69450000000000</v>
      </c>
      <c r="P3" s="10">
        <f>VLOOKUP(P1,Pendapatan!$B$3:$D$17,3)</f>
        <v>71310000000000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FE90-39D2-4BD2-97F8-CEC83EDB7032}">
  <dimension ref="B1:Q14"/>
  <sheetViews>
    <sheetView workbookViewId="0">
      <selection activeCell="L11" sqref="L11"/>
    </sheetView>
  </sheetViews>
  <sheetFormatPr defaultRowHeight="15" x14ac:dyDescent="0.25"/>
  <cols>
    <col min="3" max="3" width="13.28515625" bestFit="1" customWidth="1"/>
    <col min="4" max="4" width="10.5703125" bestFit="1" customWidth="1"/>
    <col min="5" max="6" width="11.5703125" bestFit="1" customWidth="1"/>
    <col min="7" max="7" width="15.28515625" bestFit="1" customWidth="1"/>
    <col min="8" max="8" width="16.85546875" bestFit="1" customWidth="1"/>
    <col min="9" max="9" width="13.28515625" bestFit="1" customWidth="1"/>
    <col min="10" max="10" width="15.28515625" bestFit="1" customWidth="1"/>
    <col min="11" max="11" width="15.5703125" customWidth="1"/>
    <col min="12" max="12" width="15.85546875" bestFit="1" customWidth="1"/>
    <col min="13" max="13" width="10.42578125" bestFit="1" customWidth="1"/>
  </cols>
  <sheetData>
    <row r="1" spans="2:17" x14ac:dyDescent="0.25">
      <c r="B1" s="29" t="s">
        <v>44</v>
      </c>
      <c r="C1" s="29"/>
      <c r="D1" s="29"/>
      <c r="E1" s="29"/>
      <c r="F1" s="29"/>
      <c r="G1" s="29"/>
      <c r="H1" s="29"/>
      <c r="I1" s="29"/>
      <c r="J1" s="30" t="s">
        <v>7</v>
      </c>
      <c r="K1" s="30" t="s">
        <v>87</v>
      </c>
      <c r="L1" s="30" t="s">
        <v>47</v>
      </c>
      <c r="P1" s="2">
        <v>3.5999999999999999E-3</v>
      </c>
      <c r="Q1" s="2" t="s">
        <v>40</v>
      </c>
    </row>
    <row r="2" spans="2:17" x14ac:dyDescent="0.25">
      <c r="B2" s="30" t="s">
        <v>0</v>
      </c>
      <c r="C2" s="38" t="s">
        <v>38</v>
      </c>
      <c r="D2" s="44"/>
      <c r="E2" s="43"/>
      <c r="F2" s="38" t="s">
        <v>39</v>
      </c>
      <c r="G2" s="43"/>
      <c r="H2" s="38" t="s">
        <v>28</v>
      </c>
      <c r="I2" s="43"/>
      <c r="J2" s="30"/>
      <c r="K2" s="30"/>
      <c r="L2" s="30"/>
      <c r="P2" s="2">
        <v>1055.06</v>
      </c>
      <c r="Q2" s="2" t="s">
        <v>41</v>
      </c>
    </row>
    <row r="3" spans="2:17" x14ac:dyDescent="0.25">
      <c r="B3" s="30"/>
      <c r="C3" s="15" t="s">
        <v>32</v>
      </c>
      <c r="D3" s="2" t="s">
        <v>42</v>
      </c>
      <c r="E3" s="2" t="s">
        <v>27</v>
      </c>
      <c r="F3" s="2" t="s">
        <v>15</v>
      </c>
      <c r="G3" s="2" t="s">
        <v>27</v>
      </c>
      <c r="H3" s="2" t="s">
        <v>36</v>
      </c>
      <c r="I3" s="2" t="s">
        <v>27</v>
      </c>
      <c r="J3" s="8" t="s">
        <v>27</v>
      </c>
      <c r="K3" s="2" t="s">
        <v>26</v>
      </c>
      <c r="L3" s="2" t="s">
        <v>88</v>
      </c>
      <c r="P3" s="2">
        <v>6.1178600000000003</v>
      </c>
      <c r="Q3" s="2" t="s">
        <v>43</v>
      </c>
    </row>
    <row r="4" spans="2:17" x14ac:dyDescent="0.25">
      <c r="B4" s="2">
        <v>2010</v>
      </c>
      <c r="C4" s="2"/>
      <c r="D4" s="11">
        <f>E4/$P$3</f>
        <v>0</v>
      </c>
      <c r="E4" s="11">
        <f>'Penggunaan BBM'!O4</f>
        <v>0</v>
      </c>
      <c r="F4" s="11">
        <f>'Penggunaan Gas'!I3+'Penggunaan Gas'!I17</f>
        <v>0</v>
      </c>
      <c r="G4" s="11">
        <f>F4*$P$2</f>
        <v>0</v>
      </c>
      <c r="H4" s="11">
        <f>'Penggunaan Listrik Non PLN'!N20</f>
        <v>0</v>
      </c>
      <c r="I4" s="11">
        <f>H4*$P$1</f>
        <v>0</v>
      </c>
      <c r="J4" s="11">
        <f>E4+G4+I4</f>
        <v>0</v>
      </c>
      <c r="K4" s="16">
        <f>'Produksi Pupuk'!E9</f>
        <v>10309251</v>
      </c>
      <c r="L4" s="2"/>
      <c r="M4">
        <f t="shared" ref="M4:M5" si="0">M5*(1-$M$11)</f>
        <v>24.454697189132393</v>
      </c>
      <c r="P4">
        <v>158.99</v>
      </c>
      <c r="Q4" s="17" t="s">
        <v>57</v>
      </c>
    </row>
    <row r="5" spans="2:17" x14ac:dyDescent="0.25">
      <c r="B5" s="2">
        <v>2011</v>
      </c>
      <c r="C5" s="2"/>
      <c r="D5" s="11">
        <f>E5/$P$3</f>
        <v>0</v>
      </c>
      <c r="E5" s="11">
        <f>'Penggunaan BBM'!O5</f>
        <v>0</v>
      </c>
      <c r="F5" s="11">
        <f>'Penggunaan Gas'!I4+'Penggunaan Gas'!I18</f>
        <v>0</v>
      </c>
      <c r="G5" s="11">
        <f>F5*$P$2</f>
        <v>0</v>
      </c>
      <c r="H5" s="11">
        <f>'Penggunaan Listrik Non PLN'!N21</f>
        <v>0</v>
      </c>
      <c r="I5" s="11">
        <f>H5*$P$1</f>
        <v>0</v>
      </c>
      <c r="J5" s="11">
        <f t="shared" ref="J5:J14" si="1">E5+G5+I5</f>
        <v>0</v>
      </c>
      <c r="K5" s="16">
        <f>'Produksi Pupuk'!E10</f>
        <v>10552349</v>
      </c>
      <c r="L5" s="2"/>
      <c r="M5">
        <f t="shared" si="0"/>
        <v>22.174668340325574</v>
      </c>
    </row>
    <row r="6" spans="2:17" x14ac:dyDescent="0.25">
      <c r="B6" s="2">
        <v>2012</v>
      </c>
      <c r="C6" s="2"/>
      <c r="D6" s="11">
        <f>E6/$P$3</f>
        <v>0</v>
      </c>
      <c r="E6" s="11">
        <f>'Penggunaan BBM'!O6</f>
        <v>0</v>
      </c>
      <c r="F6" s="11">
        <f>'Penggunaan Gas'!I5+'Penggunaan Gas'!I19</f>
        <v>0</v>
      </c>
      <c r="G6" s="11">
        <f>F6*$P$2</f>
        <v>0</v>
      </c>
      <c r="H6" s="11">
        <f>'Penggunaan Listrik Non PLN'!N22</f>
        <v>0</v>
      </c>
      <c r="I6" s="11">
        <f>H6*$P$1</f>
        <v>0</v>
      </c>
      <c r="J6" s="11">
        <f t="shared" si="1"/>
        <v>0</v>
      </c>
      <c r="K6" s="16">
        <f>'Produksi Pupuk'!E11</f>
        <v>11926412</v>
      </c>
      <c r="L6" s="2"/>
      <c r="M6">
        <f>M7*(1-$M$11)</f>
        <v>20.10721752964313</v>
      </c>
    </row>
    <row r="7" spans="2:17" x14ac:dyDescent="0.25">
      <c r="B7" s="2">
        <v>2013</v>
      </c>
      <c r="C7" s="2"/>
      <c r="D7" s="11">
        <f>E7/$P$3</f>
        <v>0</v>
      </c>
      <c r="E7" s="11">
        <f>'Penggunaan BBM'!O7</f>
        <v>0</v>
      </c>
      <c r="F7" s="11">
        <f>'Penggunaan Gas'!I6+'Penggunaan Gas'!I20</f>
        <v>0</v>
      </c>
      <c r="G7" s="11">
        <f>F7*$P$2</f>
        <v>0</v>
      </c>
      <c r="H7" s="11">
        <f>'Penggunaan Listrik Non PLN'!N23</f>
        <v>0</v>
      </c>
      <c r="I7" s="11">
        <f>H7*$P$1</f>
        <v>0</v>
      </c>
      <c r="J7" s="11">
        <f t="shared" si="1"/>
        <v>0</v>
      </c>
      <c r="K7" s="16">
        <f>'Produksi Pupuk'!E12</f>
        <v>11439125</v>
      </c>
      <c r="L7" s="2"/>
      <c r="M7">
        <f>L8*(1-$M$11)</f>
        <v>18.23252508580482</v>
      </c>
    </row>
    <row r="8" spans="2:17" x14ac:dyDescent="0.25">
      <c r="B8" s="2">
        <v>2014</v>
      </c>
      <c r="C8" s="16">
        <f>'Penggunaan BBM'!N8</f>
        <v>2303683</v>
      </c>
      <c r="D8" s="11">
        <f>C8/$P$4</f>
        <v>14489.483615321718</v>
      </c>
      <c r="E8" s="11">
        <f>'Penggunaan BBM'!O8</f>
        <v>89225.060000000056</v>
      </c>
      <c r="F8" s="11">
        <f>'Penggunaan Gas'!I7+'Penggunaan Gas'!I21</f>
        <v>170686.16</v>
      </c>
      <c r="G8" s="11">
        <f>F8*$P$2</f>
        <v>180084139.96959999</v>
      </c>
      <c r="H8" s="11">
        <f>'Penggunaan Listrik Non PLN'!N24</f>
        <v>1680314457</v>
      </c>
      <c r="I8" s="11">
        <f>H8*$P$1</f>
        <v>6049132.0451999996</v>
      </c>
      <c r="J8" s="11">
        <f t="shared" si="1"/>
        <v>186222497.07479998</v>
      </c>
      <c r="K8" s="16">
        <f>'Produksi Pupuk'!E13</f>
        <v>11263944</v>
      </c>
      <c r="L8" s="2">
        <f>J8/K8</f>
        <v>16.532619220656635</v>
      </c>
    </row>
    <row r="9" spans="2:17" x14ac:dyDescent="0.25">
      <c r="B9" s="2">
        <v>2015</v>
      </c>
      <c r="C9" s="16">
        <f>'Penggunaan BBM'!N9</f>
        <v>2503559</v>
      </c>
      <c r="D9" s="11">
        <f>C9/$P$4</f>
        <v>15746.644443046731</v>
      </c>
      <c r="E9" s="11">
        <f>'Penggunaan BBM'!O9</f>
        <v>97108.179999999702</v>
      </c>
      <c r="F9" s="11">
        <f>'Penggunaan Gas'!I8+'Penggunaan Gas'!I22</f>
        <v>189272.95999999996</v>
      </c>
      <c r="G9" s="11">
        <f>F9*$P$2</f>
        <v>199694329.17759994</v>
      </c>
      <c r="H9" s="11">
        <f>'Penggunaan Listrik Non PLN'!N25</f>
        <v>1852081545</v>
      </c>
      <c r="I9" s="11">
        <f>H9*$P$1</f>
        <v>6667493.5619999999</v>
      </c>
      <c r="J9" s="11">
        <f t="shared" si="1"/>
        <v>206458930.91959995</v>
      </c>
      <c r="K9" s="16">
        <f>'Produksi Pupuk'!E14</f>
        <v>17608348</v>
      </c>
      <c r="L9" s="2">
        <f t="shared" ref="L9:L13" si="2">J9/K9</f>
        <v>11.725059665994786</v>
      </c>
    </row>
    <row r="10" spans="2:17" x14ac:dyDescent="0.25">
      <c r="B10" s="2">
        <v>2016</v>
      </c>
      <c r="C10" s="16">
        <f>'Penggunaan BBM'!N10</f>
        <v>2014709</v>
      </c>
      <c r="D10" s="11">
        <f>C10/$P$4</f>
        <v>12671.922762437889</v>
      </c>
      <c r="E10" s="11">
        <f>'Penggunaan BBM'!O10</f>
        <v>78145.570000000065</v>
      </c>
      <c r="F10" s="11">
        <f>'Penggunaan Gas'!I9+'Penggunaan Gas'!I23</f>
        <v>175275.66</v>
      </c>
      <c r="G10" s="11">
        <f>F10*$P$2</f>
        <v>184926337.8396</v>
      </c>
      <c r="H10" s="11">
        <f>'Penggunaan Listrik Non PLN'!N26</f>
        <v>1883839055</v>
      </c>
      <c r="I10" s="11">
        <f>H10*$P$1</f>
        <v>6781820.5980000002</v>
      </c>
      <c r="J10" s="11">
        <f t="shared" si="1"/>
        <v>191786304.00759998</v>
      </c>
      <c r="K10" s="16">
        <f>'Produksi Pupuk'!E15</f>
        <v>17214421</v>
      </c>
      <c r="L10" s="2">
        <f t="shared" si="2"/>
        <v>11.141025539435802</v>
      </c>
    </row>
    <row r="11" spans="2:17" x14ac:dyDescent="0.25">
      <c r="B11" s="2">
        <v>2017</v>
      </c>
      <c r="C11" s="16">
        <f>'Penggunaan BBM'!N11</f>
        <v>1981352</v>
      </c>
      <c r="D11" s="11">
        <f>C11/$P$4</f>
        <v>12462.117114283916</v>
      </c>
      <c r="E11" s="11">
        <f>'Penggunaan BBM'!O11</f>
        <v>76924.010000000009</v>
      </c>
      <c r="F11" s="11">
        <f>'Penggunaan Gas'!I10+'Penggunaan Gas'!I24</f>
        <v>179957.22</v>
      </c>
      <c r="G11" s="11">
        <f>F11*$P$2</f>
        <v>189865664.5332</v>
      </c>
      <c r="H11" s="11">
        <f>'Penggunaan Listrik Non PLN'!N27</f>
        <v>1903509134</v>
      </c>
      <c r="I11" s="11">
        <f>H11*$P$1</f>
        <v>6852632.8823999995</v>
      </c>
      <c r="J11" s="11">
        <f t="shared" si="1"/>
        <v>196795221.42559999</v>
      </c>
      <c r="K11" s="16">
        <f>'Produksi Pupuk'!E16</f>
        <v>18372029</v>
      </c>
      <c r="L11" s="2">
        <f t="shared" si="2"/>
        <v>10.711675962714843</v>
      </c>
      <c r="M11">
        <f>(L11/L8)^(1/4)-1</f>
        <v>-0.10282132809447664</v>
      </c>
    </row>
    <row r="12" spans="2:17" x14ac:dyDescent="0.25">
      <c r="B12" s="2">
        <v>2018</v>
      </c>
      <c r="C12" s="16">
        <f>'Penggunaan BBM'!N12</f>
        <v>2050790</v>
      </c>
      <c r="D12" s="11">
        <f>C12/$P$4</f>
        <v>12898.861563620352</v>
      </c>
      <c r="E12" s="11">
        <f>'Penggunaan BBM'!O12</f>
        <v>149690</v>
      </c>
      <c r="F12" s="11">
        <f>'Penggunaan Gas'!I11+'Penggunaan Gas'!I25</f>
        <v>0</v>
      </c>
      <c r="G12" s="11">
        <f>F12*$P$2</f>
        <v>0</v>
      </c>
      <c r="H12" s="11">
        <f>'Penggunaan Listrik Non PLN'!N28</f>
        <v>1739432246.3</v>
      </c>
      <c r="I12" s="11">
        <f>H12*$P$1</f>
        <v>6261956.0866799997</v>
      </c>
      <c r="J12" s="11">
        <f t="shared" si="1"/>
        <v>6411646.0866799997</v>
      </c>
      <c r="K12" s="16">
        <f>'Produksi Pupuk'!E17</f>
        <v>18462166</v>
      </c>
      <c r="L12" s="2">
        <f t="shared" si="2"/>
        <v>0.34728569154236832</v>
      </c>
    </row>
    <row r="13" spans="2:17" x14ac:dyDescent="0.25">
      <c r="B13" s="2">
        <v>2019</v>
      </c>
      <c r="C13" s="16">
        <f>'Penggunaan BBM'!N13</f>
        <v>1643975</v>
      </c>
      <c r="D13" s="11">
        <f>C13/$P$4</f>
        <v>10340.115730549091</v>
      </c>
      <c r="E13" s="11">
        <f>'Penggunaan BBM'!O13</f>
        <v>56210</v>
      </c>
      <c r="F13" s="11">
        <f>'Penggunaan Gas'!I12+'Penggunaan Gas'!I26</f>
        <v>0</v>
      </c>
      <c r="G13" s="11">
        <f>F13*$P$2</f>
        <v>0</v>
      </c>
      <c r="H13" s="11">
        <f>'Penggunaan Listrik Non PLN'!N29</f>
        <v>1896317305</v>
      </c>
      <c r="I13" s="11">
        <f>H13*$P$1</f>
        <v>6826742.2979999995</v>
      </c>
      <c r="J13" s="11">
        <f t="shared" si="1"/>
        <v>6882952.2979999995</v>
      </c>
      <c r="K13" s="16">
        <f>'Produksi Pupuk'!E18</f>
        <v>18910392</v>
      </c>
      <c r="L13" s="2">
        <f t="shared" si="2"/>
        <v>0.3639772405564094</v>
      </c>
    </row>
    <row r="14" spans="2:17" x14ac:dyDescent="0.25">
      <c r="B14" s="2">
        <v>2020</v>
      </c>
      <c r="C14" s="2"/>
      <c r="D14" s="11">
        <f>E14/$P$3</f>
        <v>0</v>
      </c>
      <c r="E14" s="11">
        <f>'Penggunaan BBM'!O14</f>
        <v>0</v>
      </c>
      <c r="F14" s="11">
        <f>'Penggunaan Gas'!I13+'Penggunaan Gas'!I27</f>
        <v>0</v>
      </c>
      <c r="G14" s="11">
        <f>F14*$P$2</f>
        <v>0</v>
      </c>
      <c r="H14" s="11">
        <f>'Penggunaan Listrik Non PLN'!N30</f>
        <v>0</v>
      </c>
      <c r="I14" s="11">
        <f>H14*$P$1</f>
        <v>0</v>
      </c>
      <c r="J14" s="11">
        <f t="shared" si="1"/>
        <v>0</v>
      </c>
      <c r="K14" s="16">
        <f>'Produksi Pupuk'!E19</f>
        <v>0</v>
      </c>
      <c r="L14" s="2"/>
    </row>
  </sheetData>
  <mergeCells count="8">
    <mergeCell ref="K1:K2"/>
    <mergeCell ref="L1:L2"/>
    <mergeCell ref="B2:B3"/>
    <mergeCell ref="F2:G2"/>
    <mergeCell ref="H2:I2"/>
    <mergeCell ref="B1:I1"/>
    <mergeCell ref="J1:J2"/>
    <mergeCell ref="C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D0C7-8666-47A9-9BDB-966A7AAE833B}">
  <dimension ref="B1:J13"/>
  <sheetViews>
    <sheetView workbookViewId="0">
      <selection activeCell="G9" sqref="G9"/>
    </sheetView>
  </sheetViews>
  <sheetFormatPr defaultRowHeight="15" x14ac:dyDescent="0.25"/>
  <cols>
    <col min="3" max="3" width="12" bestFit="1" customWidth="1"/>
    <col min="4" max="4" width="15.7109375" bestFit="1" customWidth="1"/>
    <col min="5" max="5" width="20" customWidth="1"/>
    <col min="6" max="6" width="18.85546875" customWidth="1"/>
  </cols>
  <sheetData>
    <row r="1" spans="2:10" x14ac:dyDescent="0.25">
      <c r="B1" s="30" t="s">
        <v>0</v>
      </c>
      <c r="C1" s="2" t="s">
        <v>45</v>
      </c>
      <c r="D1" s="2" t="s">
        <v>46</v>
      </c>
      <c r="E1" s="2" t="s">
        <v>47</v>
      </c>
      <c r="F1" s="2"/>
      <c r="I1">
        <v>0.16345599999999999</v>
      </c>
      <c r="J1" t="s">
        <v>49</v>
      </c>
    </row>
    <row r="2" spans="2:10" x14ac:dyDescent="0.25">
      <c r="B2" s="30"/>
      <c r="C2" s="2" t="s">
        <v>2</v>
      </c>
      <c r="D2" s="2" t="s">
        <v>27</v>
      </c>
      <c r="E2" s="2" t="s">
        <v>48</v>
      </c>
      <c r="F2" s="2" t="s">
        <v>50</v>
      </c>
    </row>
    <row r="3" spans="2:10" x14ac:dyDescent="0.25">
      <c r="B3" s="2">
        <v>2010</v>
      </c>
      <c r="C3" s="2">
        <f>Pendapatan!D7</f>
        <v>32676371000000</v>
      </c>
      <c r="D3" s="2">
        <f>'Total Penggunaan Energi'!J4</f>
        <v>0</v>
      </c>
      <c r="E3" s="2">
        <f>D3/C3</f>
        <v>0</v>
      </c>
      <c r="F3" s="2">
        <f>E3*$I$1</f>
        <v>0</v>
      </c>
    </row>
    <row r="4" spans="2:10" x14ac:dyDescent="0.25">
      <c r="B4" s="2">
        <v>2011</v>
      </c>
      <c r="C4" s="2">
        <f>Pendapatan!D8</f>
        <v>40773954000000</v>
      </c>
      <c r="D4" s="2">
        <f>'Total Penggunaan Energi'!J5</f>
        <v>0</v>
      </c>
      <c r="E4" s="2">
        <f t="shared" ref="E4:E13" si="0">D4/C4</f>
        <v>0</v>
      </c>
      <c r="F4" s="2">
        <f t="shared" ref="F4:F13" si="1">E4*$I$1</f>
        <v>0</v>
      </c>
    </row>
    <row r="5" spans="2:10" x14ac:dyDescent="0.25">
      <c r="B5" s="2">
        <v>2012</v>
      </c>
      <c r="C5" s="2">
        <f>Pendapatan!D9</f>
        <v>51261674000000</v>
      </c>
      <c r="D5" s="2">
        <f>'Total Penggunaan Energi'!J6</f>
        <v>0</v>
      </c>
      <c r="E5" s="2">
        <f t="shared" si="0"/>
        <v>0</v>
      </c>
      <c r="F5" s="2">
        <f t="shared" si="1"/>
        <v>0</v>
      </c>
    </row>
    <row r="6" spans="2:10" x14ac:dyDescent="0.25">
      <c r="B6" s="2">
        <v>2013</v>
      </c>
      <c r="C6" s="2">
        <f>Pendapatan!D10</f>
        <v>56320230000000</v>
      </c>
      <c r="D6" s="2">
        <f>'Total Penggunaan Energi'!J7</f>
        <v>0</v>
      </c>
      <c r="E6" s="2">
        <f t="shared" si="0"/>
        <v>0</v>
      </c>
      <c r="F6" s="2">
        <f t="shared" si="1"/>
        <v>0</v>
      </c>
    </row>
    <row r="7" spans="2:10" x14ac:dyDescent="0.25">
      <c r="B7" s="2">
        <v>2014</v>
      </c>
      <c r="C7" s="2">
        <f>Pendapatan!D11</f>
        <v>65209676000000</v>
      </c>
      <c r="D7" s="2">
        <f>'Total Penggunaan Energi'!J8</f>
        <v>186222497.07479998</v>
      </c>
      <c r="E7" s="2">
        <f t="shared" si="0"/>
        <v>2.8557494607824762E-6</v>
      </c>
      <c r="F7" s="2">
        <f t="shared" si="1"/>
        <v>4.6678938386166041E-7</v>
      </c>
    </row>
    <row r="8" spans="2:10" x14ac:dyDescent="0.25">
      <c r="B8" s="2">
        <v>2015</v>
      </c>
      <c r="C8" s="2">
        <f>Pendapatan!D12</f>
        <v>66532867000000</v>
      </c>
      <c r="D8" s="2">
        <f>'Total Penggunaan Energi'!J9</f>
        <v>206458930.91959995</v>
      </c>
      <c r="E8" s="2">
        <f t="shared" si="0"/>
        <v>3.1031118938493956E-6</v>
      </c>
      <c r="F8" s="2">
        <f t="shared" si="1"/>
        <v>5.072222577210468E-7</v>
      </c>
    </row>
    <row r="9" spans="2:10" x14ac:dyDescent="0.25">
      <c r="B9" s="2">
        <v>2016</v>
      </c>
      <c r="C9" s="2">
        <f>Pendapatan!D13</f>
        <v>64368382000000</v>
      </c>
      <c r="D9" s="2">
        <f>'Total Penggunaan Energi'!J10</f>
        <v>191786304.00759998</v>
      </c>
      <c r="E9" s="2">
        <f t="shared" si="0"/>
        <v>2.9795110277527246E-6</v>
      </c>
      <c r="F9" s="2">
        <f t="shared" si="1"/>
        <v>4.8701895455234933E-7</v>
      </c>
    </row>
    <row r="10" spans="2:10" x14ac:dyDescent="0.25">
      <c r="B10" s="2">
        <v>2017</v>
      </c>
      <c r="C10" s="2">
        <f>Pendapatan!D14</f>
        <v>59154748000000</v>
      </c>
      <c r="D10" s="2">
        <f>'Total Penggunaan Energi'!J11</f>
        <v>196795221.42559999</v>
      </c>
      <c r="E10" s="2">
        <f t="shared" si="0"/>
        <v>3.3267865738452643E-6</v>
      </c>
      <c r="F10" s="2">
        <f t="shared" si="1"/>
        <v>5.437832262144515E-7</v>
      </c>
    </row>
    <row r="11" spans="2:10" x14ac:dyDescent="0.25">
      <c r="B11" s="2">
        <v>2018</v>
      </c>
      <c r="C11" s="2">
        <f>Pendapatan!D15</f>
        <v>69450000000000</v>
      </c>
      <c r="D11" s="2">
        <f>'Total Penggunaan Energi'!J12</f>
        <v>6411646.0866799997</v>
      </c>
      <c r="E11" s="2">
        <f t="shared" si="0"/>
        <v>9.2320318022750178E-8</v>
      </c>
      <c r="F11" s="2">
        <f t="shared" si="1"/>
        <v>1.5090309902726651E-8</v>
      </c>
    </row>
    <row r="12" spans="2:10" x14ac:dyDescent="0.25">
      <c r="B12" s="2">
        <v>2019</v>
      </c>
      <c r="C12" s="2">
        <f>Pendapatan!D16</f>
        <v>71310000000000</v>
      </c>
      <c r="D12" s="2">
        <f>'Total Penggunaan Energi'!J13</f>
        <v>6882952.2979999995</v>
      </c>
      <c r="E12" s="2">
        <f t="shared" si="0"/>
        <v>9.6521557958210617E-8</v>
      </c>
      <c r="F12" s="2">
        <f t="shared" si="1"/>
        <v>1.5777027777617275E-8</v>
      </c>
    </row>
    <row r="13" spans="2:10" x14ac:dyDescent="0.25">
      <c r="B13" s="2">
        <v>2020</v>
      </c>
      <c r="C13" s="2">
        <f>Pendapatan!D17</f>
        <v>0</v>
      </c>
      <c r="D13" s="2">
        <f>'Total Penggunaan Energi'!J14</f>
        <v>0</v>
      </c>
      <c r="E13" s="2" t="e">
        <f t="shared" si="0"/>
        <v>#DIV/0!</v>
      </c>
      <c r="F13" s="2" t="e">
        <f t="shared" si="1"/>
        <v>#DIV/0!</v>
      </c>
    </row>
  </sheetData>
  <mergeCells count="1">
    <mergeCell ref="B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5072-0E03-45AD-8B73-E6060F982BA9}">
  <dimension ref="B1:Q15"/>
  <sheetViews>
    <sheetView tabSelected="1" workbookViewId="0">
      <selection activeCell="N23" sqref="N23"/>
    </sheetView>
  </sheetViews>
  <sheetFormatPr defaultRowHeight="15" x14ac:dyDescent="0.25"/>
  <cols>
    <col min="2" max="2" width="11.140625" customWidth="1"/>
    <col min="16" max="16" width="14.28515625" bestFit="1" customWidth="1"/>
    <col min="17" max="17" width="24.140625" bestFit="1" customWidth="1"/>
  </cols>
  <sheetData>
    <row r="1" spans="2:17" x14ac:dyDescent="0.25">
      <c r="C1" s="31" t="s">
        <v>0</v>
      </c>
      <c r="D1" s="32" t="s">
        <v>16</v>
      </c>
      <c r="E1" s="32"/>
      <c r="F1" s="32"/>
      <c r="G1" s="32"/>
      <c r="H1" s="32"/>
      <c r="I1" s="32"/>
      <c r="J1" s="32"/>
      <c r="K1" s="32"/>
      <c r="L1" s="32"/>
      <c r="M1" s="32"/>
      <c r="N1" s="45" t="s">
        <v>7</v>
      </c>
      <c r="O1" s="46"/>
      <c r="P1" s="60" t="s">
        <v>87</v>
      </c>
      <c r="Q1" s="58" t="s">
        <v>89</v>
      </c>
    </row>
    <row r="2" spans="2:17" ht="27.75" customHeight="1" x14ac:dyDescent="0.25">
      <c r="C2" s="31"/>
      <c r="D2" s="31" t="s">
        <v>19</v>
      </c>
      <c r="E2" s="31"/>
      <c r="F2" s="31" t="s">
        <v>18</v>
      </c>
      <c r="G2" s="31"/>
      <c r="H2" s="31" t="s">
        <v>20</v>
      </c>
      <c r="I2" s="31"/>
      <c r="J2" s="31" t="s">
        <v>21</v>
      </c>
      <c r="K2" s="31"/>
      <c r="L2" s="31" t="s">
        <v>30</v>
      </c>
      <c r="M2" s="31"/>
      <c r="N2" s="47"/>
      <c r="O2" s="48"/>
      <c r="P2" s="60" t="s">
        <v>26</v>
      </c>
      <c r="Q2" s="58" t="s">
        <v>90</v>
      </c>
    </row>
    <row r="3" spans="2:17" x14ac:dyDescent="0.25">
      <c r="C3" s="31"/>
      <c r="D3" s="4" t="s">
        <v>33</v>
      </c>
      <c r="E3" s="4" t="s">
        <v>34</v>
      </c>
      <c r="F3" s="4" t="s">
        <v>33</v>
      </c>
      <c r="G3" s="4" t="s">
        <v>34</v>
      </c>
      <c r="H3" s="4" t="s">
        <v>33</v>
      </c>
      <c r="I3" s="4" t="s">
        <v>34</v>
      </c>
      <c r="J3" s="4" t="s">
        <v>33</v>
      </c>
      <c r="K3" s="4" t="s">
        <v>34</v>
      </c>
      <c r="L3" s="4" t="s">
        <v>33</v>
      </c>
      <c r="M3" s="4" t="s">
        <v>34</v>
      </c>
      <c r="N3" s="2" t="s">
        <v>33</v>
      </c>
      <c r="O3" s="2" t="s">
        <v>34</v>
      </c>
      <c r="P3" s="60"/>
      <c r="Q3" s="58"/>
    </row>
    <row r="4" spans="2:17" x14ac:dyDescent="0.25">
      <c r="B4" s="39" t="s">
        <v>35</v>
      </c>
      <c r="C4" s="4">
        <v>2010</v>
      </c>
      <c r="D4" s="4"/>
      <c r="E4" s="4"/>
      <c r="F4" s="4"/>
      <c r="G4" s="4"/>
      <c r="H4" s="4"/>
      <c r="I4" s="4"/>
      <c r="J4" s="4"/>
      <c r="K4" s="4"/>
      <c r="L4" s="4"/>
      <c r="M4" s="4"/>
      <c r="N4" s="2"/>
      <c r="O4" s="2"/>
      <c r="P4" s="61">
        <f>'Produksi Pupuk'!E9</f>
        <v>10309251</v>
      </c>
      <c r="Q4" s="58"/>
    </row>
    <row r="5" spans="2:17" x14ac:dyDescent="0.25">
      <c r="B5" s="40"/>
      <c r="C5" s="4">
        <v>2011</v>
      </c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2"/>
      <c r="P5" s="61">
        <f>'Produksi Pupuk'!E10</f>
        <v>10552349</v>
      </c>
      <c r="Q5" s="58"/>
    </row>
    <row r="6" spans="2:17" x14ac:dyDescent="0.25">
      <c r="B6" s="40"/>
      <c r="C6" s="4">
        <v>2012</v>
      </c>
      <c r="D6" s="4"/>
      <c r="E6" s="4"/>
      <c r="F6" s="4"/>
      <c r="G6" s="4"/>
      <c r="H6" s="4"/>
      <c r="I6" s="4"/>
      <c r="J6" s="4"/>
      <c r="K6" s="4"/>
      <c r="L6" s="4"/>
      <c r="M6" s="4"/>
      <c r="N6" s="2"/>
      <c r="O6" s="2"/>
      <c r="P6" s="61">
        <f>'Produksi Pupuk'!E11</f>
        <v>11926412</v>
      </c>
      <c r="Q6" s="58"/>
    </row>
    <row r="7" spans="2:17" x14ac:dyDescent="0.25">
      <c r="B7" s="40"/>
      <c r="C7" s="4">
        <v>2013</v>
      </c>
      <c r="D7" s="4"/>
      <c r="E7" s="4"/>
      <c r="F7" s="4"/>
      <c r="G7" s="4"/>
      <c r="H7" s="4"/>
      <c r="I7" s="4"/>
      <c r="J7" s="4"/>
      <c r="K7" s="4"/>
      <c r="L7" s="4"/>
      <c r="M7" s="4"/>
      <c r="N7" s="2"/>
      <c r="O7" s="2"/>
      <c r="P7" s="61">
        <f>'Produksi Pupuk'!E12</f>
        <v>11439125</v>
      </c>
      <c r="Q7" s="58"/>
    </row>
    <row r="8" spans="2:17" x14ac:dyDescent="0.25">
      <c r="B8" s="40"/>
      <c r="C8" s="4">
        <v>2014</v>
      </c>
      <c r="D8" s="4">
        <v>411861</v>
      </c>
      <c r="E8" s="4">
        <v>1171808</v>
      </c>
      <c r="F8" s="4">
        <v>252167</v>
      </c>
      <c r="G8" s="4">
        <v>1035778</v>
      </c>
      <c r="H8" s="4">
        <v>1065668.3</v>
      </c>
      <c r="I8" s="4">
        <v>3963793.85</v>
      </c>
      <c r="J8" s="4">
        <v>103072.91</v>
      </c>
      <c r="K8" s="4">
        <v>164259.35</v>
      </c>
      <c r="L8" s="4">
        <v>484147</v>
      </c>
      <c r="M8" s="4">
        <v>2543693</v>
      </c>
      <c r="N8" s="2">
        <f>D8+F8+H8+J8+L8</f>
        <v>2316916.21</v>
      </c>
      <c r="O8" s="2">
        <f>SUM(D8:M8)-N8</f>
        <v>8879332.1999999993</v>
      </c>
      <c r="P8" s="61">
        <f>'Produksi Pupuk'!E13</f>
        <v>11263944</v>
      </c>
      <c r="Q8" s="59">
        <f>P8/N8</f>
        <v>4.8616104248327563</v>
      </c>
    </row>
    <row r="9" spans="2:17" x14ac:dyDescent="0.25">
      <c r="B9" s="40"/>
      <c r="C9" s="4">
        <v>2015</v>
      </c>
      <c r="D9" s="4">
        <v>412180</v>
      </c>
      <c r="E9" s="4">
        <v>1062990</v>
      </c>
      <c r="F9" s="4">
        <v>219208</v>
      </c>
      <c r="G9" s="4">
        <v>1080575</v>
      </c>
      <c r="H9" s="4">
        <v>1734400.28</v>
      </c>
      <c r="I9" s="4">
        <v>4218136.38</v>
      </c>
      <c r="J9" s="4">
        <v>107791.3</v>
      </c>
      <c r="K9" s="4">
        <v>197585.51</v>
      </c>
      <c r="L9" s="4">
        <v>554897</v>
      </c>
      <c r="M9" s="4">
        <v>2438146</v>
      </c>
      <c r="N9" s="2">
        <f t="shared" ref="N9:N11" si="0">D9+F9+H9+J9+L9</f>
        <v>3028476.58</v>
      </c>
      <c r="O9" s="2">
        <f t="shared" ref="O9:O11" si="1">SUM(D9:M9)-N9</f>
        <v>8997432.8900000006</v>
      </c>
      <c r="P9" s="61">
        <f>'Produksi Pupuk'!E14</f>
        <v>17608348</v>
      </c>
      <c r="Q9" s="59">
        <f t="shared" ref="Q9:Q11" si="2">P9/N9</f>
        <v>5.8142592603440244</v>
      </c>
    </row>
    <row r="10" spans="2:17" x14ac:dyDescent="0.25">
      <c r="B10" s="40"/>
      <c r="C10" s="4">
        <v>2016</v>
      </c>
      <c r="D10" s="4">
        <v>391787</v>
      </c>
      <c r="E10" s="4">
        <v>1111963</v>
      </c>
      <c r="F10" s="4">
        <v>239147</v>
      </c>
      <c r="G10" s="4">
        <v>970788</v>
      </c>
      <c r="H10" s="4">
        <v>1580965.09</v>
      </c>
      <c r="I10" s="4">
        <v>3218595.93</v>
      </c>
      <c r="J10" s="4">
        <v>88976.86</v>
      </c>
      <c r="K10" s="4">
        <v>151300.79999999999</v>
      </c>
      <c r="L10" s="4">
        <v>544419</v>
      </c>
      <c r="M10" s="4">
        <v>2397573</v>
      </c>
      <c r="N10" s="2">
        <f t="shared" si="0"/>
        <v>2845294.9499999997</v>
      </c>
      <c r="O10" s="2">
        <f t="shared" si="1"/>
        <v>7850220.7300000004</v>
      </c>
      <c r="P10" s="61">
        <f>'Produksi Pupuk'!E15</f>
        <v>17214421</v>
      </c>
      <c r="Q10" s="59">
        <f t="shared" si="2"/>
        <v>6.0501358567413206</v>
      </c>
    </row>
    <row r="11" spans="2:17" x14ac:dyDescent="0.25">
      <c r="B11" s="40"/>
      <c r="C11" s="4">
        <v>2017</v>
      </c>
      <c r="D11" s="4">
        <v>396157</v>
      </c>
      <c r="E11" s="4">
        <v>1152864</v>
      </c>
      <c r="F11" s="4">
        <v>222135</v>
      </c>
      <c r="G11" s="4">
        <v>1073836</v>
      </c>
      <c r="H11" s="4">
        <v>1397131.54</v>
      </c>
      <c r="I11" s="4">
        <v>3071707.5</v>
      </c>
      <c r="J11" s="4">
        <v>69341.53</v>
      </c>
      <c r="K11" s="4">
        <v>123786.22</v>
      </c>
      <c r="L11" s="4">
        <v>512562</v>
      </c>
      <c r="M11" s="4">
        <v>2041492</v>
      </c>
      <c r="N11" s="2">
        <f t="shared" si="0"/>
        <v>2597327.0700000003</v>
      </c>
      <c r="O11" s="2">
        <f t="shared" si="1"/>
        <v>7463685.7199999988</v>
      </c>
      <c r="P11" s="61">
        <f>'Produksi Pupuk'!E16</f>
        <v>18372029</v>
      </c>
      <c r="Q11" s="59">
        <f t="shared" si="2"/>
        <v>7.073436846750301</v>
      </c>
    </row>
    <row r="12" spans="2:17" x14ac:dyDescent="0.25">
      <c r="B12" s="40"/>
      <c r="C12" s="4">
        <v>2018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2">
        <v>3291428</v>
      </c>
      <c r="O12" s="2">
        <v>5708274</v>
      </c>
      <c r="P12" s="61">
        <f>'Produksi Pupuk'!E17</f>
        <v>18462166</v>
      </c>
      <c r="Q12" s="58"/>
    </row>
    <row r="13" spans="2:17" x14ac:dyDescent="0.25">
      <c r="B13" s="40"/>
      <c r="C13" s="4">
        <v>2019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>
        <v>5528194</v>
      </c>
      <c r="O13" s="2">
        <v>4454175</v>
      </c>
      <c r="P13" s="61">
        <f>'Produksi Pupuk'!E18</f>
        <v>18910392</v>
      </c>
      <c r="Q13" s="58"/>
    </row>
    <row r="14" spans="2:17" x14ac:dyDescent="0.25">
      <c r="B14" s="41"/>
      <c r="C14" s="4">
        <v>2020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"/>
      <c r="O14" s="2"/>
      <c r="P14" s="61">
        <f>'Produksi Pupuk'!E19</f>
        <v>0</v>
      </c>
      <c r="Q14" s="58"/>
    </row>
    <row r="15" spans="2:17" x14ac:dyDescent="0.25">
      <c r="P15" s="58" t="s">
        <v>91</v>
      </c>
      <c r="Q15" s="59">
        <f>AVERAGE(Q8:Q11)</f>
        <v>5.9498605971671008</v>
      </c>
    </row>
  </sheetData>
  <mergeCells count="9">
    <mergeCell ref="J2:K2"/>
    <mergeCell ref="L2:M2"/>
    <mergeCell ref="D1:M1"/>
    <mergeCell ref="B4:B14"/>
    <mergeCell ref="N1:O2"/>
    <mergeCell ref="C1:C3"/>
    <mergeCell ref="D2:E2"/>
    <mergeCell ref="F2:G2"/>
    <mergeCell ref="H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7987-9899-4E14-846B-A90096CEC8C4}">
  <dimension ref="B1:U19"/>
  <sheetViews>
    <sheetView workbookViewId="0">
      <selection activeCell="U13" sqref="U13"/>
    </sheetView>
  </sheetViews>
  <sheetFormatPr defaultRowHeight="15" x14ac:dyDescent="0.25"/>
  <cols>
    <col min="1" max="1" width="4.28515625" customWidth="1"/>
    <col min="3" max="3" width="19" customWidth="1"/>
    <col min="4" max="4" width="21.5703125" bestFit="1" customWidth="1"/>
    <col min="5" max="5" width="9.5703125" bestFit="1" customWidth="1"/>
    <col min="6" max="6" width="10.42578125" customWidth="1"/>
    <col min="7" max="7" width="9.5703125" bestFit="1" customWidth="1"/>
    <col min="8" max="10" width="9.28515625" bestFit="1" customWidth="1"/>
    <col min="11" max="11" width="9.28515625" customWidth="1"/>
    <col min="12" max="12" width="11" customWidth="1"/>
    <col min="13" max="14" width="9.28515625" bestFit="1" customWidth="1"/>
    <col min="15" max="15" width="12.5703125" bestFit="1" customWidth="1"/>
    <col min="16" max="16" width="14.28515625" bestFit="1" customWidth="1"/>
    <col min="20" max="20" width="12" bestFit="1" customWidth="1"/>
  </cols>
  <sheetData>
    <row r="1" spans="2:21" x14ac:dyDescent="0.25">
      <c r="B1" s="51" t="s">
        <v>0</v>
      </c>
      <c r="C1" s="18" t="s">
        <v>58</v>
      </c>
      <c r="D1" s="52" t="s">
        <v>67</v>
      </c>
      <c r="E1" s="53"/>
      <c r="F1" s="53"/>
      <c r="G1" s="53"/>
      <c r="H1" s="54"/>
      <c r="I1" s="50" t="s">
        <v>68</v>
      </c>
      <c r="J1" s="50"/>
      <c r="K1" s="50"/>
      <c r="L1" s="50"/>
      <c r="M1" s="50"/>
      <c r="N1" s="50"/>
      <c r="O1" s="50"/>
      <c r="Q1" s="49" t="s">
        <v>78</v>
      </c>
      <c r="R1" s="49"/>
      <c r="S1" s="49"/>
      <c r="T1" s="49"/>
      <c r="U1" s="49"/>
    </row>
    <row r="2" spans="2:21" s="1" customFormat="1" ht="30" x14ac:dyDescent="0.25">
      <c r="B2" s="51"/>
      <c r="C2" s="20" t="s">
        <v>59</v>
      </c>
      <c r="D2" s="21" t="s">
        <v>61</v>
      </c>
      <c r="E2" s="21" t="s">
        <v>62</v>
      </c>
      <c r="F2" s="21" t="s">
        <v>63</v>
      </c>
      <c r="G2" s="21" t="s">
        <v>64</v>
      </c>
      <c r="H2" s="21" t="s">
        <v>65</v>
      </c>
      <c r="I2" s="22" t="s">
        <v>69</v>
      </c>
      <c r="J2" s="22" t="s">
        <v>70</v>
      </c>
      <c r="K2" s="22" t="s">
        <v>71</v>
      </c>
      <c r="L2" s="22" t="s">
        <v>72</v>
      </c>
      <c r="M2" s="22" t="s">
        <v>73</v>
      </c>
      <c r="N2" s="22" t="s">
        <v>65</v>
      </c>
      <c r="O2" s="22" t="s">
        <v>74</v>
      </c>
      <c r="P2" s="1" t="s">
        <v>80</v>
      </c>
      <c r="Q2" s="1" t="s">
        <v>79</v>
      </c>
      <c r="R2" s="1" t="s">
        <v>61</v>
      </c>
      <c r="S2" s="1" t="s">
        <v>62</v>
      </c>
      <c r="T2" s="1" t="s">
        <v>63</v>
      </c>
      <c r="U2" s="1" t="s">
        <v>65</v>
      </c>
    </row>
    <row r="3" spans="2:21" x14ac:dyDescent="0.25">
      <c r="B3" s="51"/>
      <c r="C3" s="18" t="s">
        <v>60</v>
      </c>
      <c r="D3" s="55" t="s">
        <v>66</v>
      </c>
      <c r="E3" s="56"/>
      <c r="F3" s="56"/>
      <c r="G3" s="56"/>
      <c r="H3" s="57"/>
      <c r="I3" s="50" t="s">
        <v>75</v>
      </c>
      <c r="J3" s="50"/>
      <c r="K3" s="50"/>
      <c r="L3" s="50"/>
      <c r="M3" s="50"/>
      <c r="N3" s="50"/>
      <c r="O3" s="19" t="s">
        <v>76</v>
      </c>
      <c r="P3" t="s">
        <v>81</v>
      </c>
      <c r="Q3" t="s">
        <v>82</v>
      </c>
      <c r="R3" t="s">
        <v>83</v>
      </c>
      <c r="S3" t="s">
        <v>83</v>
      </c>
      <c r="T3" t="s">
        <v>83</v>
      </c>
      <c r="U3" t="s">
        <v>83</v>
      </c>
    </row>
    <row r="4" spans="2:21" x14ac:dyDescent="0.25">
      <c r="B4" s="4">
        <v>2010</v>
      </c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8">
        <f>'Produksi Pupuk'!E9</f>
        <v>10309251</v>
      </c>
    </row>
    <row r="5" spans="2:21" x14ac:dyDescent="0.25">
      <c r="B5" s="4">
        <v>2011</v>
      </c>
      <c r="C5" s="1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8">
        <f>'Produksi Pupuk'!E10</f>
        <v>10552349</v>
      </c>
    </row>
    <row r="6" spans="2:21" x14ac:dyDescent="0.25">
      <c r="B6" s="4">
        <v>2012</v>
      </c>
      <c r="C6" s="1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8">
        <f>'Produksi Pupuk'!E11</f>
        <v>11926412</v>
      </c>
    </row>
    <row r="7" spans="2:21" x14ac:dyDescent="0.25">
      <c r="B7" s="4">
        <v>2013</v>
      </c>
      <c r="C7" s="1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8">
        <f>'Produksi Pupuk'!E12</f>
        <v>11439125</v>
      </c>
    </row>
    <row r="8" spans="2:21" x14ac:dyDescent="0.25">
      <c r="B8" s="4">
        <v>2014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8">
        <f>'Produksi Pupuk'!E13</f>
        <v>11263944</v>
      </c>
    </row>
    <row r="9" spans="2:21" x14ac:dyDescent="0.25">
      <c r="B9" s="4">
        <v>2015</v>
      </c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8">
        <f>'Produksi Pupuk'!E14</f>
        <v>17608348</v>
      </c>
    </row>
    <row r="10" spans="2:21" x14ac:dyDescent="0.25">
      <c r="B10" s="4">
        <v>2016</v>
      </c>
      <c r="C10" s="11"/>
      <c r="D10" s="11">
        <v>4236.42</v>
      </c>
      <c r="E10" s="11">
        <v>6894.79</v>
      </c>
      <c r="F10" s="11">
        <v>5572.18</v>
      </c>
      <c r="G10" s="11">
        <v>4236.42</v>
      </c>
      <c r="H10" s="11">
        <v>208.75</v>
      </c>
      <c r="I10" s="11">
        <v>0.12</v>
      </c>
      <c r="J10" s="11">
        <v>0.02</v>
      </c>
      <c r="K10" s="11">
        <v>0</v>
      </c>
      <c r="L10" s="11">
        <v>0.3</v>
      </c>
      <c r="M10" s="11">
        <v>0.47</v>
      </c>
      <c r="N10" s="11">
        <v>0.04</v>
      </c>
      <c r="O10" s="11">
        <v>0.74</v>
      </c>
      <c r="P10" s="28">
        <f>'Produksi Pupuk'!E15</f>
        <v>17214421</v>
      </c>
      <c r="R10">
        <f t="shared" ref="R10:R11" si="0">D10/$P10</f>
        <v>2.4609715307880525E-4</v>
      </c>
      <c r="S10">
        <f t="shared" ref="S10:S11" si="1">E10/$P10</f>
        <v>4.0052407222990535E-4</v>
      </c>
      <c r="T10">
        <f t="shared" ref="T10:T11" si="2">F10/$P10</f>
        <v>3.2369255986013123E-4</v>
      </c>
      <c r="U10">
        <f t="shared" ref="U10:U11" si="3">G10/$P10</f>
        <v>2.4609715307880525E-4</v>
      </c>
    </row>
    <row r="11" spans="2:21" x14ac:dyDescent="0.25">
      <c r="B11" s="4">
        <v>2017</v>
      </c>
      <c r="C11" s="11"/>
      <c r="D11" s="11">
        <v>2535.42</v>
      </c>
      <c r="E11" s="11">
        <v>1482.01</v>
      </c>
      <c r="F11" s="11">
        <v>2817.16</v>
      </c>
      <c r="G11" s="11">
        <v>2730.56</v>
      </c>
      <c r="H11" s="11">
        <v>48.31</v>
      </c>
      <c r="I11" s="11">
        <v>0.15</v>
      </c>
      <c r="J11" s="11">
        <v>0.04</v>
      </c>
      <c r="K11" s="11">
        <v>0.01</v>
      </c>
      <c r="L11" s="11">
        <v>0.22</v>
      </c>
      <c r="M11" s="11">
        <v>0.37</v>
      </c>
      <c r="N11" s="11">
        <v>0</v>
      </c>
      <c r="O11" s="11">
        <v>1.08</v>
      </c>
      <c r="P11" s="28">
        <f>'Produksi Pupuk'!E16</f>
        <v>18372029</v>
      </c>
      <c r="R11">
        <f t="shared" si="0"/>
        <v>1.3800435433669302E-4</v>
      </c>
      <c r="S11">
        <f t="shared" si="1"/>
        <v>8.066664819656011E-5</v>
      </c>
      <c r="T11">
        <f t="shared" si="2"/>
        <v>1.5333962296706585E-4</v>
      </c>
      <c r="U11">
        <f t="shared" si="3"/>
        <v>1.4862593565468464E-4</v>
      </c>
    </row>
    <row r="12" spans="2:21" x14ac:dyDescent="0.25">
      <c r="B12" s="4">
        <v>2018</v>
      </c>
      <c r="C12" s="11">
        <v>8822581</v>
      </c>
      <c r="D12" s="11">
        <v>4067.19</v>
      </c>
      <c r="E12" s="11">
        <v>2042.6</v>
      </c>
      <c r="F12" s="11">
        <v>2060.71</v>
      </c>
      <c r="G12" s="11">
        <v>2165.94</v>
      </c>
      <c r="H12" s="11">
        <v>19.440000000000001</v>
      </c>
      <c r="I12" s="11">
        <v>0.14000000000000001</v>
      </c>
      <c r="J12" s="11">
        <v>0.05</v>
      </c>
      <c r="K12" s="11">
        <v>0</v>
      </c>
      <c r="L12" s="11">
        <v>0.17</v>
      </c>
      <c r="M12" s="11">
        <v>0.3</v>
      </c>
      <c r="N12" s="11">
        <v>0</v>
      </c>
      <c r="O12" s="11">
        <v>1.02</v>
      </c>
      <c r="P12" s="28">
        <f>'Produksi Pupuk'!E17</f>
        <v>18462166</v>
      </c>
      <c r="Q12">
        <f>C12/$P12</f>
        <v>0.47787356044789109</v>
      </c>
      <c r="R12">
        <f t="shared" ref="R12" si="4">D12/$P12</f>
        <v>2.2029863668217479E-4</v>
      </c>
      <c r="S12">
        <f t="shared" ref="S12" si="5">E12/$P12</f>
        <v>1.1063707259484071E-4</v>
      </c>
      <c r="T12">
        <f t="shared" ref="T12" si="6">F12/$P12</f>
        <v>1.1161799758489876E-4</v>
      </c>
      <c r="U12">
        <f t="shared" ref="U12" si="7">G12/$P12</f>
        <v>1.1731776217373411E-4</v>
      </c>
    </row>
    <row r="13" spans="2:21" x14ac:dyDescent="0.25">
      <c r="B13" s="4">
        <v>2019</v>
      </c>
      <c r="C13" s="11">
        <v>5076508</v>
      </c>
      <c r="D13" s="11">
        <v>10203.41</v>
      </c>
      <c r="E13" s="11">
        <v>2809.44</v>
      </c>
      <c r="F13" s="11">
        <v>3076.39</v>
      </c>
      <c r="G13" s="11">
        <v>3219.18</v>
      </c>
      <c r="H13" s="11"/>
      <c r="I13" s="11">
        <v>7.5999999999999998E-2</v>
      </c>
      <c r="J13" s="11">
        <v>2.4E-2</v>
      </c>
      <c r="K13" s="11">
        <v>1E-3</v>
      </c>
      <c r="L13" s="11">
        <v>6.4000000000000001E-2</v>
      </c>
      <c r="M13" s="11">
        <v>0.222</v>
      </c>
      <c r="N13" s="11">
        <v>4.0000000000000002E-4</v>
      </c>
      <c r="O13" s="11">
        <v>0.51</v>
      </c>
      <c r="P13" s="28">
        <f>'Produksi Pupuk'!E18</f>
        <v>18910392</v>
      </c>
      <c r="Q13">
        <f>C13/$P13</f>
        <v>0.26845070160364737</v>
      </c>
      <c r="R13">
        <f t="shared" ref="R13:U13" si="8">D13/$P13</f>
        <v>5.3956628715047257E-4</v>
      </c>
      <c r="S13">
        <f t="shared" si="8"/>
        <v>1.4856593136726093E-4</v>
      </c>
      <c r="T13">
        <f t="shared" si="8"/>
        <v>1.6268250811511469E-4</v>
      </c>
      <c r="U13">
        <f t="shared" si="8"/>
        <v>1.702333827876228E-4</v>
      </c>
    </row>
    <row r="14" spans="2:21" x14ac:dyDescent="0.25">
      <c r="B14" s="4">
        <v>2020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8">
        <f>'Produksi Pupuk'!E19</f>
        <v>0</v>
      </c>
    </row>
    <row r="17" spans="4:4" x14ac:dyDescent="0.25">
      <c r="D17" s="27"/>
    </row>
    <row r="18" spans="4:4" x14ac:dyDescent="0.25">
      <c r="D18" s="27"/>
    </row>
    <row r="19" spans="4:4" x14ac:dyDescent="0.25">
      <c r="D19" s="27"/>
    </row>
  </sheetData>
  <mergeCells count="6">
    <mergeCell ref="Q1:U1"/>
    <mergeCell ref="I3:N3"/>
    <mergeCell ref="I1:O1"/>
    <mergeCell ref="B1:B3"/>
    <mergeCell ref="D1:H1"/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74F-5089-40E5-914F-010A5D8A2B4B}">
  <dimension ref="B1:E17"/>
  <sheetViews>
    <sheetView workbookViewId="0">
      <selection activeCell="E5" sqref="E5"/>
    </sheetView>
  </sheetViews>
  <sheetFormatPr defaultRowHeight="15" x14ac:dyDescent="0.25"/>
  <cols>
    <col min="3" max="3" width="15.85546875" customWidth="1"/>
    <col min="4" max="4" width="21" customWidth="1"/>
    <col min="5" max="5" width="16.5703125" customWidth="1"/>
  </cols>
  <sheetData>
    <row r="1" spans="2:5" x14ac:dyDescent="0.25">
      <c r="B1" s="30" t="s">
        <v>0</v>
      </c>
      <c r="C1" s="29" t="s">
        <v>45</v>
      </c>
      <c r="D1" s="29"/>
      <c r="E1" t="s">
        <v>54</v>
      </c>
    </row>
    <row r="2" spans="2:5" x14ac:dyDescent="0.25">
      <c r="B2" s="30"/>
      <c r="C2" s="2" t="s">
        <v>1</v>
      </c>
      <c r="D2" s="2" t="s">
        <v>2</v>
      </c>
      <c r="E2" t="s">
        <v>26</v>
      </c>
    </row>
    <row r="3" spans="2:5" x14ac:dyDescent="0.25">
      <c r="B3" s="2">
        <v>2006</v>
      </c>
      <c r="C3" s="11"/>
      <c r="D3" s="2"/>
    </row>
    <row r="4" spans="2:5" x14ac:dyDescent="0.25">
      <c r="B4" s="2">
        <v>2007</v>
      </c>
      <c r="C4" s="11">
        <v>22218785</v>
      </c>
      <c r="D4" s="11">
        <f t="shared" ref="D4:D6" si="0">C4*1000000</f>
        <v>22218785000000</v>
      </c>
      <c r="E4">
        <v>7944649</v>
      </c>
    </row>
    <row r="5" spans="2:5" x14ac:dyDescent="0.25">
      <c r="B5" s="2">
        <v>2008</v>
      </c>
      <c r="C5" s="11">
        <v>36036743</v>
      </c>
      <c r="D5" s="11">
        <f t="shared" si="0"/>
        <v>36036743000000</v>
      </c>
      <c r="E5">
        <v>8598846</v>
      </c>
    </row>
    <row r="6" spans="2:5" x14ac:dyDescent="0.25">
      <c r="B6" s="2">
        <v>2009</v>
      </c>
      <c r="C6" s="11">
        <v>34209998</v>
      </c>
      <c r="D6" s="11">
        <f t="shared" si="0"/>
        <v>34209998000000</v>
      </c>
      <c r="E6">
        <v>10508263</v>
      </c>
    </row>
    <row r="7" spans="2:5" x14ac:dyDescent="0.25">
      <c r="B7" s="2">
        <v>2010</v>
      </c>
      <c r="C7" s="11">
        <v>32676371</v>
      </c>
      <c r="D7" s="11">
        <f t="shared" ref="D7:D10" si="1">C7*1000000</f>
        <v>32676371000000</v>
      </c>
      <c r="E7">
        <v>10309251</v>
      </c>
    </row>
    <row r="8" spans="2:5" x14ac:dyDescent="0.25">
      <c r="B8" s="2">
        <v>2011</v>
      </c>
      <c r="C8" s="11">
        <v>40773954</v>
      </c>
      <c r="D8" s="11">
        <f t="shared" si="1"/>
        <v>40773954000000</v>
      </c>
      <c r="E8">
        <v>10552349</v>
      </c>
    </row>
    <row r="9" spans="2:5" x14ac:dyDescent="0.25">
      <c r="B9" s="2">
        <v>2012</v>
      </c>
      <c r="C9" s="11">
        <v>51261674</v>
      </c>
      <c r="D9" s="11">
        <f t="shared" si="1"/>
        <v>51261674000000</v>
      </c>
      <c r="E9">
        <v>11926412</v>
      </c>
    </row>
    <row r="10" spans="2:5" x14ac:dyDescent="0.25">
      <c r="B10" s="2">
        <v>2013</v>
      </c>
      <c r="C10" s="11">
        <v>56320230</v>
      </c>
      <c r="D10" s="11">
        <f t="shared" si="1"/>
        <v>56320230000000</v>
      </c>
      <c r="E10" s="24">
        <v>11439125</v>
      </c>
    </row>
    <row r="11" spans="2:5" x14ac:dyDescent="0.25">
      <c r="B11" s="2">
        <v>2014</v>
      </c>
      <c r="C11" s="11">
        <v>65209676</v>
      </c>
      <c r="D11" s="11">
        <f>C11*1000000</f>
        <v>65209676000000</v>
      </c>
      <c r="E11" s="24">
        <v>11263944</v>
      </c>
    </row>
    <row r="12" spans="2:5" x14ac:dyDescent="0.25">
      <c r="B12" s="2">
        <v>2015</v>
      </c>
      <c r="C12" s="11">
        <v>66532867</v>
      </c>
      <c r="D12" s="11">
        <f t="shared" ref="D12:D17" si="2">C12*1000000</f>
        <v>66532867000000</v>
      </c>
    </row>
    <row r="13" spans="2:5" x14ac:dyDescent="0.25">
      <c r="B13" s="2">
        <v>2016</v>
      </c>
      <c r="C13" s="11">
        <v>64368382</v>
      </c>
      <c r="D13" s="11">
        <f t="shared" si="2"/>
        <v>64368382000000</v>
      </c>
    </row>
    <row r="14" spans="2:5" x14ac:dyDescent="0.25">
      <c r="B14" s="2">
        <v>2017</v>
      </c>
      <c r="C14" s="11">
        <v>59154748</v>
      </c>
      <c r="D14" s="11">
        <f t="shared" si="2"/>
        <v>59154748000000</v>
      </c>
    </row>
    <row r="15" spans="2:5" x14ac:dyDescent="0.25">
      <c r="B15" s="2">
        <v>2018</v>
      </c>
      <c r="C15" s="11">
        <f>69.45*1000000</f>
        <v>69450000</v>
      </c>
      <c r="D15" s="11">
        <f t="shared" si="2"/>
        <v>69450000000000</v>
      </c>
      <c r="E15">
        <v>18462166</v>
      </c>
    </row>
    <row r="16" spans="2:5" x14ac:dyDescent="0.25">
      <c r="B16" s="2">
        <v>2019</v>
      </c>
      <c r="C16" s="11">
        <f>71.31*1000000</f>
        <v>71310000</v>
      </c>
      <c r="D16" s="11">
        <f t="shared" si="2"/>
        <v>71310000000000</v>
      </c>
      <c r="E16">
        <v>18910392</v>
      </c>
    </row>
    <row r="17" spans="2:4" x14ac:dyDescent="0.25">
      <c r="B17" s="2">
        <v>2020</v>
      </c>
      <c r="C17" s="11"/>
      <c r="D17" s="11">
        <f t="shared" si="2"/>
        <v>0</v>
      </c>
    </row>
  </sheetData>
  <mergeCells count="2">
    <mergeCell ref="C1:D1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045-C53F-4BAD-8EC8-F6FB61D6522B}">
  <dimension ref="B1:N19"/>
  <sheetViews>
    <sheetView workbookViewId="0">
      <selection activeCell="B4" sqref="B4:B19"/>
    </sheetView>
  </sheetViews>
  <sheetFormatPr defaultRowHeight="15" x14ac:dyDescent="0.25"/>
  <cols>
    <col min="3" max="5" width="19.7109375" customWidth="1"/>
    <col min="6" max="6" width="18.5703125" bestFit="1" customWidth="1"/>
    <col min="10" max="10" width="13.42578125" customWidth="1"/>
    <col min="13" max="13" width="9.85546875" customWidth="1"/>
    <col min="14" max="14" width="12.42578125" customWidth="1"/>
  </cols>
  <sheetData>
    <row r="1" spans="2:14" x14ac:dyDescent="0.25">
      <c r="B1" s="31" t="s">
        <v>0</v>
      </c>
      <c r="C1" s="35" t="s">
        <v>77</v>
      </c>
      <c r="D1" s="36"/>
      <c r="E1" s="37"/>
      <c r="F1" s="32" t="s">
        <v>4</v>
      </c>
      <c r="G1" s="32"/>
      <c r="H1" s="32"/>
      <c r="I1" s="32"/>
      <c r="J1" s="32"/>
      <c r="K1" s="32"/>
      <c r="L1" s="32"/>
      <c r="M1" s="2"/>
      <c r="N1" s="2"/>
    </row>
    <row r="2" spans="2:14" ht="15" customHeight="1" x14ac:dyDescent="0.25">
      <c r="B2" s="31"/>
      <c r="C2" s="33" t="s">
        <v>3</v>
      </c>
      <c r="D2" s="33" t="s">
        <v>5</v>
      </c>
      <c r="E2" s="33" t="s">
        <v>7</v>
      </c>
      <c r="F2" s="31" t="s">
        <v>3</v>
      </c>
      <c r="G2" s="32" t="s">
        <v>5</v>
      </c>
      <c r="H2" s="32"/>
      <c r="I2" s="32"/>
      <c r="J2" s="32"/>
      <c r="K2" s="32"/>
      <c r="L2" s="32"/>
      <c r="M2" s="2"/>
      <c r="N2" s="2"/>
    </row>
    <row r="3" spans="2:14" ht="30" x14ac:dyDescent="0.25">
      <c r="B3" s="31"/>
      <c r="C3" s="34"/>
      <c r="D3" s="34"/>
      <c r="E3" s="34"/>
      <c r="F3" s="31"/>
      <c r="G3" s="3" t="s">
        <v>6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r="4" spans="2:14" x14ac:dyDescent="0.25">
      <c r="B4" s="4">
        <v>2005</v>
      </c>
      <c r="C4" s="25"/>
      <c r="D4" s="25"/>
      <c r="E4" s="23">
        <f t="shared" ref="E4:E8" si="0">SUM(C4:D4)</f>
        <v>0</v>
      </c>
      <c r="F4" s="5"/>
      <c r="G4" s="3"/>
      <c r="H4" s="3"/>
      <c r="I4" s="3"/>
      <c r="J4" s="3"/>
      <c r="K4" s="3"/>
      <c r="L4" s="3"/>
      <c r="M4" s="3"/>
      <c r="N4" s="3"/>
    </row>
    <row r="5" spans="2:14" x14ac:dyDescent="0.25">
      <c r="B5" s="4">
        <v>2006</v>
      </c>
      <c r="C5" s="26"/>
      <c r="D5" s="26"/>
      <c r="E5" s="23">
        <f t="shared" si="0"/>
        <v>0</v>
      </c>
      <c r="F5" s="5"/>
      <c r="G5" s="3"/>
      <c r="H5" s="3"/>
      <c r="I5" s="3"/>
      <c r="J5" s="3"/>
      <c r="K5" s="3"/>
      <c r="L5" s="3"/>
      <c r="M5" s="3"/>
      <c r="N5" s="3"/>
    </row>
    <row r="6" spans="2:14" x14ac:dyDescent="0.25">
      <c r="B6" s="4">
        <v>2007</v>
      </c>
      <c r="C6" s="11">
        <v>7944649</v>
      </c>
      <c r="D6" s="26"/>
      <c r="E6" s="23">
        <f t="shared" si="0"/>
        <v>7944649</v>
      </c>
      <c r="F6" s="5"/>
      <c r="G6" s="3"/>
      <c r="H6" s="3"/>
      <c r="I6" s="3"/>
      <c r="J6" s="3"/>
      <c r="K6" s="3"/>
      <c r="L6" s="3"/>
      <c r="M6" s="3"/>
      <c r="N6" s="3"/>
    </row>
    <row r="7" spans="2:14" x14ac:dyDescent="0.25">
      <c r="B7" s="4">
        <v>2008</v>
      </c>
      <c r="C7" s="11">
        <v>8598846</v>
      </c>
      <c r="D7" s="26"/>
      <c r="E7" s="23">
        <f t="shared" si="0"/>
        <v>8598846</v>
      </c>
      <c r="F7" s="5"/>
      <c r="G7" s="3"/>
      <c r="H7" s="3"/>
      <c r="I7" s="3"/>
      <c r="J7" s="3"/>
      <c r="K7" s="3"/>
      <c r="L7" s="3"/>
      <c r="M7" s="3"/>
      <c r="N7" s="3"/>
    </row>
    <row r="8" spans="2:14" x14ac:dyDescent="0.25">
      <c r="B8" s="4">
        <v>2009</v>
      </c>
      <c r="C8" s="11">
        <v>10508263</v>
      </c>
      <c r="D8" s="26"/>
      <c r="E8" s="23">
        <f t="shared" si="0"/>
        <v>10508263</v>
      </c>
      <c r="F8" s="5"/>
      <c r="G8" s="3"/>
      <c r="H8" s="3"/>
      <c r="I8" s="3"/>
      <c r="J8" s="3"/>
      <c r="K8" s="3"/>
      <c r="L8" s="3"/>
      <c r="M8" s="3"/>
      <c r="N8" s="3"/>
    </row>
    <row r="9" spans="2:14" x14ac:dyDescent="0.25">
      <c r="B9" s="4">
        <v>2010</v>
      </c>
      <c r="C9" s="11">
        <v>10309251</v>
      </c>
      <c r="D9" s="23"/>
      <c r="E9" s="23">
        <f>SUM(C9:D9)</f>
        <v>10309251</v>
      </c>
      <c r="F9" s="4"/>
      <c r="G9" s="4"/>
      <c r="H9" s="4"/>
      <c r="I9" s="4"/>
      <c r="J9" s="4"/>
      <c r="K9" s="4"/>
      <c r="L9" s="2"/>
      <c r="M9" s="2"/>
      <c r="N9" s="2"/>
    </row>
    <row r="10" spans="2:14" x14ac:dyDescent="0.25">
      <c r="B10" s="4">
        <v>2011</v>
      </c>
      <c r="C10" s="11">
        <v>10552349</v>
      </c>
      <c r="D10" s="23"/>
      <c r="E10" s="23">
        <f t="shared" ref="E10:E19" si="1">SUM(C10:D10)</f>
        <v>10552349</v>
      </c>
      <c r="F10" s="4"/>
      <c r="G10" s="4"/>
      <c r="H10" s="4"/>
      <c r="I10" s="4"/>
      <c r="J10" s="4"/>
      <c r="K10" s="4"/>
      <c r="L10" s="2"/>
      <c r="M10" s="2"/>
      <c r="N10" s="2"/>
    </row>
    <row r="11" spans="2:14" x14ac:dyDescent="0.25">
      <c r="B11" s="4">
        <v>2012</v>
      </c>
      <c r="C11" s="11">
        <v>11926412</v>
      </c>
      <c r="D11" s="23"/>
      <c r="E11" s="23">
        <f t="shared" si="1"/>
        <v>11926412</v>
      </c>
      <c r="F11" s="4"/>
      <c r="G11" s="4"/>
      <c r="H11" s="4"/>
      <c r="I11" s="4"/>
      <c r="J11" s="4"/>
      <c r="K11" s="4"/>
      <c r="L11" s="2"/>
      <c r="M11" s="2"/>
      <c r="N11" s="2"/>
    </row>
    <row r="12" spans="2:14" x14ac:dyDescent="0.25">
      <c r="B12" s="4">
        <v>2013</v>
      </c>
      <c r="C12" s="11">
        <v>11439125</v>
      </c>
      <c r="D12" s="23"/>
      <c r="E12" s="23">
        <f t="shared" si="1"/>
        <v>11439125</v>
      </c>
      <c r="F12" s="4"/>
      <c r="G12" s="4"/>
      <c r="H12" s="4"/>
      <c r="I12" s="4"/>
      <c r="J12" s="4"/>
      <c r="K12" s="4"/>
      <c r="L12" s="2"/>
      <c r="M12" s="2"/>
      <c r="N12" s="2"/>
    </row>
    <row r="13" spans="2:14" x14ac:dyDescent="0.25">
      <c r="B13" s="4">
        <v>2014</v>
      </c>
      <c r="C13" s="11">
        <v>11263944</v>
      </c>
      <c r="D13" s="23"/>
      <c r="E13" s="23">
        <f t="shared" si="1"/>
        <v>11263944</v>
      </c>
      <c r="F13" s="4">
        <v>10684</v>
      </c>
      <c r="G13" s="4">
        <v>5058</v>
      </c>
      <c r="H13" s="4">
        <v>572</v>
      </c>
      <c r="I13" s="4">
        <v>205</v>
      </c>
      <c r="J13" s="4">
        <v>9</v>
      </c>
      <c r="K13" s="4">
        <v>26</v>
      </c>
      <c r="L13" s="2">
        <v>6543</v>
      </c>
      <c r="M13" s="2">
        <v>12229</v>
      </c>
      <c r="N13" s="2">
        <v>1907</v>
      </c>
    </row>
    <row r="14" spans="2:14" x14ac:dyDescent="0.25">
      <c r="B14" s="4">
        <v>2015</v>
      </c>
      <c r="C14" s="23">
        <v>10901928</v>
      </c>
      <c r="D14" s="23">
        <v>6706420</v>
      </c>
      <c r="E14" s="23">
        <f t="shared" si="1"/>
        <v>17608348</v>
      </c>
      <c r="F14" s="4">
        <v>10902</v>
      </c>
      <c r="G14" s="4">
        <v>5524</v>
      </c>
      <c r="H14" s="4">
        <v>922</v>
      </c>
      <c r="I14" s="4">
        <v>224</v>
      </c>
      <c r="J14" s="4">
        <v>10</v>
      </c>
      <c r="K14" s="4">
        <v>26</v>
      </c>
      <c r="L14" s="2">
        <v>7669</v>
      </c>
      <c r="M14" s="2">
        <v>11763</v>
      </c>
      <c r="N14" s="2">
        <v>2121</v>
      </c>
    </row>
    <row r="15" spans="2:14" x14ac:dyDescent="0.25">
      <c r="B15" s="4">
        <v>2016</v>
      </c>
      <c r="C15" s="23">
        <v>10458617</v>
      </c>
      <c r="D15" s="23">
        <v>6755804</v>
      </c>
      <c r="E15" s="23">
        <f t="shared" si="1"/>
        <v>17214421</v>
      </c>
      <c r="F15" s="4">
        <v>10459</v>
      </c>
      <c r="G15" s="4">
        <v>5239</v>
      </c>
      <c r="H15" s="4">
        <v>1160</v>
      </c>
      <c r="I15" s="4">
        <v>313</v>
      </c>
      <c r="J15" s="4">
        <v>11</v>
      </c>
      <c r="K15" s="4">
        <v>33</v>
      </c>
      <c r="L15" s="2">
        <v>6756</v>
      </c>
      <c r="M15" s="2">
        <v>12095</v>
      </c>
      <c r="N15" s="2">
        <v>1443</v>
      </c>
    </row>
    <row r="16" spans="2:14" x14ac:dyDescent="0.25">
      <c r="B16" s="4">
        <v>2017</v>
      </c>
      <c r="C16" s="23">
        <v>11417970</v>
      </c>
      <c r="D16" s="23">
        <v>6954059</v>
      </c>
      <c r="E16" s="23">
        <f t="shared" si="1"/>
        <v>18372029</v>
      </c>
      <c r="F16" s="4">
        <v>11417</v>
      </c>
      <c r="G16" s="4">
        <v>5422</v>
      </c>
      <c r="H16" s="4">
        <v>1198</v>
      </c>
      <c r="I16" s="4">
        <v>288</v>
      </c>
      <c r="J16" s="4">
        <v>11</v>
      </c>
      <c r="K16" s="4">
        <v>34</v>
      </c>
      <c r="L16" s="2">
        <v>6954</v>
      </c>
      <c r="M16" s="2">
        <v>12505</v>
      </c>
      <c r="N16" s="2">
        <v>1323</v>
      </c>
    </row>
    <row r="17" spans="2:14" x14ac:dyDescent="0.25">
      <c r="B17" s="4">
        <v>2018</v>
      </c>
      <c r="C17" s="23">
        <v>11661057</v>
      </c>
      <c r="D17" s="23">
        <v>6801109</v>
      </c>
      <c r="E17" s="23">
        <f t="shared" si="1"/>
        <v>18462166</v>
      </c>
      <c r="F17" s="4"/>
      <c r="G17" s="4"/>
      <c r="H17" s="4"/>
      <c r="I17" s="4"/>
      <c r="J17" s="4"/>
      <c r="K17" s="4"/>
      <c r="L17" s="2"/>
      <c r="M17" s="2"/>
      <c r="N17" s="2"/>
    </row>
    <row r="18" spans="2:14" x14ac:dyDescent="0.25">
      <c r="B18" s="4">
        <v>2019</v>
      </c>
      <c r="C18" s="23">
        <v>11838451</v>
      </c>
      <c r="D18" s="23">
        <v>7071941</v>
      </c>
      <c r="E18" s="23">
        <f t="shared" si="1"/>
        <v>18910392</v>
      </c>
      <c r="F18" s="4"/>
      <c r="G18" s="4"/>
      <c r="H18" s="4"/>
      <c r="I18" s="4"/>
      <c r="J18" s="4"/>
      <c r="K18" s="4"/>
      <c r="L18" s="2"/>
      <c r="M18" s="2"/>
      <c r="N18" s="2"/>
    </row>
    <row r="19" spans="2:14" x14ac:dyDescent="0.25">
      <c r="B19" s="4">
        <v>2020</v>
      </c>
      <c r="C19" s="23"/>
      <c r="D19" s="23"/>
      <c r="E19" s="23">
        <f t="shared" si="1"/>
        <v>0</v>
      </c>
      <c r="F19" s="4"/>
      <c r="G19" s="4"/>
      <c r="H19" s="4"/>
      <c r="I19" s="4"/>
      <c r="J19" s="4"/>
      <c r="K19" s="4"/>
      <c r="L19" s="2"/>
      <c r="M19" s="2"/>
      <c r="N19" s="2"/>
    </row>
  </sheetData>
  <mergeCells count="8">
    <mergeCell ref="F2:F3"/>
    <mergeCell ref="G2:L2"/>
    <mergeCell ref="B1:B3"/>
    <mergeCell ref="F1:L1"/>
    <mergeCell ref="C2:C3"/>
    <mergeCell ref="D2:D3"/>
    <mergeCell ref="C1:E1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9884-C761-4778-AB77-1F2B797E95AA}">
  <dimension ref="B1:O27"/>
  <sheetViews>
    <sheetView workbookViewId="0">
      <selection activeCell="B3" sqref="B3:D13"/>
    </sheetView>
  </sheetViews>
  <sheetFormatPr defaultRowHeight="15" x14ac:dyDescent="0.25"/>
  <cols>
    <col min="4" max="4" width="22.42578125" bestFit="1" customWidth="1"/>
    <col min="5" max="5" width="18.5703125" bestFit="1" customWidth="1"/>
    <col min="6" max="6" width="15.7109375" bestFit="1" customWidth="1"/>
    <col min="7" max="7" width="19.5703125" bestFit="1" customWidth="1"/>
    <col min="8" max="8" width="25.7109375" bestFit="1" customWidth="1"/>
    <col min="9" max="9" width="18.28515625" bestFit="1" customWidth="1"/>
    <col min="13" max="13" width="11.5703125" bestFit="1" customWidth="1"/>
    <col min="14" max="14" width="14.28515625" bestFit="1" customWidth="1"/>
    <col min="15" max="15" width="16.42578125" customWidth="1"/>
  </cols>
  <sheetData>
    <row r="1" spans="2:15" x14ac:dyDescent="0.25">
      <c r="C1" s="33" t="s">
        <v>0</v>
      </c>
      <c r="D1" s="29" t="s">
        <v>16</v>
      </c>
      <c r="E1" s="29"/>
      <c r="F1" s="29"/>
      <c r="G1" s="29"/>
      <c r="H1" s="38"/>
      <c r="I1" s="2" t="s">
        <v>22</v>
      </c>
      <c r="M1" s="10" t="s">
        <v>51</v>
      </c>
      <c r="N1" s="10"/>
    </row>
    <row r="2" spans="2:15" ht="15" customHeight="1" x14ac:dyDescent="0.25">
      <c r="C2" s="34"/>
      <c r="D2" s="2" t="s">
        <v>21</v>
      </c>
      <c r="E2" s="2" t="s">
        <v>17</v>
      </c>
      <c r="F2" s="2" t="s">
        <v>18</v>
      </c>
      <c r="G2" s="2" t="s">
        <v>19</v>
      </c>
      <c r="H2" s="7" t="s">
        <v>20</v>
      </c>
      <c r="I2" s="8" t="s">
        <v>15</v>
      </c>
      <c r="J2" s="6" t="s">
        <v>52</v>
      </c>
      <c r="K2" s="12"/>
      <c r="M2" s="10" t="s">
        <v>15</v>
      </c>
      <c r="N2" s="10" t="s">
        <v>52</v>
      </c>
      <c r="O2" t="s">
        <v>27</v>
      </c>
    </row>
    <row r="3" spans="2:15" x14ac:dyDescent="0.25">
      <c r="B3" s="31" t="s">
        <v>24</v>
      </c>
      <c r="C3" s="4">
        <v>2010</v>
      </c>
      <c r="D3" s="2"/>
      <c r="E3" s="2"/>
      <c r="F3" s="2"/>
      <c r="G3" s="2"/>
      <c r="H3" s="2"/>
      <c r="I3" s="2"/>
      <c r="K3" s="12"/>
      <c r="L3" s="9">
        <v>2010</v>
      </c>
      <c r="M3" s="10">
        <f>I3+I17</f>
        <v>0</v>
      </c>
      <c r="N3" s="10"/>
    </row>
    <row r="4" spans="2:15" x14ac:dyDescent="0.25">
      <c r="B4" s="31"/>
      <c r="C4" s="4">
        <v>2011</v>
      </c>
      <c r="D4" s="2"/>
      <c r="E4" s="2"/>
      <c r="F4" s="2"/>
      <c r="G4" s="2"/>
      <c r="H4" s="2"/>
      <c r="I4" s="2"/>
      <c r="K4" s="12"/>
      <c r="L4" s="9">
        <v>2011</v>
      </c>
      <c r="M4" s="10">
        <f t="shared" ref="M4:M13" si="0">I4+I18</f>
        <v>0</v>
      </c>
      <c r="N4" s="10"/>
    </row>
    <row r="5" spans="2:15" x14ac:dyDescent="0.25">
      <c r="B5" s="31"/>
      <c r="C5" s="4">
        <v>2012</v>
      </c>
      <c r="D5" s="2"/>
      <c r="E5" s="2"/>
      <c r="F5" s="2"/>
      <c r="G5" s="2"/>
      <c r="H5" s="2"/>
      <c r="I5" s="2"/>
      <c r="K5" s="12"/>
      <c r="L5" s="9">
        <v>2012</v>
      </c>
      <c r="M5" s="10">
        <f t="shared" si="0"/>
        <v>0</v>
      </c>
      <c r="N5" s="10"/>
    </row>
    <row r="6" spans="2:15" x14ac:dyDescent="0.25">
      <c r="B6" s="31"/>
      <c r="C6" s="4">
        <v>2013</v>
      </c>
      <c r="D6" s="2"/>
      <c r="E6" s="2"/>
      <c r="F6" s="2"/>
      <c r="G6" s="2"/>
      <c r="H6" s="2"/>
      <c r="I6" s="2"/>
      <c r="K6" s="12"/>
      <c r="L6" s="9">
        <v>2013</v>
      </c>
      <c r="M6" s="10">
        <f t="shared" si="0"/>
        <v>0</v>
      </c>
      <c r="N6" s="10"/>
    </row>
    <row r="7" spans="2:15" x14ac:dyDescent="0.25">
      <c r="B7" s="31"/>
      <c r="C7" s="4">
        <v>2014</v>
      </c>
      <c r="D7" s="2">
        <v>15925.94</v>
      </c>
      <c r="E7" s="2">
        <v>33502.21</v>
      </c>
      <c r="F7" s="2">
        <v>14799.73</v>
      </c>
      <c r="G7" s="2">
        <v>9681.7000000000007</v>
      </c>
      <c r="H7" s="2">
        <v>53686.65</v>
      </c>
      <c r="I7" s="2">
        <f>SUM(D7:H7)</f>
        <v>127596.23000000001</v>
      </c>
      <c r="K7" s="12"/>
      <c r="L7" s="9">
        <v>2014</v>
      </c>
      <c r="M7" s="10">
        <f t="shared" si="0"/>
        <v>170686.16</v>
      </c>
      <c r="N7" s="10"/>
    </row>
    <row r="8" spans="2:15" x14ac:dyDescent="0.25">
      <c r="B8" s="31"/>
      <c r="C8" s="4">
        <v>2015</v>
      </c>
      <c r="D8" s="2">
        <v>18853.62</v>
      </c>
      <c r="E8" s="2">
        <v>32915.919999999998</v>
      </c>
      <c r="F8" s="2">
        <v>14738.01</v>
      </c>
      <c r="G8" s="2">
        <v>9942.4500000000007</v>
      </c>
      <c r="H8" s="2">
        <v>67400.600000000006</v>
      </c>
      <c r="I8" s="2">
        <f t="shared" ref="I8:I10" si="1">SUM(D8:H8)</f>
        <v>143850.59999999998</v>
      </c>
      <c r="K8" s="12"/>
      <c r="L8" s="9">
        <v>2015</v>
      </c>
      <c r="M8" s="10">
        <f t="shared" si="0"/>
        <v>189272.95999999996</v>
      </c>
      <c r="N8" s="10"/>
    </row>
    <row r="9" spans="2:15" x14ac:dyDescent="0.25">
      <c r="B9" s="31"/>
      <c r="C9" s="4">
        <v>2016</v>
      </c>
      <c r="D9" s="2">
        <v>14616.21</v>
      </c>
      <c r="E9" s="2">
        <v>29130.25</v>
      </c>
      <c r="F9" s="2">
        <v>15252.34</v>
      </c>
      <c r="G9" s="2">
        <v>9638.8700000000008</v>
      </c>
      <c r="H9" s="2">
        <v>62530.84</v>
      </c>
      <c r="I9" s="2">
        <f t="shared" si="1"/>
        <v>131168.51</v>
      </c>
      <c r="K9" s="12"/>
      <c r="L9" s="9">
        <v>2016</v>
      </c>
      <c r="M9" s="10">
        <f t="shared" si="0"/>
        <v>175275.66</v>
      </c>
      <c r="N9" s="10">
        <v>89744121</v>
      </c>
    </row>
    <row r="10" spans="2:15" x14ac:dyDescent="0.25">
      <c r="B10" s="31"/>
      <c r="C10" s="4">
        <v>2017</v>
      </c>
      <c r="D10" s="2">
        <v>12944.32</v>
      </c>
      <c r="E10" s="2">
        <v>39304.78</v>
      </c>
      <c r="F10" s="2">
        <v>15570.44</v>
      </c>
      <c r="G10" s="2">
        <v>9617.0499999999993</v>
      </c>
      <c r="H10" s="2">
        <v>59968.62</v>
      </c>
      <c r="I10" s="2">
        <f t="shared" si="1"/>
        <v>137405.21</v>
      </c>
      <c r="K10" s="12"/>
      <c r="L10" s="9">
        <v>2017</v>
      </c>
      <c r="M10" s="10">
        <f t="shared" si="0"/>
        <v>179957.22</v>
      </c>
      <c r="N10" s="10">
        <v>84660491</v>
      </c>
    </row>
    <row r="11" spans="2:15" x14ac:dyDescent="0.25">
      <c r="B11" s="31"/>
      <c r="C11" s="4">
        <v>2018</v>
      </c>
      <c r="D11" s="2"/>
      <c r="E11" s="2"/>
      <c r="F11" s="2"/>
      <c r="G11" s="2"/>
      <c r="H11" s="2"/>
      <c r="I11" s="2"/>
      <c r="K11" s="12"/>
      <c r="L11" s="9">
        <v>2018</v>
      </c>
      <c r="M11" s="10">
        <f t="shared" si="0"/>
        <v>0</v>
      </c>
      <c r="N11" s="10">
        <v>84826815</v>
      </c>
      <c r="O11">
        <v>89566089</v>
      </c>
    </row>
    <row r="12" spans="2:15" x14ac:dyDescent="0.25">
      <c r="B12" s="31"/>
      <c r="C12" s="4">
        <v>2019</v>
      </c>
      <c r="D12" s="2"/>
      <c r="E12" s="2"/>
      <c r="F12" s="2"/>
      <c r="G12" s="2"/>
      <c r="H12" s="2"/>
      <c r="I12" s="2"/>
      <c r="K12" s="12"/>
      <c r="L12" s="9">
        <v>2019</v>
      </c>
      <c r="M12" s="10">
        <f t="shared" si="0"/>
        <v>0</v>
      </c>
      <c r="N12" s="10"/>
      <c r="O12">
        <v>74519952</v>
      </c>
    </row>
    <row r="13" spans="2:15" x14ac:dyDescent="0.25">
      <c r="B13" s="31"/>
      <c r="C13" s="4">
        <v>2020</v>
      </c>
      <c r="D13" s="2"/>
      <c r="E13" s="2"/>
      <c r="F13" s="2"/>
      <c r="G13" s="2"/>
      <c r="H13" s="2"/>
      <c r="I13" s="2"/>
      <c r="L13" s="9">
        <v>2020</v>
      </c>
      <c r="M13" s="10">
        <f t="shared" si="0"/>
        <v>0</v>
      </c>
      <c r="N13" s="10"/>
    </row>
    <row r="14" spans="2:15" x14ac:dyDescent="0.25">
      <c r="H14">
        <v>1000</v>
      </c>
      <c r="I14" t="s">
        <v>53</v>
      </c>
    </row>
    <row r="15" spans="2:15" x14ac:dyDescent="0.25">
      <c r="C15" s="33" t="s">
        <v>0</v>
      </c>
      <c r="D15" s="29" t="s">
        <v>16</v>
      </c>
      <c r="E15" s="29"/>
      <c r="F15" s="29"/>
      <c r="G15" s="29"/>
      <c r="H15" s="38"/>
      <c r="I15" s="2" t="s">
        <v>22</v>
      </c>
    </row>
    <row r="16" spans="2:15" x14ac:dyDescent="0.25">
      <c r="C16" s="34"/>
      <c r="D16" s="2" t="s">
        <v>21</v>
      </c>
      <c r="E16" s="2" t="s">
        <v>17</v>
      </c>
      <c r="F16" s="2" t="s">
        <v>18</v>
      </c>
      <c r="G16" s="2" t="s">
        <v>19</v>
      </c>
      <c r="H16" s="7" t="s">
        <v>20</v>
      </c>
      <c r="I16" s="8" t="s">
        <v>15</v>
      </c>
    </row>
    <row r="17" spans="2:9" x14ac:dyDescent="0.25">
      <c r="B17" s="31" t="s">
        <v>23</v>
      </c>
      <c r="C17" s="4">
        <v>2010</v>
      </c>
      <c r="D17" s="2"/>
      <c r="E17" s="2"/>
      <c r="F17" s="2"/>
      <c r="G17" s="2"/>
      <c r="H17" s="2"/>
      <c r="I17" s="2"/>
    </row>
    <row r="18" spans="2:9" x14ac:dyDescent="0.25">
      <c r="B18" s="31"/>
      <c r="C18" s="4">
        <v>2011</v>
      </c>
      <c r="D18" s="2"/>
      <c r="E18" s="2"/>
      <c r="F18" s="2"/>
      <c r="G18" s="2"/>
      <c r="H18" s="2"/>
      <c r="I18" s="2"/>
    </row>
    <row r="19" spans="2:9" x14ac:dyDescent="0.25">
      <c r="B19" s="31"/>
      <c r="C19" s="4">
        <v>2012</v>
      </c>
      <c r="D19" s="2"/>
      <c r="E19" s="2"/>
      <c r="F19" s="2"/>
      <c r="G19" s="2"/>
      <c r="H19" s="2"/>
      <c r="I19" s="2"/>
    </row>
    <row r="20" spans="2:9" x14ac:dyDescent="0.25">
      <c r="B20" s="31"/>
      <c r="C20" s="4">
        <v>2013</v>
      </c>
      <c r="D20" s="2"/>
      <c r="E20" s="2"/>
      <c r="F20" s="2"/>
      <c r="G20" s="2"/>
      <c r="H20" s="2"/>
      <c r="I20" s="2"/>
    </row>
    <row r="21" spans="2:9" x14ac:dyDescent="0.25">
      <c r="B21" s="31"/>
      <c r="C21" s="4">
        <v>2014</v>
      </c>
      <c r="D21" s="2">
        <v>3302.93</v>
      </c>
      <c r="E21" s="2">
        <v>14213</v>
      </c>
      <c r="F21" s="2">
        <v>7119</v>
      </c>
      <c r="G21" s="2">
        <v>11593</v>
      </c>
      <c r="H21" s="2">
        <v>6862</v>
      </c>
      <c r="I21" s="2">
        <f t="shared" ref="I21:I24" si="2">SUM(D21:H21)</f>
        <v>43089.93</v>
      </c>
    </row>
    <row r="22" spans="2:9" x14ac:dyDescent="0.25">
      <c r="B22" s="31"/>
      <c r="C22" s="4">
        <v>2015</v>
      </c>
      <c r="D22" s="2">
        <v>3572.36</v>
      </c>
      <c r="E22" s="2">
        <v>13599</v>
      </c>
      <c r="F22" s="2">
        <v>7645</v>
      </c>
      <c r="G22" s="2">
        <v>12352</v>
      </c>
      <c r="H22" s="2">
        <v>8254</v>
      </c>
      <c r="I22" s="2">
        <f t="shared" si="2"/>
        <v>45422.36</v>
      </c>
    </row>
    <row r="23" spans="2:9" x14ac:dyDescent="0.25">
      <c r="B23" s="31"/>
      <c r="C23" s="4">
        <v>2016</v>
      </c>
      <c r="D23" s="2">
        <v>4014.15</v>
      </c>
      <c r="E23" s="2">
        <v>13763</v>
      </c>
      <c r="F23" s="2">
        <v>6420</v>
      </c>
      <c r="G23" s="2">
        <v>12496</v>
      </c>
      <c r="H23" s="2">
        <v>7414</v>
      </c>
      <c r="I23" s="2">
        <f t="shared" si="2"/>
        <v>44107.15</v>
      </c>
    </row>
    <row r="24" spans="2:9" x14ac:dyDescent="0.25">
      <c r="B24" s="31"/>
      <c r="C24" s="4">
        <v>2017</v>
      </c>
      <c r="D24" s="2">
        <v>3835.01</v>
      </c>
      <c r="E24" s="2">
        <v>11333</v>
      </c>
      <c r="F24" s="2">
        <v>7161</v>
      </c>
      <c r="G24" s="2">
        <v>13138</v>
      </c>
      <c r="H24" s="2">
        <v>7085</v>
      </c>
      <c r="I24" s="2">
        <f t="shared" si="2"/>
        <v>42552.01</v>
      </c>
    </row>
    <row r="25" spans="2:9" x14ac:dyDescent="0.25">
      <c r="B25" s="31"/>
      <c r="C25" s="4">
        <v>2018</v>
      </c>
      <c r="D25" s="2"/>
      <c r="E25" s="2"/>
      <c r="F25" s="2"/>
      <c r="G25" s="2"/>
      <c r="H25" s="2"/>
      <c r="I25" s="2"/>
    </row>
    <row r="26" spans="2:9" x14ac:dyDescent="0.25">
      <c r="B26" s="31"/>
      <c r="C26" s="4">
        <v>2019</v>
      </c>
      <c r="D26" s="2"/>
      <c r="E26" s="2"/>
      <c r="F26" s="2"/>
      <c r="G26" s="2"/>
      <c r="H26" s="2"/>
      <c r="I26" s="2"/>
    </row>
    <row r="27" spans="2:9" x14ac:dyDescent="0.25">
      <c r="B27" s="31"/>
      <c r="C27" s="4">
        <v>2020</v>
      </c>
      <c r="D27" s="2"/>
      <c r="E27" s="2"/>
      <c r="F27" s="2"/>
      <c r="G27" s="2"/>
      <c r="H27" s="2"/>
      <c r="I27" s="2"/>
    </row>
  </sheetData>
  <mergeCells count="6">
    <mergeCell ref="B17:B27"/>
    <mergeCell ref="C1:C2"/>
    <mergeCell ref="B3:B13"/>
    <mergeCell ref="D1:H1"/>
    <mergeCell ref="C15:C16"/>
    <mergeCell ref="D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4A63-ADAF-4D62-A30F-BFF86C0EB42A}">
  <dimension ref="B1:D13"/>
  <sheetViews>
    <sheetView workbookViewId="0">
      <selection activeCell="C12" sqref="C12"/>
    </sheetView>
  </sheetViews>
  <sheetFormatPr defaultRowHeight="15" x14ac:dyDescent="0.25"/>
  <cols>
    <col min="3" max="3" width="13.28515625" bestFit="1" customWidth="1"/>
  </cols>
  <sheetData>
    <row r="1" spans="2:4" x14ac:dyDescent="0.25">
      <c r="C1" s="10" t="s">
        <v>55</v>
      </c>
    </row>
    <row r="2" spans="2:4" x14ac:dyDescent="0.25">
      <c r="C2" s="10" t="s">
        <v>26</v>
      </c>
      <c r="D2" t="s">
        <v>27</v>
      </c>
    </row>
    <row r="3" spans="2:4" x14ac:dyDescent="0.25">
      <c r="B3" s="9">
        <v>2010</v>
      </c>
      <c r="C3" s="10"/>
    </row>
    <row r="4" spans="2:4" x14ac:dyDescent="0.25">
      <c r="B4" s="9">
        <v>2011</v>
      </c>
      <c r="C4" s="10"/>
    </row>
    <row r="5" spans="2:4" x14ac:dyDescent="0.25">
      <c r="B5" s="9">
        <v>2012</v>
      </c>
      <c r="C5" s="10"/>
    </row>
    <row r="6" spans="2:4" x14ac:dyDescent="0.25">
      <c r="B6" s="9">
        <v>2013</v>
      </c>
      <c r="C6" s="10"/>
    </row>
    <row r="7" spans="2:4" x14ac:dyDescent="0.25">
      <c r="B7" s="9">
        <v>2014</v>
      </c>
      <c r="C7" s="10"/>
    </row>
    <row r="8" spans="2:4" x14ac:dyDescent="0.25">
      <c r="B8" s="9">
        <v>2015</v>
      </c>
      <c r="C8" s="10"/>
    </row>
    <row r="9" spans="2:4" x14ac:dyDescent="0.25">
      <c r="B9" s="9">
        <v>2016</v>
      </c>
      <c r="C9" s="10"/>
    </row>
    <row r="10" spans="2:4" x14ac:dyDescent="0.25">
      <c r="B10" s="9">
        <v>2017</v>
      </c>
      <c r="C10" s="10"/>
    </row>
    <row r="11" spans="2:4" x14ac:dyDescent="0.25">
      <c r="B11" s="9">
        <v>2018</v>
      </c>
      <c r="C11" s="10">
        <v>1096961</v>
      </c>
      <c r="D11">
        <v>23012887</v>
      </c>
    </row>
    <row r="12" spans="2:4" x14ac:dyDescent="0.25">
      <c r="B12" s="9">
        <v>2019</v>
      </c>
      <c r="C12" s="10">
        <v>791102</v>
      </c>
      <c r="D12">
        <v>16755783</v>
      </c>
    </row>
    <row r="13" spans="2:4" x14ac:dyDescent="0.25">
      <c r="B13" s="9">
        <v>2020</v>
      </c>
      <c r="C1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79C3-A74B-49A4-A805-3246ACCA2738}">
  <dimension ref="B1:I14"/>
  <sheetViews>
    <sheetView workbookViewId="0">
      <selection activeCell="B1" sqref="B1:C14"/>
    </sheetView>
  </sheetViews>
  <sheetFormatPr defaultRowHeight="15" x14ac:dyDescent="0.25"/>
  <cols>
    <col min="4" max="4" width="16.85546875" customWidth="1"/>
    <col min="5" max="6" width="8" bestFit="1" customWidth="1"/>
    <col min="7" max="7" width="20.42578125" customWidth="1"/>
  </cols>
  <sheetData>
    <row r="1" spans="2:9" x14ac:dyDescent="0.25">
      <c r="C1" s="31" t="s">
        <v>0</v>
      </c>
      <c r="D1" s="29" t="s">
        <v>16</v>
      </c>
      <c r="E1" s="29"/>
      <c r="F1" s="29"/>
      <c r="G1" s="29"/>
      <c r="H1" s="2"/>
      <c r="I1" s="2"/>
    </row>
    <row r="2" spans="2:9" x14ac:dyDescent="0.25">
      <c r="C2" s="31"/>
      <c r="D2" s="42" t="s">
        <v>19</v>
      </c>
      <c r="E2" s="42"/>
      <c r="F2" s="32" t="s">
        <v>20</v>
      </c>
      <c r="G2" s="32"/>
      <c r="H2" s="2" t="s">
        <v>7</v>
      </c>
      <c r="I2" s="2"/>
    </row>
    <row r="3" spans="2:9" ht="15" customHeight="1" x14ac:dyDescent="0.25">
      <c r="C3" s="31"/>
      <c r="D3" s="5" t="s">
        <v>26</v>
      </c>
      <c r="E3" s="2" t="s">
        <v>27</v>
      </c>
      <c r="F3" s="2" t="s">
        <v>26</v>
      </c>
      <c r="G3" s="2" t="s">
        <v>27</v>
      </c>
      <c r="H3" s="2" t="s">
        <v>26</v>
      </c>
      <c r="I3" s="2" t="s">
        <v>27</v>
      </c>
    </row>
    <row r="4" spans="2:9" x14ac:dyDescent="0.25">
      <c r="B4" s="39" t="s">
        <v>25</v>
      </c>
      <c r="C4" s="4">
        <v>2010</v>
      </c>
      <c r="D4" s="4"/>
      <c r="E4" s="2"/>
      <c r="F4" s="2"/>
      <c r="G4" s="2"/>
      <c r="H4" s="2"/>
      <c r="I4" s="2"/>
    </row>
    <row r="5" spans="2:9" x14ac:dyDescent="0.25">
      <c r="B5" s="40"/>
      <c r="C5" s="4">
        <v>2011</v>
      </c>
      <c r="D5" s="4"/>
      <c r="E5" s="2"/>
      <c r="F5" s="2"/>
      <c r="G5" s="2"/>
      <c r="H5" s="2"/>
      <c r="I5" s="2"/>
    </row>
    <row r="6" spans="2:9" x14ac:dyDescent="0.25">
      <c r="B6" s="40"/>
      <c r="C6" s="4">
        <v>2012</v>
      </c>
      <c r="D6" s="4"/>
      <c r="E6" s="2"/>
      <c r="F6" s="2"/>
      <c r="G6" s="2"/>
      <c r="H6" s="2"/>
      <c r="I6" s="2"/>
    </row>
    <row r="7" spans="2:9" x14ac:dyDescent="0.25">
      <c r="B7" s="40"/>
      <c r="C7" s="4">
        <v>2013</v>
      </c>
      <c r="D7" s="2">
        <v>286989</v>
      </c>
      <c r="E7" s="2">
        <v>7039840</v>
      </c>
      <c r="F7" s="2">
        <v>609105</v>
      </c>
      <c r="G7" s="2">
        <v>11155049</v>
      </c>
      <c r="H7" s="2">
        <f>D7+F7</f>
        <v>896094</v>
      </c>
      <c r="I7" s="2">
        <f>SUM(D7:G7)-H7</f>
        <v>18194889</v>
      </c>
    </row>
    <row r="8" spans="2:9" x14ac:dyDescent="0.25">
      <c r="B8" s="40"/>
      <c r="C8" s="4">
        <v>2014</v>
      </c>
      <c r="D8" s="2">
        <v>209954</v>
      </c>
      <c r="E8" s="2">
        <v>5150171</v>
      </c>
      <c r="F8" s="2">
        <v>622037</v>
      </c>
      <c r="G8" s="2">
        <v>11856306</v>
      </c>
      <c r="H8" s="2">
        <f t="shared" ref="H8:H9" si="0">D8+F8</f>
        <v>831991</v>
      </c>
      <c r="I8" s="2">
        <f t="shared" ref="I8:I10" si="1">SUM(D8:G8)-H8</f>
        <v>17006477</v>
      </c>
    </row>
    <row r="9" spans="2:9" x14ac:dyDescent="0.25">
      <c r="B9" s="40"/>
      <c r="C9" s="4">
        <v>2015</v>
      </c>
      <c r="D9" s="2">
        <v>259663</v>
      </c>
      <c r="E9" s="2">
        <v>6369531</v>
      </c>
      <c r="F9" s="2">
        <v>522259</v>
      </c>
      <c r="G9" s="2">
        <v>11372915</v>
      </c>
      <c r="H9" s="2">
        <f t="shared" si="0"/>
        <v>781922</v>
      </c>
      <c r="I9" s="2">
        <f t="shared" si="1"/>
        <v>17742446</v>
      </c>
    </row>
    <row r="10" spans="2:9" x14ac:dyDescent="0.25">
      <c r="B10" s="40"/>
      <c r="C10" s="4">
        <v>2016</v>
      </c>
      <c r="D10" s="2">
        <v>214967</v>
      </c>
      <c r="E10" s="2">
        <v>5273141</v>
      </c>
      <c r="F10" s="2">
        <v>446226</v>
      </c>
      <c r="G10" s="2">
        <v>9496483</v>
      </c>
      <c r="H10" s="2">
        <f>D10+F10</f>
        <v>661193</v>
      </c>
      <c r="I10" s="2">
        <f t="shared" si="1"/>
        <v>14769624</v>
      </c>
    </row>
    <row r="11" spans="2:9" x14ac:dyDescent="0.25">
      <c r="B11" s="40"/>
      <c r="C11" s="4">
        <v>2017</v>
      </c>
      <c r="D11" s="4"/>
      <c r="E11" s="2"/>
      <c r="F11" s="2"/>
      <c r="G11" s="2"/>
      <c r="H11" s="2"/>
      <c r="I11" s="2"/>
    </row>
    <row r="12" spans="2:9" x14ac:dyDescent="0.25">
      <c r="B12" s="40"/>
      <c r="C12" s="4">
        <v>2018</v>
      </c>
      <c r="D12" s="4"/>
      <c r="E12" s="2"/>
      <c r="F12" s="2"/>
      <c r="G12" s="2"/>
      <c r="H12" s="2"/>
      <c r="I12" s="2"/>
    </row>
    <row r="13" spans="2:9" x14ac:dyDescent="0.25">
      <c r="B13" s="40"/>
      <c r="C13" s="4">
        <v>2019</v>
      </c>
      <c r="D13" s="4"/>
      <c r="E13" s="2"/>
      <c r="F13" s="2"/>
      <c r="G13" s="2"/>
      <c r="H13" s="2"/>
      <c r="I13" s="2"/>
    </row>
    <row r="14" spans="2:9" x14ac:dyDescent="0.25">
      <c r="B14" s="41"/>
      <c r="C14" s="4">
        <v>2020</v>
      </c>
      <c r="D14" s="4"/>
      <c r="E14" s="2"/>
      <c r="F14" s="2"/>
      <c r="G14" s="2"/>
      <c r="H14" s="2"/>
      <c r="I14" s="2"/>
    </row>
  </sheetData>
  <mergeCells count="5">
    <mergeCell ref="B4:B14"/>
    <mergeCell ref="C1:C3"/>
    <mergeCell ref="D2:E2"/>
    <mergeCell ref="D1:G1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241D-A070-4842-904C-B721D4C51959}">
  <dimension ref="B1:Q30"/>
  <sheetViews>
    <sheetView topLeftCell="A13" workbookViewId="0">
      <selection activeCell="R27" sqref="R27"/>
    </sheetView>
  </sheetViews>
  <sheetFormatPr defaultRowHeight="15" x14ac:dyDescent="0.25"/>
  <cols>
    <col min="6" max="6" width="10" bestFit="1" customWidth="1"/>
    <col min="7" max="7" width="13.42578125" customWidth="1"/>
    <col min="9" max="9" width="11" customWidth="1"/>
    <col min="10" max="10" width="10" bestFit="1" customWidth="1"/>
    <col min="12" max="12" width="10" bestFit="1" customWidth="1"/>
    <col min="14" max="14" width="11" bestFit="1" customWidth="1"/>
    <col min="16" max="16" width="11" bestFit="1" customWidth="1"/>
    <col min="18" max="18" width="11" bestFit="1" customWidth="1"/>
  </cols>
  <sheetData>
    <row r="1" spans="2:17" x14ac:dyDescent="0.25">
      <c r="C1" s="31" t="s">
        <v>0</v>
      </c>
      <c r="D1" s="31" t="s">
        <v>16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2"/>
      <c r="Q1" s="2"/>
    </row>
    <row r="2" spans="2:17" ht="27.75" customHeight="1" x14ac:dyDescent="0.25">
      <c r="C2" s="31"/>
      <c r="D2" s="31" t="s">
        <v>29</v>
      </c>
      <c r="E2" s="31"/>
      <c r="F2" s="31" t="s">
        <v>19</v>
      </c>
      <c r="G2" s="31"/>
      <c r="H2" s="31" t="s">
        <v>18</v>
      </c>
      <c r="I2" s="31"/>
      <c r="J2" s="31" t="s">
        <v>20</v>
      </c>
      <c r="K2" s="31"/>
      <c r="L2" s="31" t="s">
        <v>21</v>
      </c>
      <c r="M2" s="31"/>
      <c r="N2" s="31" t="s">
        <v>30</v>
      </c>
      <c r="O2" s="31"/>
      <c r="P2" s="29" t="s">
        <v>7</v>
      </c>
      <c r="Q2" s="29"/>
    </row>
    <row r="3" spans="2:17" x14ac:dyDescent="0.25">
      <c r="C3" s="31"/>
      <c r="D3" s="3" t="s">
        <v>31</v>
      </c>
      <c r="E3" s="3" t="s">
        <v>27</v>
      </c>
      <c r="F3" s="3" t="s">
        <v>31</v>
      </c>
      <c r="G3" s="3" t="s">
        <v>27</v>
      </c>
      <c r="H3" s="3" t="s">
        <v>31</v>
      </c>
      <c r="I3" s="3" t="s">
        <v>27</v>
      </c>
      <c r="J3" s="3" t="s">
        <v>31</v>
      </c>
      <c r="K3" s="3" t="s">
        <v>27</v>
      </c>
      <c r="L3" s="3" t="s">
        <v>31</v>
      </c>
      <c r="M3" s="3" t="s">
        <v>27</v>
      </c>
      <c r="N3" s="3" t="s">
        <v>31</v>
      </c>
      <c r="O3" s="3" t="s">
        <v>27</v>
      </c>
      <c r="P3" s="3" t="s">
        <v>31</v>
      </c>
      <c r="Q3" s="3" t="s">
        <v>27</v>
      </c>
    </row>
    <row r="4" spans="2:17" x14ac:dyDescent="0.25">
      <c r="B4" s="39" t="s">
        <v>28</v>
      </c>
      <c r="C4" s="4">
        <v>2010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ref="P4:P7" si="0">D4+F4+H4+J4+L4+N4</f>
        <v>0</v>
      </c>
      <c r="Q4" s="2">
        <f t="shared" ref="Q4:Q7" si="1">SUM(D4:O4)-P4</f>
        <v>0</v>
      </c>
    </row>
    <row r="5" spans="2:17" x14ac:dyDescent="0.25">
      <c r="B5" s="40"/>
      <c r="C5" s="4">
        <v>2011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f t="shared" si="0"/>
        <v>0</v>
      </c>
      <c r="Q5" s="2">
        <f t="shared" si="1"/>
        <v>0</v>
      </c>
    </row>
    <row r="6" spans="2:17" x14ac:dyDescent="0.25">
      <c r="B6" s="40"/>
      <c r="C6" s="4">
        <v>2012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f t="shared" si="0"/>
        <v>0</v>
      </c>
      <c r="Q6" s="2">
        <f t="shared" si="1"/>
        <v>0</v>
      </c>
    </row>
    <row r="7" spans="2:17" x14ac:dyDescent="0.25">
      <c r="B7" s="40"/>
      <c r="C7" s="4">
        <v>2013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f t="shared" si="0"/>
        <v>0</v>
      </c>
      <c r="Q7" s="2">
        <f t="shared" si="1"/>
        <v>0</v>
      </c>
    </row>
    <row r="8" spans="2:17" x14ac:dyDescent="0.25">
      <c r="B8" s="40"/>
      <c r="C8" s="4">
        <v>2014</v>
      </c>
      <c r="D8" s="2">
        <v>125889</v>
      </c>
      <c r="E8" s="2">
        <v>453</v>
      </c>
      <c r="F8" s="2">
        <v>629937699</v>
      </c>
      <c r="G8" s="2">
        <v>2267776</v>
      </c>
      <c r="H8" s="2">
        <v>19957000</v>
      </c>
      <c r="I8" s="2">
        <v>71865</v>
      </c>
      <c r="J8" s="2">
        <v>622425516</v>
      </c>
      <c r="K8" s="2">
        <v>2240732</v>
      </c>
      <c r="L8" s="2">
        <v>46993500</v>
      </c>
      <c r="M8" s="2">
        <v>169176</v>
      </c>
      <c r="N8" s="2">
        <v>240424552</v>
      </c>
      <c r="O8" s="2">
        <v>865521</v>
      </c>
      <c r="P8" s="2">
        <f>D8+F8+H8+J8+L8+N8</f>
        <v>1559864156</v>
      </c>
      <c r="Q8" s="2">
        <f>SUM(D8:O8)-P8</f>
        <v>5615523</v>
      </c>
    </row>
    <row r="9" spans="2:17" x14ac:dyDescent="0.25">
      <c r="B9" s="40"/>
      <c r="C9" s="4">
        <v>2015</v>
      </c>
      <c r="D9" s="2">
        <v>177372</v>
      </c>
      <c r="E9" s="2">
        <v>638</v>
      </c>
      <c r="F9" s="2">
        <v>690353224</v>
      </c>
      <c r="G9" s="2">
        <v>2485272</v>
      </c>
      <c r="H9" s="2">
        <v>19030000</v>
      </c>
      <c r="I9" s="2">
        <v>68527</v>
      </c>
      <c r="J9" s="2">
        <v>747081208</v>
      </c>
      <c r="K9" s="2">
        <v>2689492</v>
      </c>
      <c r="L9" s="2">
        <v>54752140</v>
      </c>
      <c r="M9" s="2">
        <v>197107</v>
      </c>
      <c r="N9" s="2">
        <v>250117273</v>
      </c>
      <c r="O9" s="2">
        <v>900415</v>
      </c>
      <c r="P9" s="2">
        <f t="shared" ref="P9:P14" si="2">D9+F9+H9+J9+L9+N9</f>
        <v>1761511217</v>
      </c>
      <c r="Q9" s="2">
        <f t="shared" ref="Q9:Q14" si="3">SUM(D9:O9)-P9</f>
        <v>6341451</v>
      </c>
    </row>
    <row r="10" spans="2:17" x14ac:dyDescent="0.25">
      <c r="B10" s="40"/>
      <c r="C10" s="4">
        <v>2016</v>
      </c>
      <c r="D10" s="2">
        <v>186068</v>
      </c>
      <c r="E10" s="2">
        <v>669</v>
      </c>
      <c r="F10" s="2">
        <v>705376178</v>
      </c>
      <c r="G10" s="2">
        <v>2539354</v>
      </c>
      <c r="H10" s="2">
        <v>29606000</v>
      </c>
      <c r="I10" s="2">
        <v>106611</v>
      </c>
      <c r="J10" s="2">
        <v>677977715</v>
      </c>
      <c r="K10" s="2">
        <v>2440720</v>
      </c>
      <c r="L10" s="2">
        <v>110190560</v>
      </c>
      <c r="M10" s="2">
        <v>396686</v>
      </c>
      <c r="N10" s="2">
        <v>231965613</v>
      </c>
      <c r="O10" s="2">
        <v>835070</v>
      </c>
      <c r="P10" s="2">
        <f t="shared" si="2"/>
        <v>1755302134</v>
      </c>
      <c r="Q10" s="2">
        <f t="shared" si="3"/>
        <v>6319110</v>
      </c>
    </row>
    <row r="11" spans="2:17" x14ac:dyDescent="0.25">
      <c r="B11" s="40"/>
      <c r="C11" s="4">
        <v>2017</v>
      </c>
      <c r="D11" s="2">
        <v>258826</v>
      </c>
      <c r="E11" s="2">
        <v>931</v>
      </c>
      <c r="F11" s="2">
        <v>721986095</v>
      </c>
      <c r="G11" s="2">
        <v>2599150</v>
      </c>
      <c r="H11" s="2">
        <v>41018000</v>
      </c>
      <c r="I11" s="2">
        <v>147706</v>
      </c>
      <c r="J11" s="2">
        <v>644762126</v>
      </c>
      <c r="K11" s="2">
        <v>2321144</v>
      </c>
      <c r="L11" s="2">
        <v>70088680</v>
      </c>
      <c r="M11" s="2">
        <v>252319</v>
      </c>
      <c r="N11" s="2">
        <v>283173717</v>
      </c>
      <c r="O11" s="2">
        <v>1019417</v>
      </c>
      <c r="P11" s="2">
        <f t="shared" si="2"/>
        <v>1761287444</v>
      </c>
      <c r="Q11" s="2">
        <f t="shared" si="3"/>
        <v>6340667</v>
      </c>
    </row>
    <row r="12" spans="2:17" x14ac:dyDescent="0.25">
      <c r="B12" s="40"/>
      <c r="C12" s="4">
        <v>2018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f t="shared" si="2"/>
        <v>0</v>
      </c>
      <c r="Q12" s="2">
        <f t="shared" si="3"/>
        <v>0</v>
      </c>
    </row>
    <row r="13" spans="2:17" x14ac:dyDescent="0.25">
      <c r="B13" s="40"/>
      <c r="C13" s="4">
        <v>2019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f t="shared" si="2"/>
        <v>0</v>
      </c>
      <c r="Q13" s="2">
        <f t="shared" si="3"/>
        <v>0</v>
      </c>
    </row>
    <row r="14" spans="2:17" x14ac:dyDescent="0.25">
      <c r="B14" s="41"/>
      <c r="C14" s="4">
        <v>2020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f t="shared" si="2"/>
        <v>0</v>
      </c>
      <c r="Q14" s="2">
        <f t="shared" si="3"/>
        <v>0</v>
      </c>
    </row>
    <row r="17" spans="2:17" x14ac:dyDescent="0.25">
      <c r="C17" s="31" t="s">
        <v>0</v>
      </c>
      <c r="D17" s="29" t="s">
        <v>16</v>
      </c>
      <c r="E17" s="29"/>
      <c r="F17" s="29"/>
      <c r="G17" s="29"/>
      <c r="H17" s="29"/>
      <c r="I17" s="29"/>
    </row>
    <row r="18" spans="2:17" ht="29.25" customHeight="1" x14ac:dyDescent="0.25">
      <c r="C18" s="31"/>
      <c r="D18" s="31" t="s">
        <v>19</v>
      </c>
      <c r="E18" s="31"/>
      <c r="F18" s="31" t="s">
        <v>18</v>
      </c>
      <c r="G18" s="31"/>
      <c r="H18" s="31" t="s">
        <v>21</v>
      </c>
      <c r="I18" s="31"/>
      <c r="J18" s="31" t="s">
        <v>7</v>
      </c>
      <c r="K18" s="31"/>
      <c r="N18" s="35" t="s">
        <v>56</v>
      </c>
      <c r="O18" s="37"/>
      <c r="P18" s="14">
        <v>3.5999999999999999E-3</v>
      </c>
      <c r="Q18" s="2" t="s">
        <v>40</v>
      </c>
    </row>
    <row r="19" spans="2:17" x14ac:dyDescent="0.25">
      <c r="C19" s="31"/>
      <c r="D19" s="2" t="s">
        <v>36</v>
      </c>
      <c r="E19" s="2" t="s">
        <v>37</v>
      </c>
      <c r="F19" s="2" t="s">
        <v>36</v>
      </c>
      <c r="G19" s="2" t="s">
        <v>37</v>
      </c>
      <c r="H19" s="2" t="s">
        <v>36</v>
      </c>
      <c r="I19" s="2" t="s">
        <v>37</v>
      </c>
      <c r="J19" s="8" t="s">
        <v>36</v>
      </c>
      <c r="K19" s="8" t="s">
        <v>37</v>
      </c>
      <c r="N19" s="2" t="s">
        <v>31</v>
      </c>
      <c r="O19" s="2" t="s">
        <v>27</v>
      </c>
    </row>
    <row r="20" spans="2:17" x14ac:dyDescent="0.25">
      <c r="B20" s="39" t="s">
        <v>28</v>
      </c>
      <c r="C20" s="4">
        <v>2010</v>
      </c>
      <c r="D20" s="2"/>
      <c r="E20" s="2"/>
      <c r="F20" s="2"/>
      <c r="G20" s="2"/>
      <c r="H20" s="2"/>
      <c r="I20" s="2"/>
      <c r="J20" s="2">
        <f>D20+F20+H20</f>
        <v>0</v>
      </c>
      <c r="K20" s="2">
        <f>E20+G20+I20</f>
        <v>0</v>
      </c>
      <c r="M20" s="13">
        <v>2010</v>
      </c>
      <c r="N20" s="2">
        <f t="shared" ref="N20:N27" si="4">J20+P4</f>
        <v>0</v>
      </c>
      <c r="O20" s="2">
        <f>N20*$P$18</f>
        <v>0</v>
      </c>
    </row>
    <row r="21" spans="2:17" x14ac:dyDescent="0.25">
      <c r="B21" s="40"/>
      <c r="C21" s="4">
        <v>2011</v>
      </c>
      <c r="D21" s="2"/>
      <c r="E21" s="2"/>
      <c r="F21" s="2"/>
      <c r="G21" s="2"/>
      <c r="H21" s="2"/>
      <c r="I21" s="2"/>
      <c r="J21" s="2">
        <f t="shared" ref="J21:K30" si="5">D21+F21+H21</f>
        <v>0</v>
      </c>
      <c r="K21" s="2">
        <f t="shared" si="5"/>
        <v>0</v>
      </c>
      <c r="M21" s="13">
        <v>2011</v>
      </c>
      <c r="N21" s="2">
        <f t="shared" si="4"/>
        <v>0</v>
      </c>
      <c r="O21" s="2">
        <f t="shared" ref="O21:O30" si="6">N21*$P$18</f>
        <v>0</v>
      </c>
    </row>
    <row r="22" spans="2:17" x14ac:dyDescent="0.25">
      <c r="B22" s="40"/>
      <c r="C22" s="4">
        <v>2012</v>
      </c>
      <c r="D22" s="2"/>
      <c r="E22" s="2"/>
      <c r="F22" s="2"/>
      <c r="G22" s="2"/>
      <c r="H22" s="2"/>
      <c r="I22" s="2"/>
      <c r="J22" s="2">
        <f t="shared" si="5"/>
        <v>0</v>
      </c>
      <c r="K22" s="2">
        <f t="shared" si="5"/>
        <v>0</v>
      </c>
      <c r="M22" s="13">
        <v>2012</v>
      </c>
      <c r="N22" s="2">
        <f t="shared" si="4"/>
        <v>0</v>
      </c>
      <c r="O22" s="2">
        <f t="shared" si="6"/>
        <v>0</v>
      </c>
    </row>
    <row r="23" spans="2:17" x14ac:dyDescent="0.25">
      <c r="B23" s="40"/>
      <c r="C23" s="4">
        <v>2013</v>
      </c>
      <c r="D23" s="2"/>
      <c r="E23" s="2"/>
      <c r="F23" s="2"/>
      <c r="G23" s="2"/>
      <c r="H23" s="2"/>
      <c r="I23" s="2"/>
      <c r="J23" s="2">
        <f t="shared" si="5"/>
        <v>0</v>
      </c>
      <c r="K23" s="2">
        <f t="shared" si="5"/>
        <v>0</v>
      </c>
      <c r="M23" s="13">
        <v>2013</v>
      </c>
      <c r="N23" s="2">
        <f t="shared" si="4"/>
        <v>0</v>
      </c>
      <c r="O23" s="2">
        <f t="shared" si="6"/>
        <v>0</v>
      </c>
    </row>
    <row r="24" spans="2:17" x14ac:dyDescent="0.25">
      <c r="B24" s="40"/>
      <c r="C24" s="4">
        <v>2014</v>
      </c>
      <c r="D24" s="2">
        <v>97057611</v>
      </c>
      <c r="E24" s="2">
        <v>71920</v>
      </c>
      <c r="F24" s="2">
        <v>19957000</v>
      </c>
      <c r="G24" s="2">
        <v>14469</v>
      </c>
      <c r="H24" s="2">
        <v>3435690</v>
      </c>
      <c r="I24" s="2">
        <v>1590</v>
      </c>
      <c r="J24" s="2">
        <f t="shared" si="5"/>
        <v>120450301</v>
      </c>
      <c r="K24" s="2">
        <f t="shared" si="5"/>
        <v>87979</v>
      </c>
      <c r="M24" s="13">
        <v>2014</v>
      </c>
      <c r="N24" s="2">
        <f t="shared" si="4"/>
        <v>1680314457</v>
      </c>
      <c r="O24" s="2">
        <f t="shared" si="6"/>
        <v>6049132.0451999996</v>
      </c>
    </row>
    <row r="25" spans="2:17" x14ac:dyDescent="0.25">
      <c r="B25" s="40"/>
      <c r="C25" s="4">
        <v>2015</v>
      </c>
      <c r="D25" s="2">
        <v>67722334</v>
      </c>
      <c r="E25" s="2">
        <v>50182</v>
      </c>
      <c r="F25" s="2">
        <v>19030000</v>
      </c>
      <c r="G25" s="2">
        <v>13797</v>
      </c>
      <c r="H25" s="2">
        <v>3817994</v>
      </c>
      <c r="I25" s="2">
        <v>2173</v>
      </c>
      <c r="J25" s="2">
        <f t="shared" si="5"/>
        <v>90570328</v>
      </c>
      <c r="K25" s="2">
        <f t="shared" si="5"/>
        <v>66152</v>
      </c>
      <c r="M25" s="13">
        <v>2015</v>
      </c>
      <c r="N25" s="2">
        <f t="shared" si="4"/>
        <v>1852081545</v>
      </c>
      <c r="O25" s="2">
        <f t="shared" si="6"/>
        <v>6667493.5619999999</v>
      </c>
    </row>
    <row r="26" spans="2:17" x14ac:dyDescent="0.25">
      <c r="B26" s="40"/>
      <c r="C26" s="4">
        <v>2016</v>
      </c>
      <c r="D26" s="2">
        <v>95762921</v>
      </c>
      <c r="E26" s="2">
        <v>70960</v>
      </c>
      <c r="F26" s="2">
        <v>29606000</v>
      </c>
      <c r="G26" s="2">
        <v>21464</v>
      </c>
      <c r="H26" s="2">
        <v>3168000</v>
      </c>
      <c r="I26" s="2">
        <v>2619</v>
      </c>
      <c r="J26" s="2">
        <f t="shared" si="5"/>
        <v>128536921</v>
      </c>
      <c r="K26" s="2">
        <f t="shared" si="5"/>
        <v>95043</v>
      </c>
      <c r="M26" s="13">
        <v>2016</v>
      </c>
      <c r="N26" s="2">
        <f t="shared" si="4"/>
        <v>1883839055</v>
      </c>
      <c r="O26" s="2">
        <f t="shared" si="6"/>
        <v>6781820.5980000002</v>
      </c>
    </row>
    <row r="27" spans="2:17" x14ac:dyDescent="0.25">
      <c r="B27" s="40"/>
      <c r="C27" s="4">
        <v>2017</v>
      </c>
      <c r="D27" s="2">
        <v>97768000</v>
      </c>
      <c r="E27" s="2">
        <v>72446</v>
      </c>
      <c r="F27" s="2">
        <v>41018000</v>
      </c>
      <c r="G27" s="2">
        <v>29738</v>
      </c>
      <c r="H27" s="2">
        <v>3435690</v>
      </c>
      <c r="I27" s="2">
        <v>2356</v>
      </c>
      <c r="J27" s="2">
        <f t="shared" si="5"/>
        <v>142221690</v>
      </c>
      <c r="K27" s="2">
        <f t="shared" si="5"/>
        <v>104540</v>
      </c>
      <c r="M27" s="13">
        <v>2017</v>
      </c>
      <c r="N27" s="2">
        <f t="shared" si="4"/>
        <v>1903509134</v>
      </c>
      <c r="O27" s="2">
        <f t="shared" si="6"/>
        <v>6852632.8823999995</v>
      </c>
    </row>
    <row r="28" spans="2:17" x14ac:dyDescent="0.25">
      <c r="B28" s="40"/>
      <c r="C28" s="4">
        <v>2018</v>
      </c>
      <c r="D28" s="2"/>
      <c r="E28" s="2"/>
      <c r="F28" s="2"/>
      <c r="G28" s="2"/>
      <c r="H28" s="2"/>
      <c r="I28" s="2"/>
      <c r="J28" s="2">
        <f t="shared" si="5"/>
        <v>0</v>
      </c>
      <c r="K28" s="2">
        <f t="shared" si="5"/>
        <v>0</v>
      </c>
      <c r="M28" s="13">
        <v>2018</v>
      </c>
      <c r="N28" s="2">
        <v>1739432246.3</v>
      </c>
      <c r="O28" s="2">
        <f t="shared" si="6"/>
        <v>6261956.0866799997</v>
      </c>
    </row>
    <row r="29" spans="2:17" x14ac:dyDescent="0.25">
      <c r="B29" s="40"/>
      <c r="C29" s="4">
        <v>2019</v>
      </c>
      <c r="D29" s="2"/>
      <c r="E29" s="2"/>
      <c r="F29" s="2"/>
      <c r="G29" s="2"/>
      <c r="H29" s="2"/>
      <c r="I29" s="2"/>
      <c r="J29" s="2">
        <f t="shared" si="5"/>
        <v>0</v>
      </c>
      <c r="K29" s="2">
        <f t="shared" si="5"/>
        <v>0</v>
      </c>
      <c r="M29" s="13">
        <v>2019</v>
      </c>
      <c r="N29" s="2">
        <v>1896317305</v>
      </c>
      <c r="O29" s="2">
        <f t="shared" si="6"/>
        <v>6826742.2979999995</v>
      </c>
    </row>
    <row r="30" spans="2:17" x14ac:dyDescent="0.25">
      <c r="B30" s="41"/>
      <c r="C30" s="4">
        <v>2020</v>
      </c>
      <c r="D30" s="2"/>
      <c r="E30" s="2"/>
      <c r="F30" s="2"/>
      <c r="G30" s="2"/>
      <c r="H30" s="2"/>
      <c r="I30" s="2"/>
      <c r="J30" s="2">
        <f t="shared" si="5"/>
        <v>0</v>
      </c>
      <c r="K30" s="2">
        <f t="shared" si="5"/>
        <v>0</v>
      </c>
      <c r="M30" s="4">
        <v>2020</v>
      </c>
      <c r="N30" s="2">
        <f>J30+P14</f>
        <v>0</v>
      </c>
      <c r="O30" s="2">
        <f t="shared" si="6"/>
        <v>0</v>
      </c>
    </row>
  </sheetData>
  <mergeCells count="18">
    <mergeCell ref="C1:C3"/>
    <mergeCell ref="B4:B14"/>
    <mergeCell ref="D2:E2"/>
    <mergeCell ref="F2:G2"/>
    <mergeCell ref="H2:I2"/>
    <mergeCell ref="J2:K2"/>
    <mergeCell ref="L2:M2"/>
    <mergeCell ref="N2:O2"/>
    <mergeCell ref="D1:O1"/>
    <mergeCell ref="P2:Q2"/>
    <mergeCell ref="B20:B30"/>
    <mergeCell ref="N18:O18"/>
    <mergeCell ref="C17:C19"/>
    <mergeCell ref="D17:I17"/>
    <mergeCell ref="D18:E18"/>
    <mergeCell ref="F18:G18"/>
    <mergeCell ref="H18:I18"/>
    <mergeCell ref="J18:K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CC30-3B09-4E33-802D-BCA30C96C158}">
  <dimension ref="B1:K14"/>
  <sheetViews>
    <sheetView workbookViewId="0">
      <selection activeCell="H24" sqref="H24"/>
    </sheetView>
  </sheetViews>
  <sheetFormatPr defaultRowHeight="15" x14ac:dyDescent="0.25"/>
  <cols>
    <col min="4" max="4" width="13.42578125" customWidth="1"/>
    <col min="5" max="5" width="13.85546875" customWidth="1"/>
    <col min="8" max="8" width="13.140625" customWidth="1"/>
    <col min="9" max="9" width="12.28515625" customWidth="1"/>
  </cols>
  <sheetData>
    <row r="1" spans="2:11" x14ac:dyDescent="0.25">
      <c r="C1" s="31" t="s">
        <v>0</v>
      </c>
      <c r="D1" s="29" t="s">
        <v>16</v>
      </c>
      <c r="E1" s="29"/>
      <c r="F1" s="29"/>
      <c r="G1" s="29"/>
      <c r="H1" s="29"/>
      <c r="I1" s="29"/>
    </row>
    <row r="2" spans="2:11" x14ac:dyDescent="0.25">
      <c r="C2" s="31"/>
      <c r="D2" s="29" t="s">
        <v>19</v>
      </c>
      <c r="E2" s="29"/>
      <c r="F2" s="29" t="s">
        <v>18</v>
      </c>
      <c r="G2" s="29"/>
      <c r="H2" s="29" t="s">
        <v>21</v>
      </c>
      <c r="I2" s="29"/>
      <c r="J2" s="29" t="s">
        <v>7</v>
      </c>
      <c r="K2" s="29"/>
    </row>
    <row r="3" spans="2:11" x14ac:dyDescent="0.25">
      <c r="C3" s="31"/>
      <c r="D3" s="2" t="s">
        <v>36</v>
      </c>
      <c r="E3" s="2" t="s">
        <v>37</v>
      </c>
      <c r="F3" s="2" t="s">
        <v>36</v>
      </c>
      <c r="G3" s="2" t="s">
        <v>37</v>
      </c>
      <c r="H3" s="2" t="s">
        <v>36</v>
      </c>
      <c r="I3" s="2" t="s">
        <v>37</v>
      </c>
      <c r="J3" s="8" t="s">
        <v>36</v>
      </c>
      <c r="K3" s="8" t="s">
        <v>37</v>
      </c>
    </row>
    <row r="4" spans="2:11" x14ac:dyDescent="0.25">
      <c r="B4" s="39" t="s">
        <v>28</v>
      </c>
      <c r="C4" s="4">
        <v>2010</v>
      </c>
      <c r="D4" s="2"/>
      <c r="E4" s="2"/>
      <c r="F4" s="2"/>
      <c r="G4" s="2"/>
      <c r="H4" s="2"/>
      <c r="I4" s="2"/>
      <c r="J4" s="2">
        <f>D4+F4+H4</f>
        <v>0</v>
      </c>
      <c r="K4" s="2">
        <f>E4+G4+I4</f>
        <v>0</v>
      </c>
    </row>
    <row r="5" spans="2:11" x14ac:dyDescent="0.25">
      <c r="B5" s="40"/>
      <c r="C5" s="4">
        <v>2011</v>
      </c>
      <c r="D5" s="2"/>
      <c r="E5" s="2"/>
      <c r="F5" s="2"/>
      <c r="G5" s="2"/>
      <c r="H5" s="2"/>
      <c r="I5" s="2"/>
      <c r="J5" s="2">
        <f t="shared" ref="J5:J14" si="0">D5+F5+H5</f>
        <v>0</v>
      </c>
      <c r="K5" s="2">
        <f t="shared" ref="K5:K14" si="1">E5+G5+I5</f>
        <v>0</v>
      </c>
    </row>
    <row r="6" spans="2:11" x14ac:dyDescent="0.25">
      <c r="B6" s="40"/>
      <c r="C6" s="4">
        <v>2012</v>
      </c>
      <c r="D6" s="2"/>
      <c r="E6" s="2"/>
      <c r="F6" s="2"/>
      <c r="G6" s="2"/>
      <c r="H6" s="2"/>
      <c r="I6" s="2"/>
      <c r="J6" s="2">
        <f t="shared" si="0"/>
        <v>0</v>
      </c>
      <c r="K6" s="2">
        <f t="shared" si="1"/>
        <v>0</v>
      </c>
    </row>
    <row r="7" spans="2:11" x14ac:dyDescent="0.25">
      <c r="B7" s="40"/>
      <c r="C7" s="4">
        <v>2013</v>
      </c>
      <c r="D7" s="2"/>
      <c r="E7" s="2"/>
      <c r="F7" s="2"/>
      <c r="G7" s="2"/>
      <c r="H7" s="2"/>
      <c r="I7" s="2"/>
      <c r="J7" s="2">
        <f t="shared" si="0"/>
        <v>0</v>
      </c>
      <c r="K7" s="2">
        <f t="shared" si="1"/>
        <v>0</v>
      </c>
    </row>
    <row r="8" spans="2:11" x14ac:dyDescent="0.25">
      <c r="B8" s="40"/>
      <c r="C8" s="4">
        <v>2014</v>
      </c>
      <c r="D8" s="2">
        <v>97057611</v>
      </c>
      <c r="E8" s="2">
        <v>71920</v>
      </c>
      <c r="F8" s="2">
        <v>19957000</v>
      </c>
      <c r="G8" s="2">
        <v>14469</v>
      </c>
      <c r="H8" s="2">
        <v>3435690</v>
      </c>
      <c r="I8" s="2">
        <v>1590</v>
      </c>
      <c r="J8" s="2">
        <f t="shared" si="0"/>
        <v>120450301</v>
      </c>
      <c r="K8" s="2">
        <f t="shared" si="1"/>
        <v>87979</v>
      </c>
    </row>
    <row r="9" spans="2:11" x14ac:dyDescent="0.25">
      <c r="B9" s="40"/>
      <c r="C9" s="4">
        <v>2015</v>
      </c>
      <c r="D9" s="2">
        <v>67722334</v>
      </c>
      <c r="E9" s="2">
        <v>50182</v>
      </c>
      <c r="F9" s="2">
        <v>19030000</v>
      </c>
      <c r="G9" s="2">
        <v>13797</v>
      </c>
      <c r="H9" s="2">
        <v>3817994</v>
      </c>
      <c r="I9" s="2">
        <v>2173</v>
      </c>
      <c r="J9" s="2">
        <f t="shared" si="0"/>
        <v>90570328</v>
      </c>
      <c r="K9" s="2">
        <f t="shared" si="1"/>
        <v>66152</v>
      </c>
    </row>
    <row r="10" spans="2:11" x14ac:dyDescent="0.25">
      <c r="B10" s="40"/>
      <c r="C10" s="4">
        <v>2016</v>
      </c>
      <c r="D10" s="2">
        <v>95762921</v>
      </c>
      <c r="E10" s="2">
        <v>70960</v>
      </c>
      <c r="F10" s="2">
        <v>29606000</v>
      </c>
      <c r="G10" s="2">
        <v>21464</v>
      </c>
      <c r="H10" s="2">
        <v>3168000</v>
      </c>
      <c r="I10" s="2">
        <v>2619</v>
      </c>
      <c r="J10" s="2">
        <f t="shared" si="0"/>
        <v>128536921</v>
      </c>
      <c r="K10" s="2">
        <f t="shared" si="1"/>
        <v>95043</v>
      </c>
    </row>
    <row r="11" spans="2:11" x14ac:dyDescent="0.25">
      <c r="B11" s="40"/>
      <c r="C11" s="4">
        <v>2017</v>
      </c>
      <c r="D11" s="2">
        <v>97768000</v>
      </c>
      <c r="E11" s="2">
        <v>72446</v>
      </c>
      <c r="F11" s="2">
        <v>41018000</v>
      </c>
      <c r="G11" s="2">
        <v>29738</v>
      </c>
      <c r="H11" s="2">
        <v>3435690</v>
      </c>
      <c r="I11" s="2">
        <v>2356</v>
      </c>
      <c r="J11" s="2">
        <f t="shared" si="0"/>
        <v>142221690</v>
      </c>
      <c r="K11" s="2">
        <f t="shared" si="1"/>
        <v>104540</v>
      </c>
    </row>
    <row r="12" spans="2:11" x14ac:dyDescent="0.25">
      <c r="B12" s="40"/>
      <c r="C12" s="4">
        <v>2018</v>
      </c>
      <c r="D12" s="2"/>
      <c r="E12" s="2"/>
      <c r="F12" s="2"/>
      <c r="G12" s="2"/>
      <c r="H12" s="2"/>
      <c r="I12" s="2"/>
      <c r="J12" s="2">
        <f t="shared" si="0"/>
        <v>0</v>
      </c>
      <c r="K12" s="2">
        <f t="shared" si="1"/>
        <v>0</v>
      </c>
    </row>
    <row r="13" spans="2:11" x14ac:dyDescent="0.25">
      <c r="B13" s="40"/>
      <c r="C13" s="4">
        <v>2019</v>
      </c>
      <c r="D13" s="2"/>
      <c r="E13" s="2"/>
      <c r="F13" s="2"/>
      <c r="G13" s="2"/>
      <c r="H13" s="2"/>
      <c r="I13" s="2"/>
      <c r="J13" s="2">
        <f t="shared" si="0"/>
        <v>0</v>
      </c>
      <c r="K13" s="2">
        <f t="shared" si="1"/>
        <v>0</v>
      </c>
    </row>
    <row r="14" spans="2:11" x14ac:dyDescent="0.25">
      <c r="B14" s="41"/>
      <c r="C14" s="4">
        <v>2020</v>
      </c>
      <c r="D14" s="2"/>
      <c r="E14" s="2"/>
      <c r="F14" s="2"/>
      <c r="G14" s="2"/>
      <c r="H14" s="2"/>
      <c r="I14" s="2"/>
      <c r="J14" s="2">
        <f t="shared" si="0"/>
        <v>0</v>
      </c>
      <c r="K14" s="2">
        <f t="shared" si="1"/>
        <v>0</v>
      </c>
    </row>
  </sheetData>
  <mergeCells count="7">
    <mergeCell ref="H2:I2"/>
    <mergeCell ref="D1:I1"/>
    <mergeCell ref="J2:K2"/>
    <mergeCell ref="C1:C3"/>
    <mergeCell ref="B4:B14"/>
    <mergeCell ref="D2:E2"/>
    <mergeCell ref="F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CE12-F4EF-4ACE-85FF-AD045BE514DD}">
  <dimension ref="B1:O14"/>
  <sheetViews>
    <sheetView workbookViewId="0">
      <selection activeCell="N14" sqref="N14"/>
    </sheetView>
  </sheetViews>
  <sheetFormatPr defaultRowHeight="15" x14ac:dyDescent="0.25"/>
  <cols>
    <col min="4" max="4" width="11.5703125" bestFit="1" customWidth="1"/>
    <col min="5" max="5" width="10.5703125" bestFit="1" customWidth="1"/>
    <col min="6" max="6" width="11.5703125" bestFit="1" customWidth="1"/>
    <col min="7" max="7" width="10.5703125" bestFit="1" customWidth="1"/>
    <col min="8" max="8" width="13.28515625" bestFit="1" customWidth="1"/>
    <col min="9" max="9" width="10.5703125" bestFit="1" customWidth="1"/>
    <col min="10" max="10" width="11.5703125" bestFit="1" customWidth="1"/>
    <col min="11" max="11" width="9.5703125" bestFit="1" customWidth="1"/>
    <col min="12" max="12" width="11.5703125" bestFit="1" customWidth="1"/>
    <col min="13" max="13" width="10.5703125" bestFit="1" customWidth="1"/>
    <col min="14" max="14" width="13.28515625" bestFit="1" customWidth="1"/>
    <col min="15" max="15" width="11.5703125" bestFit="1" customWidth="1"/>
  </cols>
  <sheetData>
    <row r="1" spans="2:15" x14ac:dyDescent="0.25">
      <c r="C1" s="31" t="s">
        <v>0</v>
      </c>
      <c r="D1" s="31" t="s">
        <v>16</v>
      </c>
      <c r="E1" s="31"/>
      <c r="F1" s="31"/>
      <c r="G1" s="31"/>
      <c r="H1" s="31"/>
      <c r="I1" s="31"/>
      <c r="J1" s="31"/>
      <c r="K1" s="31"/>
      <c r="L1" s="31"/>
      <c r="M1" s="31"/>
      <c r="N1" s="2"/>
      <c r="O1" s="2"/>
    </row>
    <row r="2" spans="2:15" x14ac:dyDescent="0.25">
      <c r="C2" s="31"/>
      <c r="D2" s="31" t="s">
        <v>19</v>
      </c>
      <c r="E2" s="31"/>
      <c r="F2" s="31" t="s">
        <v>18</v>
      </c>
      <c r="G2" s="31"/>
      <c r="H2" s="31" t="s">
        <v>20</v>
      </c>
      <c r="I2" s="31"/>
      <c r="J2" s="31" t="s">
        <v>21</v>
      </c>
      <c r="K2" s="31"/>
      <c r="L2" s="31" t="s">
        <v>30</v>
      </c>
      <c r="M2" s="31"/>
      <c r="N2" s="29" t="s">
        <v>7</v>
      </c>
      <c r="O2" s="29"/>
    </row>
    <row r="3" spans="2:15" x14ac:dyDescent="0.25">
      <c r="C3" s="31"/>
      <c r="D3" s="3" t="s">
        <v>32</v>
      </c>
      <c r="E3" s="3" t="s">
        <v>27</v>
      </c>
      <c r="F3" s="3" t="s">
        <v>32</v>
      </c>
      <c r="G3" s="3" t="s">
        <v>27</v>
      </c>
      <c r="H3" s="3" t="s">
        <v>32</v>
      </c>
      <c r="I3" s="3" t="s">
        <v>27</v>
      </c>
      <c r="J3" s="3" t="s">
        <v>32</v>
      </c>
      <c r="K3" s="3" t="s">
        <v>27</v>
      </c>
      <c r="L3" s="3" t="s">
        <v>32</v>
      </c>
      <c r="M3" s="3" t="s">
        <v>27</v>
      </c>
      <c r="N3" s="3" t="s">
        <v>32</v>
      </c>
      <c r="O3" s="3" t="s">
        <v>27</v>
      </c>
    </row>
    <row r="4" spans="2:15" x14ac:dyDescent="0.25">
      <c r="B4" s="39" t="s">
        <v>28</v>
      </c>
      <c r="C4" s="4">
        <v>2010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25">
      <c r="B5" s="40"/>
      <c r="C5" s="4">
        <v>2011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5" x14ac:dyDescent="0.25">
      <c r="B6" s="40"/>
      <c r="C6" s="4">
        <v>2012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2:15" x14ac:dyDescent="0.25">
      <c r="B7" s="40"/>
      <c r="C7" s="4">
        <v>2013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5" x14ac:dyDescent="0.25">
      <c r="B8" s="40"/>
      <c r="C8" s="4">
        <v>2014</v>
      </c>
      <c r="D8" s="11">
        <v>529103</v>
      </c>
      <c r="E8" s="11">
        <v>20032</v>
      </c>
      <c r="F8" s="11">
        <v>398329</v>
      </c>
      <c r="G8" s="11">
        <v>15399.4</v>
      </c>
      <c r="H8" s="11">
        <v>913058</v>
      </c>
      <c r="I8" s="11">
        <v>35609</v>
      </c>
      <c r="J8" s="11">
        <v>100330</v>
      </c>
      <c r="K8" s="11">
        <v>4033</v>
      </c>
      <c r="L8" s="11">
        <v>362863</v>
      </c>
      <c r="M8" s="11">
        <v>14151.66</v>
      </c>
      <c r="N8" s="11">
        <f>D8+F8+H8+J8+L8</f>
        <v>2303683</v>
      </c>
      <c r="O8" s="11">
        <f>SUM(D8:M8)-N8</f>
        <v>89225.060000000056</v>
      </c>
    </row>
    <row r="9" spans="2:15" x14ac:dyDescent="0.25">
      <c r="B9" s="40"/>
      <c r="C9" s="4">
        <v>2015</v>
      </c>
      <c r="D9" s="11">
        <v>466389</v>
      </c>
      <c r="E9" s="11">
        <v>17657</v>
      </c>
      <c r="F9" s="11">
        <v>375024</v>
      </c>
      <c r="G9" s="11">
        <v>14498.4</v>
      </c>
      <c r="H9" s="11">
        <v>1137447</v>
      </c>
      <c r="I9" s="11">
        <v>44360</v>
      </c>
      <c r="J9" s="11">
        <v>108320</v>
      </c>
      <c r="K9" s="11">
        <v>4354</v>
      </c>
      <c r="L9" s="11">
        <v>416379</v>
      </c>
      <c r="M9" s="11">
        <v>16238.78</v>
      </c>
      <c r="N9" s="11">
        <f t="shared" ref="N9:N11" si="0">D9+F9+H9+J9+L9</f>
        <v>2503559</v>
      </c>
      <c r="O9" s="11">
        <f t="shared" ref="O9:O11" si="1">SUM(D9:M9)-N9</f>
        <v>97108.179999999702</v>
      </c>
    </row>
    <row r="10" spans="2:15" x14ac:dyDescent="0.25">
      <c r="B10" s="40"/>
      <c r="C10" s="4">
        <v>2016</v>
      </c>
      <c r="D10" s="11">
        <v>420005</v>
      </c>
      <c r="E10" s="11">
        <v>15901</v>
      </c>
      <c r="F10" s="11">
        <v>236228</v>
      </c>
      <c r="G10" s="11">
        <v>9132.56</v>
      </c>
      <c r="H10" s="11">
        <v>920225</v>
      </c>
      <c r="I10" s="11">
        <v>35889</v>
      </c>
      <c r="J10" s="11">
        <v>109943</v>
      </c>
      <c r="K10" s="11">
        <v>4419</v>
      </c>
      <c r="L10" s="11">
        <v>328308</v>
      </c>
      <c r="M10" s="11">
        <v>12804.01</v>
      </c>
      <c r="N10" s="11">
        <f t="shared" si="0"/>
        <v>2014709</v>
      </c>
      <c r="O10" s="11">
        <f t="shared" si="1"/>
        <v>78145.570000000065</v>
      </c>
    </row>
    <row r="11" spans="2:15" x14ac:dyDescent="0.25">
      <c r="B11" s="40"/>
      <c r="C11" s="4">
        <v>2017</v>
      </c>
      <c r="D11" s="11">
        <v>272707</v>
      </c>
      <c r="E11" s="11">
        <v>10325</v>
      </c>
      <c r="F11" s="11">
        <v>230371</v>
      </c>
      <c r="G11" s="11">
        <v>8860</v>
      </c>
      <c r="H11" s="11">
        <v>1154307</v>
      </c>
      <c r="I11" s="11">
        <v>45018</v>
      </c>
      <c r="J11" s="11">
        <v>72454</v>
      </c>
      <c r="K11" s="11">
        <v>2912</v>
      </c>
      <c r="L11" s="11">
        <v>251513</v>
      </c>
      <c r="M11" s="11">
        <v>9809.01</v>
      </c>
      <c r="N11" s="11">
        <f t="shared" si="0"/>
        <v>1981352</v>
      </c>
      <c r="O11" s="11">
        <f t="shared" si="1"/>
        <v>76924.010000000009</v>
      </c>
    </row>
    <row r="12" spans="2:15" x14ac:dyDescent="0.25">
      <c r="B12" s="40"/>
      <c r="C12" s="4">
        <v>2018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2050790</v>
      </c>
      <c r="O12" s="11">
        <v>149690</v>
      </c>
    </row>
    <row r="13" spans="2:15" x14ac:dyDescent="0.25">
      <c r="B13" s="40"/>
      <c r="C13" s="4">
        <v>2019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>
        <v>1643975</v>
      </c>
      <c r="O13" s="11">
        <v>56210</v>
      </c>
    </row>
    <row r="14" spans="2:15" x14ac:dyDescent="0.25">
      <c r="B14" s="41"/>
      <c r="C14" s="4">
        <v>2020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</sheetData>
  <mergeCells count="9">
    <mergeCell ref="N2:O2"/>
    <mergeCell ref="C1:C3"/>
    <mergeCell ref="B4:B14"/>
    <mergeCell ref="D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Pupuk Indonesia</vt:lpstr>
      <vt:lpstr>Pendapatan</vt:lpstr>
      <vt:lpstr>Produksi Pupuk</vt:lpstr>
      <vt:lpstr>Penggunaan Gas</vt:lpstr>
      <vt:lpstr>Penggunaan Batubara</vt:lpstr>
      <vt:lpstr>Pengunaan Batubara</vt:lpstr>
      <vt:lpstr>Penggunaan Listrik Non PLN</vt:lpstr>
      <vt:lpstr>Penggunaan Listrik PLN</vt:lpstr>
      <vt:lpstr>Penggunaan BBM</vt:lpstr>
      <vt:lpstr>Total Penggunaan Energi</vt:lpstr>
      <vt:lpstr>Intensitas Energi</vt:lpstr>
      <vt:lpstr>Emisi GRK</vt:lpstr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2020-11-08T06:29:14Z</dcterms:modified>
</cp:coreProperties>
</file>