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Kaji Ulang Jabar\PERHITUNGAN\ENERGI DAN TRANSPORTASI\"/>
    </mc:Choice>
  </mc:AlternateContent>
  <xr:revisionPtr revIDLastSave="0" documentId="13_ncr:1_{EF3209F8-5043-4F43-9FF1-D8CA80C034C1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Sheet1" sheetId="7" r:id="rId1"/>
    <sheet name="BRT METRO BDG RAYA (ANGTN UMUM)" sheetId="1" r:id="rId2"/>
    <sheet name="BRT METRO BDG RAYA (DED)" sheetId="2" r:id="rId3"/>
    <sheet name="PEREMAJAAN ANGKUTAN" sheetId="4" r:id="rId4"/>
    <sheet name="CFD" sheetId="6" r:id="rId5"/>
    <sheet name="RENCANA AKSI" sheetId="3" r:id="rId6"/>
  </sheets>
  <calcPr calcId="181029"/>
</workbook>
</file>

<file path=xl/calcChain.xml><?xml version="1.0" encoding="utf-8"?>
<calcChain xmlns="http://schemas.openxmlformats.org/spreadsheetml/2006/main">
  <c r="Y271" i="1" l="1"/>
  <c r="Z270" i="1"/>
  <c r="J190" i="2"/>
  <c r="J189" i="2"/>
  <c r="J188" i="2"/>
  <c r="I189" i="2"/>
  <c r="I188" i="2"/>
  <c r="Y270" i="1"/>
  <c r="Y268" i="1"/>
  <c r="Y269" i="1"/>
  <c r="X269" i="1"/>
  <c r="X268" i="1"/>
  <c r="AB34" i="3" l="1"/>
  <c r="AB38" i="3"/>
  <c r="P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AB36" i="3" s="1"/>
  <c r="Z35" i="3"/>
  <c r="AB35" i="3" s="1"/>
  <c r="X53" i="3"/>
  <c r="X50" i="3"/>
  <c r="X46" i="3"/>
  <c r="X42" i="3"/>
  <c r="X37" i="3"/>
  <c r="X55" i="3"/>
  <c r="T37" i="3"/>
  <c r="R37" i="3"/>
  <c r="AB37" i="3" s="1"/>
  <c r="R55" i="3"/>
  <c r="AB17" i="3"/>
  <c r="F51" i="3" s="1"/>
  <c r="AE17" i="3"/>
  <c r="F54" i="3"/>
  <c r="AD17" i="3"/>
  <c r="F53" i="3" s="1"/>
  <c r="AC17" i="3"/>
  <c r="F52" i="3"/>
  <c r="J17" i="3"/>
  <c r="F39" i="3" s="1"/>
  <c r="Y48" i="4"/>
  <c r="AA48" i="4"/>
  <c r="AC48" i="4"/>
  <c r="Z49" i="4"/>
  <c r="AA49" i="4" s="1"/>
  <c r="AC49" i="4" s="1"/>
  <c r="Y39" i="4"/>
  <c r="AA39" i="4" s="1"/>
  <c r="AC39" i="4" s="1"/>
  <c r="AC41" i="4" s="1"/>
  <c r="Z40" i="4"/>
  <c r="AA40" i="4"/>
  <c r="AC40" i="4" s="1"/>
  <c r="E53" i="4"/>
  <c r="E54" i="4" s="1"/>
  <c r="I40" i="4"/>
  <c r="H39" i="4"/>
  <c r="J39" i="4" s="1"/>
  <c r="L39" i="4" s="1"/>
  <c r="P15" i="3"/>
  <c r="L56" i="4"/>
  <c r="M48" i="4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I36" i="3" s="1"/>
  <c r="L36" i="3" s="1"/>
  <c r="H35" i="3"/>
  <c r="H34" i="3"/>
  <c r="Y34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F38" i="3"/>
  <c r="F36" i="3"/>
  <c r="F35" i="3"/>
  <c r="F34" i="3"/>
  <c r="U34" i="3"/>
  <c r="U35" i="3"/>
  <c r="U36" i="3" s="1"/>
  <c r="U37" i="3" s="1"/>
  <c r="U38" i="3" s="1"/>
  <c r="U39" i="3" s="1"/>
  <c r="U40" i="3" s="1"/>
  <c r="E38" i="3"/>
  <c r="E37" i="3"/>
  <c r="E36" i="3"/>
  <c r="E35" i="3"/>
  <c r="E34" i="3"/>
  <c r="S34" i="3" s="1"/>
  <c r="S35" i="3" s="1"/>
  <c r="S36" i="3" s="1"/>
  <c r="S37" i="3" s="1"/>
  <c r="S38" i="3" s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Q34" i="3"/>
  <c r="Q35" i="3" s="1"/>
  <c r="Q36" i="3" s="1"/>
  <c r="Q37" i="3" s="1"/>
  <c r="Q38" i="3" s="1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P56" i="3" s="1"/>
  <c r="E7" i="6"/>
  <c r="J10" i="6" s="1"/>
  <c r="I7" i="6"/>
  <c r="J7" i="6" s="1"/>
  <c r="L7" i="6" s="1"/>
  <c r="K7" i="6"/>
  <c r="I8" i="6"/>
  <c r="K8" i="6"/>
  <c r="I9" i="6"/>
  <c r="K9" i="6"/>
  <c r="K10" i="6"/>
  <c r="L10" i="6"/>
  <c r="J13" i="6"/>
  <c r="L13" i="6" s="1"/>
  <c r="K13" i="6"/>
  <c r="J12" i="6"/>
  <c r="L12" i="6" s="1"/>
  <c r="K12" i="6"/>
  <c r="J11" i="6"/>
  <c r="L11" i="6"/>
  <c r="K11" i="6"/>
  <c r="H17" i="3"/>
  <c r="F37" i="3"/>
  <c r="H16" i="3"/>
  <c r="H15" i="3"/>
  <c r="N33" i="4"/>
  <c r="H24" i="3"/>
  <c r="H25" i="3"/>
  <c r="F24" i="3"/>
  <c r="F25" i="3" s="1"/>
  <c r="G24" i="3"/>
  <c r="G25" i="3" s="1"/>
  <c r="I24" i="3"/>
  <c r="I25" i="3" s="1"/>
  <c r="E24" i="3"/>
  <c r="E25" i="3"/>
  <c r="K13" i="3"/>
  <c r="T40" i="3" s="1"/>
  <c r="AB40" i="3" s="1"/>
  <c r="H21" i="4"/>
  <c r="H17" i="4"/>
  <c r="H31" i="4"/>
  <c r="P180" i="2"/>
  <c r="K181" i="2"/>
  <c r="K180" i="2"/>
  <c r="M180" i="2" s="1"/>
  <c r="O180" i="2" s="1"/>
  <c r="B180" i="2"/>
  <c r="A180" i="2"/>
  <c r="S180" i="2"/>
  <c r="U180" i="2" s="1"/>
  <c r="V180" i="2" s="1"/>
  <c r="H139" i="2" s="1"/>
  <c r="K171" i="2"/>
  <c r="K170" i="2"/>
  <c r="B170" i="2"/>
  <c r="A170" i="2"/>
  <c r="P170" i="2"/>
  <c r="S170" i="2" s="1"/>
  <c r="U170" i="2" s="1"/>
  <c r="V170" i="2" s="1"/>
  <c r="H138" i="2" s="1"/>
  <c r="P160" i="2"/>
  <c r="S160" i="2" s="1"/>
  <c r="U160" i="2" s="1"/>
  <c r="V160" i="2" s="1"/>
  <c r="H137" i="2" s="1"/>
  <c r="K161" i="2"/>
  <c r="K160" i="2"/>
  <c r="B160" i="2"/>
  <c r="H160" i="2" s="1"/>
  <c r="M160" i="2" s="1"/>
  <c r="O160" i="2" s="1"/>
  <c r="A160" i="2"/>
  <c r="P150" i="2"/>
  <c r="K151" i="2"/>
  <c r="K150" i="2"/>
  <c r="B150" i="2"/>
  <c r="A150" i="2"/>
  <c r="AF261" i="1"/>
  <c r="AA262" i="1"/>
  <c r="AA261" i="1"/>
  <c r="R261" i="1"/>
  <c r="AF249" i="1"/>
  <c r="AA250" i="1"/>
  <c r="AA249" i="1"/>
  <c r="R249" i="1"/>
  <c r="AF238" i="1"/>
  <c r="AA239" i="1"/>
  <c r="AA238" i="1"/>
  <c r="R238" i="1"/>
  <c r="AF226" i="1"/>
  <c r="AA227" i="1"/>
  <c r="AA226" i="1"/>
  <c r="R226" i="1"/>
  <c r="AF215" i="1"/>
  <c r="AA216" i="1"/>
  <c r="AA215" i="1"/>
  <c r="AC215" i="1" s="1"/>
  <c r="R215" i="1"/>
  <c r="AF203" i="1"/>
  <c r="AA204" i="1"/>
  <c r="AA203" i="1"/>
  <c r="R203" i="1"/>
  <c r="AF192" i="1"/>
  <c r="AA193" i="1"/>
  <c r="AA192" i="1"/>
  <c r="R192" i="1"/>
  <c r="AF180" i="1"/>
  <c r="AA181" i="1"/>
  <c r="AA180" i="1"/>
  <c r="R180" i="1"/>
  <c r="AF168" i="1"/>
  <c r="AA169" i="1"/>
  <c r="AA168" i="1"/>
  <c r="R168" i="1"/>
  <c r="AF156" i="1"/>
  <c r="AA157" i="1"/>
  <c r="AA156" i="1"/>
  <c r="R156" i="1"/>
  <c r="AF144" i="1"/>
  <c r="AA145" i="1"/>
  <c r="AA144" i="1"/>
  <c r="R144" i="1"/>
  <c r="AF132" i="1"/>
  <c r="AA133" i="1"/>
  <c r="AA132" i="1"/>
  <c r="R132" i="1"/>
  <c r="AF120" i="1"/>
  <c r="AA121" i="1"/>
  <c r="AA120" i="1"/>
  <c r="R120" i="1"/>
  <c r="AF109" i="1"/>
  <c r="AA110" i="1"/>
  <c r="AA109" i="1"/>
  <c r="R109" i="1"/>
  <c r="AF97" i="1"/>
  <c r="AA98" i="1"/>
  <c r="AA97" i="1"/>
  <c r="R97" i="1"/>
  <c r="AF86" i="1"/>
  <c r="AA87" i="1"/>
  <c r="AA86" i="1"/>
  <c r="R86" i="1"/>
  <c r="AF75" i="1"/>
  <c r="AA76" i="1"/>
  <c r="AA75" i="1"/>
  <c r="AC75" i="1" s="1"/>
  <c r="AE75" i="1" s="1"/>
  <c r="R75" i="1"/>
  <c r="AF63" i="1"/>
  <c r="AA64" i="1"/>
  <c r="AA63" i="1"/>
  <c r="R63" i="1"/>
  <c r="AF39" i="1"/>
  <c r="AF52" i="1"/>
  <c r="AA53" i="1"/>
  <c r="AC53" i="1" s="1"/>
  <c r="AE53" i="1" s="1"/>
  <c r="AA52" i="1"/>
  <c r="R52" i="1"/>
  <c r="AA40" i="1"/>
  <c r="AA39" i="1"/>
  <c r="R39" i="1"/>
  <c r="I21" i="1"/>
  <c r="K21" i="1"/>
  <c r="Q192" i="1"/>
  <c r="I22" i="1"/>
  <c r="K22" i="1"/>
  <c r="I23" i="1"/>
  <c r="K23" i="1"/>
  <c r="I24" i="1"/>
  <c r="K24" i="1" s="1"/>
  <c r="I25" i="1"/>
  <c r="K25" i="1"/>
  <c r="I26" i="1"/>
  <c r="K26" i="1"/>
  <c r="I27" i="1"/>
  <c r="K27" i="1"/>
  <c r="I20" i="1"/>
  <c r="K20" i="1" s="1"/>
  <c r="I8" i="1"/>
  <c r="K8" i="1"/>
  <c r="I9" i="1"/>
  <c r="K9" i="1"/>
  <c r="I10" i="1"/>
  <c r="K10" i="1"/>
  <c r="I11" i="1"/>
  <c r="K11" i="1" s="1"/>
  <c r="N12" i="3" s="1"/>
  <c r="I12" i="1"/>
  <c r="K12" i="1"/>
  <c r="I13" i="1"/>
  <c r="K13" i="1"/>
  <c r="I14" i="1"/>
  <c r="K14" i="1"/>
  <c r="I15" i="1"/>
  <c r="K15" i="1" s="1"/>
  <c r="I16" i="1"/>
  <c r="K16" i="1"/>
  <c r="I17" i="1"/>
  <c r="K17" i="1"/>
  <c r="I18" i="1"/>
  <c r="K18" i="1"/>
  <c r="I7" i="1"/>
  <c r="K7" i="1" s="1"/>
  <c r="H180" i="2"/>
  <c r="H171" i="2"/>
  <c r="M171" i="2" s="1"/>
  <c r="O171" i="2" s="1"/>
  <c r="AC50" i="4"/>
  <c r="H150" i="2"/>
  <c r="M150" i="2" s="1"/>
  <c r="O150" i="2" s="1"/>
  <c r="Q39" i="3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R56" i="3" s="1"/>
  <c r="J40" i="4"/>
  <c r="L40" i="4" s="1"/>
  <c r="H170" i="2"/>
  <c r="H181" i="2"/>
  <c r="M181" i="2" s="1"/>
  <c r="O181" i="2" s="1"/>
  <c r="V37" i="3"/>
  <c r="Y16" i="3"/>
  <c r="V48" i="3" s="1"/>
  <c r="AC16" i="3"/>
  <c r="V52" i="3"/>
  <c r="K16" i="3"/>
  <c r="V40" i="3"/>
  <c r="O16" i="3"/>
  <c r="V44" i="3"/>
  <c r="AA16" i="3"/>
  <c r="V50" i="3" s="1"/>
  <c r="M16" i="3"/>
  <c r="V42" i="3"/>
  <c r="X16" i="3"/>
  <c r="V47" i="3"/>
  <c r="V16" i="3"/>
  <c r="V45" i="3"/>
  <c r="N16" i="3"/>
  <c r="V43" i="3" s="1"/>
  <c r="Z16" i="3"/>
  <c r="V49" i="3"/>
  <c r="AD16" i="3"/>
  <c r="V53" i="3"/>
  <c r="L16" i="3"/>
  <c r="V41" i="3"/>
  <c r="J16" i="3"/>
  <c r="V39" i="3" s="1"/>
  <c r="W16" i="3"/>
  <c r="V46" i="3"/>
  <c r="AE16" i="3"/>
  <c r="V54" i="3"/>
  <c r="AB16" i="3"/>
  <c r="V51" i="3"/>
  <c r="Y35" i="3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I38" i="3"/>
  <c r="L38" i="3" s="1"/>
  <c r="I35" i="3"/>
  <c r="L35" i="3"/>
  <c r="Q168" i="1"/>
  <c r="L18" i="1"/>
  <c r="AA12" i="3"/>
  <c r="W12" i="3"/>
  <c r="Q120" i="1"/>
  <c r="Q75" i="1"/>
  <c r="L10" i="1"/>
  <c r="M12" i="3"/>
  <c r="Q261" i="1"/>
  <c r="L27" i="1"/>
  <c r="Q215" i="1"/>
  <c r="Q86" i="1"/>
  <c r="Z12" i="3"/>
  <c r="Q156" i="1"/>
  <c r="L17" i="1"/>
  <c r="Q109" i="1"/>
  <c r="V12" i="3"/>
  <c r="L13" i="1"/>
  <c r="L12" i="3"/>
  <c r="Q63" i="1"/>
  <c r="AE12" i="3"/>
  <c r="Q249" i="1"/>
  <c r="AB12" i="3"/>
  <c r="Q203" i="1"/>
  <c r="L22" i="1"/>
  <c r="Y12" i="3"/>
  <c r="L16" i="1"/>
  <c r="Q144" i="1"/>
  <c r="Q97" i="1"/>
  <c r="O12" i="3"/>
  <c r="J12" i="3"/>
  <c r="L8" i="1"/>
  <c r="Q52" i="1"/>
  <c r="Q238" i="1"/>
  <c r="AD12" i="3"/>
  <c r="L25" i="1"/>
  <c r="H161" i="2"/>
  <c r="M161" i="2" s="1"/>
  <c r="O161" i="2" s="1"/>
  <c r="K12" i="3"/>
  <c r="O13" i="3" s="1"/>
  <c r="T44" i="3" s="1"/>
  <c r="AB44" i="3" s="1"/>
  <c r="I37" i="3"/>
  <c r="L37" i="3"/>
  <c r="H151" i="2"/>
  <c r="M151" i="2"/>
  <c r="O151" i="2"/>
  <c r="S150" i="2"/>
  <c r="U150" i="2"/>
  <c r="V150" i="2" s="1"/>
  <c r="H136" i="2" s="1"/>
  <c r="K17" i="3"/>
  <c r="F40" i="3"/>
  <c r="J9" i="6"/>
  <c r="L9" i="6" s="1"/>
  <c r="J8" i="6"/>
  <c r="L8" i="6" s="1"/>
  <c r="AI238" i="1"/>
  <c r="X238" i="1"/>
  <c r="AC238" i="1" s="1"/>
  <c r="AE238" i="1" s="1"/>
  <c r="X239" i="1"/>
  <c r="AC239" i="1"/>
  <c r="AE239" i="1" s="1"/>
  <c r="AI52" i="1"/>
  <c r="X53" i="1"/>
  <c r="X52" i="1"/>
  <c r="AC52" i="1"/>
  <c r="AE52" i="1" s="1"/>
  <c r="AE56" i="1" s="1"/>
  <c r="AL52" i="1" s="1"/>
  <c r="N8" i="1" s="1"/>
  <c r="J14" i="3" s="1"/>
  <c r="X98" i="1"/>
  <c r="AC98" i="1" s="1"/>
  <c r="AE98" i="1" s="1"/>
  <c r="AI97" i="1"/>
  <c r="X97" i="1"/>
  <c r="AC97" i="1"/>
  <c r="AE97" i="1" s="1"/>
  <c r="AI249" i="1"/>
  <c r="X249" i="1"/>
  <c r="AC249" i="1" s="1"/>
  <c r="AE249" i="1" s="1"/>
  <c r="AE253" i="1" s="1"/>
  <c r="X250" i="1"/>
  <c r="AC250" i="1"/>
  <c r="AE250" i="1" s="1"/>
  <c r="AI156" i="1"/>
  <c r="X157" i="1"/>
  <c r="AC157" i="1" s="1"/>
  <c r="AE157" i="1" s="1"/>
  <c r="X156" i="1"/>
  <c r="AC156" i="1"/>
  <c r="AE156" i="1"/>
  <c r="AE160" i="1" s="1"/>
  <c r="AL156" i="1" s="1"/>
  <c r="N17" i="1" s="1"/>
  <c r="Z14" i="3" s="1"/>
  <c r="AI120" i="1"/>
  <c r="X121" i="1"/>
  <c r="AC121" i="1" s="1"/>
  <c r="AE121" i="1" s="1"/>
  <c r="X120" i="1"/>
  <c r="AC120" i="1" s="1"/>
  <c r="AE120" i="1" s="1"/>
  <c r="AI144" i="1"/>
  <c r="X145" i="1"/>
  <c r="AC145" i="1" s="1"/>
  <c r="AE145" i="1" s="1"/>
  <c r="X144" i="1"/>
  <c r="AC144" i="1" s="1"/>
  <c r="AE144" i="1" s="1"/>
  <c r="X216" i="1"/>
  <c r="AC216" i="1" s="1"/>
  <c r="AE216" i="1" s="1"/>
  <c r="AI215" i="1"/>
  <c r="X215" i="1"/>
  <c r="AE215" i="1"/>
  <c r="AI261" i="1"/>
  <c r="X261" i="1"/>
  <c r="AC261" i="1" s="1"/>
  <c r="AE261" i="1" s="1"/>
  <c r="AE265" i="1" s="1"/>
  <c r="AL261" i="1" s="1"/>
  <c r="X262" i="1"/>
  <c r="AC262" i="1" s="1"/>
  <c r="AE262" i="1" s="1"/>
  <c r="X203" i="1"/>
  <c r="AC203" i="1" s="1"/>
  <c r="AE203" i="1" s="1"/>
  <c r="AE207" i="1" s="1"/>
  <c r="AL203" i="1" s="1"/>
  <c r="N22" i="1" s="1"/>
  <c r="AB14" i="3" s="1"/>
  <c r="AI203" i="1"/>
  <c r="AK203" i="1" s="1"/>
  <c r="X204" i="1"/>
  <c r="AC204" i="1"/>
  <c r="AE204" i="1" s="1"/>
  <c r="X64" i="1"/>
  <c r="AC64" i="1"/>
  <c r="AE64" i="1" s="1"/>
  <c r="AI63" i="1"/>
  <c r="X63" i="1"/>
  <c r="AC63" i="1" s="1"/>
  <c r="AE63" i="1" s="1"/>
  <c r="AE67" i="1" s="1"/>
  <c r="AL63" i="1" s="1"/>
  <c r="N9" i="1" s="1"/>
  <c r="L14" i="3" s="1"/>
  <c r="AI109" i="1"/>
  <c r="X110" i="1"/>
  <c r="AC110" i="1"/>
  <c r="AE110" i="1" s="1"/>
  <c r="X109" i="1"/>
  <c r="AC109" i="1"/>
  <c r="AE109" i="1" s="1"/>
  <c r="AE113" i="1" s="1"/>
  <c r="AI75" i="1"/>
  <c r="X76" i="1"/>
  <c r="AC76" i="1"/>
  <c r="AE76" i="1"/>
  <c r="X75" i="1"/>
  <c r="AI113" i="1"/>
  <c r="AK109" i="1"/>
  <c r="AI207" i="1"/>
  <c r="AK249" i="1"/>
  <c r="AI253" i="1"/>
  <c r="AK238" i="1"/>
  <c r="AI242" i="1"/>
  <c r="AK215" i="1"/>
  <c r="AI219" i="1"/>
  <c r="AI79" i="1"/>
  <c r="AK75" i="1"/>
  <c r="AL109" i="1"/>
  <c r="N13" i="1" s="1"/>
  <c r="V14" i="3" s="1"/>
  <c r="AI67" i="1"/>
  <c r="AK63" i="1"/>
  <c r="AK261" i="1"/>
  <c r="AI265" i="1"/>
  <c r="AI124" i="1"/>
  <c r="AK120" i="1"/>
  <c r="AI160" i="1"/>
  <c r="AK156" i="1"/>
  <c r="AI101" i="1"/>
  <c r="AK97" i="1"/>
  <c r="AK52" i="1"/>
  <c r="AI56" i="1"/>
  <c r="AI148" i="1"/>
  <c r="AK144" i="1"/>
  <c r="O27" i="1"/>
  <c r="M13" i="3" l="1"/>
  <c r="T42" i="3" s="1"/>
  <c r="AB42" i="3" s="1"/>
  <c r="Z13" i="3"/>
  <c r="T49" i="3" s="1"/>
  <c r="AB49" i="3" s="1"/>
  <c r="AE13" i="3"/>
  <c r="T54" i="3" s="1"/>
  <c r="AB54" i="3" s="1"/>
  <c r="J13" i="3"/>
  <c r="T39" i="3" s="1"/>
  <c r="AB39" i="3" s="1"/>
  <c r="N13" i="3"/>
  <c r="T43" i="3" s="1"/>
  <c r="AB43" i="3" s="1"/>
  <c r="AB13" i="3"/>
  <c r="T51" i="3" s="1"/>
  <c r="AB51" i="3" s="1"/>
  <c r="AA13" i="3"/>
  <c r="T50" i="3" s="1"/>
  <c r="AB50" i="3" s="1"/>
  <c r="L13" i="3"/>
  <c r="T41" i="3" s="1"/>
  <c r="AB41" i="3" s="1"/>
  <c r="W13" i="3"/>
  <c r="T46" i="3" s="1"/>
  <c r="AB46" i="3" s="1"/>
  <c r="Y13" i="3"/>
  <c r="T48" i="3" s="1"/>
  <c r="AB48" i="3" s="1"/>
  <c r="V13" i="3"/>
  <c r="T45" i="3" s="1"/>
  <c r="AB45" i="3" s="1"/>
  <c r="AB24" i="3"/>
  <c r="AB25" i="3" s="1"/>
  <c r="E51" i="3"/>
  <c r="I51" i="3" s="1"/>
  <c r="L51" i="3" s="1"/>
  <c r="E41" i="3"/>
  <c r="I41" i="3" s="1"/>
  <c r="L41" i="3" s="1"/>
  <c r="L24" i="3"/>
  <c r="L25" i="3" s="1"/>
  <c r="E45" i="3"/>
  <c r="AL249" i="1"/>
  <c r="N26" i="1" s="1"/>
  <c r="AE14" i="3" s="1"/>
  <c r="AE148" i="1"/>
  <c r="AL144" i="1" s="1"/>
  <c r="N16" i="1" s="1"/>
  <c r="Y14" i="3" s="1"/>
  <c r="AE101" i="1"/>
  <c r="AL97" i="1" s="1"/>
  <c r="N12" i="1" s="1"/>
  <c r="O14" i="3" s="1"/>
  <c r="Q180" i="1"/>
  <c r="L20" i="1"/>
  <c r="H140" i="2"/>
  <c r="K14" i="3" s="1"/>
  <c r="V55" i="3"/>
  <c r="AC12" i="3"/>
  <c r="AC13" i="3" s="1"/>
  <c r="T52" i="3" s="1"/>
  <c r="AB52" i="3" s="1"/>
  <c r="Q226" i="1"/>
  <c r="L23" i="1"/>
  <c r="E49" i="3"/>
  <c r="X86" i="1"/>
  <c r="AC86" i="1" s="1"/>
  <c r="AE86" i="1" s="1"/>
  <c r="X87" i="1"/>
  <c r="AC87" i="1" s="1"/>
  <c r="AE87" i="1" s="1"/>
  <c r="AI86" i="1"/>
  <c r="Q132" i="1"/>
  <c r="X12" i="3"/>
  <c r="X13" i="3" s="1"/>
  <c r="T47" i="3" s="1"/>
  <c r="AB47" i="3" s="1"/>
  <c r="L15" i="1"/>
  <c r="L41" i="4"/>
  <c r="AI168" i="1"/>
  <c r="X169" i="1"/>
  <c r="AC169" i="1" s="1"/>
  <c r="AE169" i="1" s="1"/>
  <c r="AE219" i="1"/>
  <c r="AL215" i="1" s="1"/>
  <c r="O23" i="1" s="1"/>
  <c r="AE124" i="1"/>
  <c r="AL120" i="1" s="1"/>
  <c r="N14" i="1" s="1"/>
  <c r="W14" i="3" s="1"/>
  <c r="M170" i="2"/>
  <c r="O170" i="2" s="1"/>
  <c r="Q39" i="1"/>
  <c r="L7" i="1"/>
  <c r="L14" i="6"/>
  <c r="X168" i="1"/>
  <c r="AC168" i="1" s="1"/>
  <c r="AE168" i="1" s="1"/>
  <c r="E39" i="3"/>
  <c r="S39" i="3" s="1"/>
  <c r="J24" i="3"/>
  <c r="J25" i="3" s="1"/>
  <c r="AE242" i="1"/>
  <c r="AL238" i="1" s="1"/>
  <c r="N25" i="1" s="1"/>
  <c r="AD14" i="3" s="1"/>
  <c r="AI192" i="1"/>
  <c r="X192" i="1"/>
  <c r="AC192" i="1" s="1"/>
  <c r="AE192" i="1" s="1"/>
  <c r="X193" i="1"/>
  <c r="AC193" i="1" s="1"/>
  <c r="AE193" i="1" s="1"/>
  <c r="AE79" i="1"/>
  <c r="AL75" i="1" s="1"/>
  <c r="N10" i="1" s="1"/>
  <c r="M14" i="3" s="1"/>
  <c r="I34" i="3"/>
  <c r="W34" i="3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X56" i="3" s="1"/>
  <c r="L17" i="3"/>
  <c r="F41" i="3" s="1"/>
  <c r="U41" i="3" s="1"/>
  <c r="E55" i="4"/>
  <c r="Z55" i="3"/>
  <c r="Z56" i="3" s="1"/>
  <c r="AD13" i="3"/>
  <c r="T53" i="3" s="1"/>
  <c r="AB53" i="3" s="1"/>
  <c r="I39" i="3" l="1"/>
  <c r="L39" i="3" s="1"/>
  <c r="AB55" i="3"/>
  <c r="E53" i="3"/>
  <c r="I53" i="3" s="1"/>
  <c r="L53" i="3" s="1"/>
  <c r="AD24" i="3"/>
  <c r="AD25" i="3" s="1"/>
  <c r="E48" i="3"/>
  <c r="AI196" i="1"/>
  <c r="AK192" i="1"/>
  <c r="E46" i="3"/>
  <c r="AI132" i="1"/>
  <c r="X133" i="1"/>
  <c r="AC133" i="1" s="1"/>
  <c r="AE133" i="1" s="1"/>
  <c r="X132" i="1"/>
  <c r="AC132" i="1" s="1"/>
  <c r="AE132" i="1" s="1"/>
  <c r="AI226" i="1"/>
  <c r="X226" i="1"/>
  <c r="AC226" i="1" s="1"/>
  <c r="AE226" i="1" s="1"/>
  <c r="AE230" i="1" s="1"/>
  <c r="X227" i="1"/>
  <c r="AC227" i="1" s="1"/>
  <c r="AE227" i="1" s="1"/>
  <c r="AI180" i="1"/>
  <c r="X181" i="1"/>
  <c r="AC181" i="1" s="1"/>
  <c r="AE181" i="1" s="1"/>
  <c r="X180" i="1"/>
  <c r="AC180" i="1" s="1"/>
  <c r="AE180" i="1" s="1"/>
  <c r="AE184" i="1" s="1"/>
  <c r="M17" i="3"/>
  <c r="F42" i="3" s="1"/>
  <c r="U42" i="3" s="1"/>
  <c r="E56" i="4"/>
  <c r="AE172" i="1"/>
  <c r="AK168" i="1"/>
  <c r="AI172" i="1"/>
  <c r="AK86" i="1"/>
  <c r="AI90" i="1"/>
  <c r="T55" i="3"/>
  <c r="AE24" i="3"/>
  <c r="AE25" i="3" s="1"/>
  <c r="E54" i="3"/>
  <c r="I54" i="3" s="1"/>
  <c r="L54" i="3" s="1"/>
  <c r="E44" i="3"/>
  <c r="E42" i="3"/>
  <c r="AE90" i="1"/>
  <c r="AL86" i="1" s="1"/>
  <c r="N11" i="1" s="1"/>
  <c r="N14" i="3" s="1"/>
  <c r="E40" i="3"/>
  <c r="I40" i="3" s="1"/>
  <c r="L40" i="3" s="1"/>
  <c r="K24" i="3"/>
  <c r="K25" i="3" s="1"/>
  <c r="AA34" i="3"/>
  <c r="AA35" i="3" s="1"/>
  <c r="AA36" i="3" s="1"/>
  <c r="AA37" i="3" s="1"/>
  <c r="AA38" i="3" s="1"/>
  <c r="AA39" i="3" s="1"/>
  <c r="L34" i="3"/>
  <c r="J34" i="3"/>
  <c r="AE196" i="1"/>
  <c r="AL192" i="1" s="1"/>
  <c r="O21" i="1" s="1"/>
  <c r="AI39" i="1"/>
  <c r="X39" i="1"/>
  <c r="AC39" i="1" s="1"/>
  <c r="AE39" i="1" s="1"/>
  <c r="AE43" i="1" s="1"/>
  <c r="X40" i="1"/>
  <c r="AC40" i="1" s="1"/>
  <c r="AE40" i="1" s="1"/>
  <c r="E43" i="3" l="1"/>
  <c r="I42" i="3"/>
  <c r="L42" i="3" s="1"/>
  <c r="AE136" i="1"/>
  <c r="AK39" i="1"/>
  <c r="AL39" i="1" s="1"/>
  <c r="O7" i="1" s="1"/>
  <c r="AI43" i="1"/>
  <c r="AI230" i="1"/>
  <c r="AK226" i="1"/>
  <c r="AK180" i="1"/>
  <c r="AI184" i="1"/>
  <c r="AL226" i="1"/>
  <c r="N24" i="1" s="1"/>
  <c r="AC14" i="3" s="1"/>
  <c r="AL180" i="1"/>
  <c r="O20" i="1" s="1"/>
  <c r="M24" i="3"/>
  <c r="M25" i="3" s="1"/>
  <c r="AA40" i="3"/>
  <c r="AA41" i="3" s="1"/>
  <c r="AL168" i="1"/>
  <c r="N18" i="1" s="1"/>
  <c r="AA14" i="3" s="1"/>
  <c r="S40" i="3"/>
  <c r="S41" i="3" s="1"/>
  <c r="S42" i="3" s="1"/>
  <c r="S43" i="3" s="1"/>
  <c r="S44" i="3" s="1"/>
  <c r="S45" i="3" s="1"/>
  <c r="S46" i="3" s="1"/>
  <c r="N17" i="3"/>
  <c r="F43" i="3" s="1"/>
  <c r="U43" i="3" s="1"/>
  <c r="E57" i="4"/>
  <c r="J35" i="3"/>
  <c r="K34" i="3"/>
  <c r="AI136" i="1"/>
  <c r="AK132" i="1"/>
  <c r="E58" i="4" l="1"/>
  <c r="O17" i="3"/>
  <c r="AL132" i="1"/>
  <c r="N15" i="1" s="1"/>
  <c r="E50" i="3"/>
  <c r="AA42" i="3"/>
  <c r="AA43" i="3" s="1"/>
  <c r="N24" i="3"/>
  <c r="N25" i="3" s="1"/>
  <c r="AC24" i="3"/>
  <c r="AC25" i="3" s="1"/>
  <c r="E52" i="3"/>
  <c r="I52" i="3" s="1"/>
  <c r="L52" i="3" s="1"/>
  <c r="I43" i="3"/>
  <c r="L43" i="3" s="1"/>
  <c r="K35" i="3"/>
  <c r="J36" i="3"/>
  <c r="K36" i="3" l="1"/>
  <c r="J37" i="3"/>
  <c r="F44" i="3"/>
  <c r="O24" i="3"/>
  <c r="O25" i="3" s="1"/>
  <c r="X14" i="3"/>
  <c r="N28" i="1"/>
  <c r="V17" i="3"/>
  <c r="E59" i="4"/>
  <c r="E47" i="3" l="1"/>
  <c r="W17" i="3"/>
  <c r="E60" i="4"/>
  <c r="I44" i="3"/>
  <c r="U44" i="3"/>
  <c r="U45" i="3" s="1"/>
  <c r="K37" i="3"/>
  <c r="J38" i="3"/>
  <c r="F45" i="3"/>
  <c r="I45" i="3" s="1"/>
  <c r="L45" i="3" s="1"/>
  <c r="V24" i="3"/>
  <c r="V25" i="3" s="1"/>
  <c r="K38" i="3" l="1"/>
  <c r="J39" i="3"/>
  <c r="L44" i="3"/>
  <c r="AA44" i="3"/>
  <c r="AA45" i="3" s="1"/>
  <c r="F46" i="3"/>
  <c r="I46" i="3" s="1"/>
  <c r="L46" i="3" s="1"/>
  <c r="W24" i="3"/>
  <c r="W25" i="3" s="1"/>
  <c r="X17" i="3"/>
  <c r="E61" i="4"/>
  <c r="S47" i="3"/>
  <c r="S48" i="3" s="1"/>
  <c r="S49" i="3" s="1"/>
  <c r="S50" i="3" s="1"/>
  <c r="S51" i="3" s="1"/>
  <c r="S52" i="3" s="1"/>
  <c r="S53" i="3" s="1"/>
  <c r="S54" i="3" s="1"/>
  <c r="T56" i="3" s="1"/>
  <c r="Y17" i="3" l="1"/>
  <c r="E62" i="4"/>
  <c r="F47" i="3"/>
  <c r="I47" i="3" s="1"/>
  <c r="L47" i="3" s="1"/>
  <c r="X24" i="3"/>
  <c r="X25" i="3" s="1"/>
  <c r="AA46" i="3"/>
  <c r="AA47" i="3" s="1"/>
  <c r="U46" i="3"/>
  <c r="U47" i="3" s="1"/>
  <c r="K39" i="3"/>
  <c r="J40" i="3"/>
  <c r="J41" i="3" l="1"/>
  <c r="K40" i="3"/>
  <c r="Z17" i="3"/>
  <c r="E63" i="4"/>
  <c r="F48" i="3"/>
  <c r="I48" i="3" s="1"/>
  <c r="L48" i="3" s="1"/>
  <c r="Y24" i="3"/>
  <c r="Y25" i="3" s="1"/>
  <c r="AA17" i="3" l="1"/>
  <c r="E68" i="4"/>
  <c r="F49" i="3"/>
  <c r="I49" i="3" s="1"/>
  <c r="L49" i="3" s="1"/>
  <c r="Z24" i="3"/>
  <c r="Z25" i="3" s="1"/>
  <c r="AA48" i="3"/>
  <c r="AA49" i="3" s="1"/>
  <c r="U48" i="3"/>
  <c r="U49" i="3" s="1"/>
  <c r="J42" i="3"/>
  <c r="K41" i="3"/>
  <c r="J43" i="3" l="1"/>
  <c r="K42" i="3"/>
  <c r="F50" i="3"/>
  <c r="I50" i="3" s="1"/>
  <c r="L50" i="3" s="1"/>
  <c r="AA24" i="3"/>
  <c r="AA25" i="3" s="1"/>
  <c r="K43" i="3" l="1"/>
  <c r="J44" i="3"/>
  <c r="U50" i="3"/>
  <c r="U51" i="3" s="1"/>
  <c r="U52" i="3" s="1"/>
  <c r="U53" i="3" s="1"/>
  <c r="U54" i="3" s="1"/>
  <c r="V56" i="3" s="1"/>
  <c r="AA50" i="3"/>
  <c r="AA51" i="3" s="1"/>
  <c r="AA52" i="3" s="1"/>
  <c r="AA53" i="3" s="1"/>
  <c r="AA54" i="3" s="1"/>
  <c r="AB56" i="3" s="1"/>
  <c r="J45" i="3" l="1"/>
  <c r="K44" i="3"/>
  <c r="K45" i="3" l="1"/>
  <c r="J46" i="3"/>
  <c r="K46" i="3" l="1"/>
  <c r="J47" i="3"/>
  <c r="K47" i="3" l="1"/>
  <c r="J48" i="3"/>
  <c r="K48" i="3" l="1"/>
  <c r="J49" i="3"/>
  <c r="K49" i="3" l="1"/>
  <c r="J50" i="3"/>
  <c r="K50" i="3" l="1"/>
  <c r="J51" i="3"/>
  <c r="J52" i="3" l="1"/>
  <c r="K51" i="3"/>
  <c r="K52" i="3" l="1"/>
  <c r="J53" i="3"/>
  <c r="K53" i="3" l="1"/>
  <c r="J54" i="3"/>
  <c r="J55" i="3" l="1"/>
  <c r="K54" i="3"/>
</calcChain>
</file>

<file path=xl/sharedStrings.xml><?xml version="1.0" encoding="utf-8"?>
<sst xmlns="http://schemas.openxmlformats.org/spreadsheetml/2006/main" count="1564" uniqueCount="433">
  <si>
    <t>Sumber : Laporan akhir Kajian Pengembangan Angkutan Umum Massal Berbasis Jalan di Metropolitan Bandung</t>
  </si>
  <si>
    <t>Jaringan Trayek Angkutan Umum di Metropolitan Bandung Raya</t>
  </si>
  <si>
    <t>Koridor</t>
  </si>
  <si>
    <t>Barat-Timur</t>
  </si>
  <si>
    <t>St. Rande-Padalarang-Cimahi-St. Bandung-Kiaracondong-Rancaekek-St. Cicalengka</t>
  </si>
  <si>
    <t>Utara-Selatan</t>
  </si>
  <si>
    <t>Lembang-St. Bandung</t>
  </si>
  <si>
    <t>Ciwidey-Soreang-Banjaran-Dayeuhkolot-St. Bandung</t>
  </si>
  <si>
    <t>Gedebage</t>
  </si>
  <si>
    <t>Cicalengka-Rancaekek-St. Gedebage</t>
  </si>
  <si>
    <t>Jatinangor-St. Gedebage</t>
  </si>
  <si>
    <t>St. Gedebage-Leuwi Panjang-St. Bandung/St. Hall</t>
  </si>
  <si>
    <t>Dayeuhkolot</t>
  </si>
  <si>
    <t>Banjaran-St. Gedebage-St. Hall</t>
  </si>
  <si>
    <t>Dayeuhkolot-Kordon-Buah Batu-St. Bandung/St. Hall</t>
  </si>
  <si>
    <t>Soreang</t>
  </si>
  <si>
    <t>Soreang-Kopo-Leuwi Panjang-St. Hall</t>
  </si>
  <si>
    <t>Cimahi Selatan</t>
  </si>
  <si>
    <t>Padalarang-Cimahi-Elang-St. Hall</t>
  </si>
  <si>
    <t>Cimahi Utara</t>
  </si>
  <si>
    <t>Padalarang-Tol-Terusan Pasteur-Pasteur-Wastukencana-St.Hall</t>
  </si>
  <si>
    <t>Lembang</t>
  </si>
  <si>
    <t>Lembang-Ledeng-Cihampelas-St. Bandung/St. Hall</t>
  </si>
  <si>
    <t>Jaringan Trayek</t>
  </si>
  <si>
    <t>Trayek Utama dalam Kota Bandung</t>
  </si>
  <si>
    <t>Trayek Utama Lintas Batas</t>
  </si>
  <si>
    <t>Dago</t>
  </si>
  <si>
    <t>Dago-Merdeka-St. Bandung/st. Hall</t>
  </si>
  <si>
    <t>Sadang serang-Pahlawan-St. Bandung/st. Hall</t>
  </si>
  <si>
    <t>Selatan</t>
  </si>
  <si>
    <t>Cijerah-Terusan Pasir Koja-St. Bandung/St. Hall</t>
  </si>
  <si>
    <t>Ujungberung</t>
  </si>
  <si>
    <t>Arcamanik-Jalan Jakarta-St. Bandung/St. Hall</t>
  </si>
  <si>
    <t>Ujungberung-Cicaheum-Surapati-Dago-St. Hall</t>
  </si>
  <si>
    <t>Gedebage-Kordon-Buahbatu-St. Bandung/St. Hall</t>
  </si>
  <si>
    <t>Derwati-Kiaracondong-St. Bandung/St. Hall</t>
  </si>
  <si>
    <t>Bandara</t>
  </si>
  <si>
    <t>Bandara Husein Sastranegara-St. Bandung/St. Hall</t>
  </si>
  <si>
    <t>Kebutuhan Kapasitas (pnp/jam)</t>
  </si>
  <si>
    <t>Alternatif Moda Angkutan</t>
  </si>
  <si>
    <t>LRT</t>
  </si>
  <si>
    <t>Monorail</t>
  </si>
  <si>
    <t>BRT</t>
  </si>
  <si>
    <t>BRT-TMB</t>
  </si>
  <si>
    <t>Bus</t>
  </si>
  <si>
    <t>Bus, BRT</t>
  </si>
  <si>
    <t>No</t>
  </si>
  <si>
    <t>No.</t>
  </si>
  <si>
    <t>A</t>
  </si>
  <si>
    <t>B</t>
  </si>
  <si>
    <t>Pemilihan Moda</t>
  </si>
  <si>
    <t>Jumlah Penumpang</t>
  </si>
  <si>
    <t>Total Kendaraan yang Melintas</t>
  </si>
  <si>
    <t>Ritasi</t>
  </si>
  <si>
    <t>Jumlah Kendaraan</t>
  </si>
  <si>
    <t>Jumlah Kendaraan per Koridor</t>
  </si>
  <si>
    <t>Jarak Tempuh (Km)</t>
  </si>
  <si>
    <t>Penurunan Emisi (tCO2eq)</t>
  </si>
  <si>
    <t>Bus Sedang</t>
  </si>
  <si>
    <t>Bus Besar</t>
  </si>
  <si>
    <t>Bus terpadu, bus pada jalur khusus (busway), monorel, trem</t>
  </si>
  <si>
    <t>Bus Kecil (Angkot)</t>
  </si>
  <si>
    <t>Bus Sistem Transit</t>
  </si>
  <si>
    <t>Jenis Kendaraan Bermotor</t>
  </si>
  <si>
    <t>Jenis Bahan Bakar</t>
  </si>
  <si>
    <t>Modal Shift
(%)</t>
  </si>
  <si>
    <t>Tingkat Keterisian/Okupansi (penumpang)</t>
  </si>
  <si>
    <t>Jumlah Kendaraan Bermotor yang berpindah ke BRT
(unit)</t>
  </si>
  <si>
    <t>Rata-rata hari Operasi per Tahun
(hari)</t>
  </si>
  <si>
    <t>Rata-rata Trip per Hari
(trip)</t>
  </si>
  <si>
    <t>Rata-rata Panjang Trip Per Hari
(km/trip)</t>
  </si>
  <si>
    <t>Rata-rata Konsumsi Bahan Bakar Per Hari
(liter/km)</t>
  </si>
  <si>
    <t>Konsumsi Bahan Bakar per Tahun
(liter)</t>
  </si>
  <si>
    <t>Faktor Emisi
(kgCO2/liter)</t>
  </si>
  <si>
    <t>Reduksi Emisi CO2 dari shifting Kendaraan Bermotor ke BRT
(tCO2e)</t>
  </si>
  <si>
    <t>Panjang Koridor BRT (km)</t>
  </si>
  <si>
    <t>Jenis Bahan Bakar BRT***</t>
  </si>
  <si>
    <t>Total Konsumsi Bahan Bakar Bus (liter)</t>
  </si>
  <si>
    <t>Faktor Emisi (kgCO2/liter</t>
  </si>
  <si>
    <t>Total CO2 dari Operasional Bus BRT</t>
  </si>
  <si>
    <t>Total Penurunan CO2 (tCO2e)</t>
  </si>
  <si>
    <t>Jumlah Bus Sistem Transit
(unit)</t>
  </si>
  <si>
    <t>Kapasitas Bus
(penumpang)</t>
  </si>
  <si>
    <t>Operasional Bus per Hari
(trip)</t>
  </si>
  <si>
    <t>Mobil Penumpang</t>
  </si>
  <si>
    <t>bensin</t>
  </si>
  <si>
    <t>Solar</t>
  </si>
  <si>
    <t>Sepeda Motor</t>
  </si>
  <si>
    <t>Bus Non BRT</t>
  </si>
  <si>
    <t>-</t>
  </si>
  <si>
    <t>Angkutan Umum Non Bus**</t>
  </si>
  <si>
    <t>TOTAL</t>
  </si>
  <si>
    <t>Perhitungan Emisi</t>
  </si>
  <si>
    <t>AKSI MITIGASI REFORMASI SISTEM TRANSIT - BRT SYSTEM</t>
  </si>
  <si>
    <t xml:space="preserve">TRAYEK : </t>
  </si>
  <si>
    <t>KORIDOR :</t>
  </si>
  <si>
    <t>Barat- Timur</t>
  </si>
  <si>
    <t>TRAYEK :</t>
  </si>
  <si>
    <t>PENURUNAN EMISI</t>
  </si>
  <si>
    <t>Sumber : Laporan Akhir DED Transportasi Umum Metropolitan Bandung Raya</t>
  </si>
  <si>
    <t>Jaringan Trayek Angkutan Massal yang tercantum dalam Masterplan BRT di Kota Bandung</t>
  </si>
  <si>
    <t>Jalur/Koridor</t>
  </si>
  <si>
    <t>Keterangan</t>
  </si>
  <si>
    <t>Cicaheum - Cibeureum</t>
  </si>
  <si>
    <t xml:space="preserve">Beroperasi </t>
  </si>
  <si>
    <t>Tetapi bersinggungan dengan Koridor TMB</t>
  </si>
  <si>
    <t>Leuwipanjang-Ledeng</t>
  </si>
  <si>
    <t>Beroperasi</t>
  </si>
  <si>
    <t>Kiaracondong-Ciroyom</t>
  </si>
  <si>
    <t>Pernah ada tp Tidak Aktif</t>
  </si>
  <si>
    <t>Dipatiukur-Leuwipanjang</t>
  </si>
  <si>
    <t>Leuwipanjang-Cicaheum</t>
  </si>
  <si>
    <t>Cibiru – leuwi panjang</t>
  </si>
  <si>
    <t>Kiaracondong-Sarijadi</t>
  </si>
  <si>
    <t>Jaringan Trayek Angkutan Massal Damri</t>
  </si>
  <si>
    <t>Trayek</t>
  </si>
  <si>
    <t>Panjang</t>
  </si>
  <si>
    <t>Jumlah Bus Operasi</t>
  </si>
  <si>
    <t>Jumlah kuota</t>
  </si>
  <si>
    <t>Umur bus&lt;20 thn</t>
  </si>
  <si>
    <t>Umur bus&gt;20 thn</t>
  </si>
  <si>
    <t>Jumlah Halte</t>
  </si>
  <si>
    <t>Cicaheum – Cibeureum PP</t>
  </si>
  <si>
    <t>14 km</t>
  </si>
  <si>
    <t>Leuwi panjang – Ledeng PP</t>
  </si>
  <si>
    <t>14,5 km</t>
  </si>
  <si>
    <t>Leuwi panjang – Depatiukur PP</t>
  </si>
  <si>
    <t>Leuwi panjang – Cicaheum PP</t>
  </si>
  <si>
    <t>Leuwi panjang – Cibiru PP</t>
  </si>
  <si>
    <t>20km</t>
  </si>
  <si>
    <t>Jaringan Trayek Angkutan Massal TMB</t>
  </si>
  <si>
    <t>Prioritas</t>
  </si>
  <si>
    <t>Ket</t>
  </si>
  <si>
    <t>Elang (Cibeureum)–Soekarno Hatta-Cibiru</t>
  </si>
  <si>
    <t>Beroperasi (Koridor I)</t>
  </si>
  <si>
    <t>Cibeureum-Cicaheum</t>
  </si>
  <si>
    <t>Beroperasi (Koridor II)</t>
  </si>
  <si>
    <t>Cicaheum - Sarijadi</t>
  </si>
  <si>
    <t>Beroperasi  Koridor III</t>
  </si>
  <si>
    <t>Banjaran-Gedebage-ST Hall</t>
  </si>
  <si>
    <t xml:space="preserve">Rencana </t>
  </si>
  <si>
    <t>Padalarang-Cimahi-Elang-ST Hall</t>
  </si>
  <si>
    <t>Rencana</t>
  </si>
  <si>
    <t>Antapani-Laswi-ST Hall</t>
  </si>
  <si>
    <t>Antapani-Laswi-Lingkar Selatan</t>
  </si>
  <si>
    <t>Rencana Koridor IV</t>
  </si>
  <si>
    <t>Padalarang-Tol-Terusan Pasteur-Pasteur-Wastu Kencana-ST Hall</t>
  </si>
  <si>
    <t>Soreang-Kopo-Leuwipanjang-ST Hall</t>
  </si>
  <si>
    <t>Cibaduyut-Tegallega-ST Hall</t>
  </si>
  <si>
    <t>Ledeng-Gegerkalong-Setiabudi-Cihampelas-ST Hall</t>
  </si>
  <si>
    <t>Ujungberung-Cicaheum-Surapati-Dago-ST Hall</t>
  </si>
  <si>
    <t xml:space="preserve">Caringin-Pasir Koja-Kebon Kawung-Pasir-Kaliki-Sukajadi-Sarijadi </t>
  </si>
  <si>
    <t>Jaringan Trayek Angkutan Massal yang Terintegrasi di PKN Bandung Raya</t>
  </si>
  <si>
    <t>Panjang Koridor</t>
  </si>
  <si>
    <t>Jumlah Kuota</t>
  </si>
  <si>
    <t>Umur Bus&lt;20 thn</t>
  </si>
  <si>
    <t>Umur Bus &gt;20 thn</t>
  </si>
  <si>
    <t>Elang – Jatinangor Via TOL</t>
  </si>
  <si>
    <t>Elang-Sokarno Hatta- Tol Moh. Toha-Cileunyi-Jatinangor</t>
  </si>
  <si>
    <t>28 km</t>
  </si>
  <si>
    <t>Sudah beroperasi sejak thn 1987</t>
  </si>
  <si>
    <t>Dipatiukur – Jatinangor Via TOL</t>
  </si>
  <si>
    <t>Dipatiukur-Pranatayudha-Gasibu-Diponegoro-Supratman- A. Yani- Laswi- BKR- Moh. Toha-Tol Moh. Toha-Cileunyi-Jatinangor</t>
  </si>
  <si>
    <t>35km</t>
  </si>
  <si>
    <t>Dipatiukur-Jatinangor Via Cicaheum</t>
  </si>
  <si>
    <t>Dipatiukur-Pranatayudha-Gasibu-Diponegoro-Supratman-A.Yani-Cicaheum- Cibiru—Cileunyi-Jatinangor</t>
  </si>
  <si>
    <t>35 km</t>
  </si>
  <si>
    <t>Tidak Beroperasi</t>
  </si>
  <si>
    <t>Kebon kelapa-tanjungsari</t>
  </si>
  <si>
    <t>Kebon kelapa-Pungkur-Moh. Ramdan-Gurame-Buahbatu-Soekarno Hatta-Cibiru-Cileuinyi-Jatinangor-Tanjungsari</t>
  </si>
  <si>
    <t>Sudah beroperasi</t>
  </si>
  <si>
    <t>Kota Baru Parahyangan – Leuwi Panjang</t>
  </si>
  <si>
    <t>Kota Baru-Tol Pasteur- Djunjunan- Oten-Wastukencana-Jl. Riau-Merdeka-Lembong-Lengkong-Asia Afrika-Otista-BKR-Leuwipanjang</t>
  </si>
  <si>
    <t>Sejak tahun 2003</t>
  </si>
  <si>
    <t>KORIDOR PENGEMBANGAN ANGKUTAN UMUM MASSAL</t>
  </si>
  <si>
    <t>Pemilihan dan Penetapan Koridor Terpilih Angkutan Massal Trans Metro Bandung Raya</t>
  </si>
  <si>
    <t>Panjang Rute (Km)</t>
  </si>
  <si>
    <t>Fungsi Jalan</t>
  </si>
  <si>
    <t>Waktu Tempuh (menit)</t>
  </si>
  <si>
    <t>Headway</t>
  </si>
  <si>
    <t>Bersinggungan dengan Angkutan Kota (trayek)</t>
  </si>
  <si>
    <t>Guna Lahan</t>
  </si>
  <si>
    <t>Leuwi Panjang – Majalaya via Dayeuhkolot</t>
  </si>
  <si>
    <t>Leuwi Panjang - Soreang</t>
  </si>
  <si>
    <t xml:space="preserve">Belum ada TMB dan damri sehingga tumpang tindih tidak terlalu banyak, namun waktu tempuhnya sangat lama. </t>
  </si>
  <si>
    <t>St. Hall - Lembang</t>
  </si>
  <si>
    <t>Leuwi Panjang – Cimahi - Padalarang</t>
  </si>
  <si>
    <t>Banyak tumpah tindih dengan angkutan umum yang lain seperti TMB, damri dan angkutan kota. Selain itu sudah ada damri trayek Alun-alun - Ciburuy, hanya saja rutenya sedikit berbeda.</t>
  </si>
  <si>
    <t>Jumlah Halte Rencana</t>
  </si>
  <si>
    <t>Halte Tertutup (Type A) : 11</t>
  </si>
  <si>
    <t>Halte Semi Tertutup (Type B) : 6</t>
  </si>
  <si>
    <t>Halte Portable (Type C) : 1</t>
  </si>
  <si>
    <t>Halte Tertutup (Type A) : 8</t>
  </si>
  <si>
    <t>Halte Semi Tertutup (Type B) : 9</t>
  </si>
  <si>
    <t>Halte Portable (Type C) : 11</t>
  </si>
  <si>
    <t>Halte Tertutup (Type A) : 1</t>
  </si>
  <si>
    <t>Halte Semi Tertutup (Type B) : 12</t>
  </si>
  <si>
    <t>Halte Portable (Type C) : 16</t>
  </si>
  <si>
    <t xml:space="preserve">Leuwi Panjang – Cimahi - Padalarang
</t>
  </si>
  <si>
    <t>Halte Tertutup (Type A) : 2</t>
  </si>
  <si>
    <t>Halte Semi Tertutup (Type B) : 10</t>
  </si>
  <si>
    <t>Halte Portable (Type C) : 27</t>
  </si>
  <si>
    <t>RAB Rencana Detail Pembangunan Angkutan Umum Massal di Metro Bandung</t>
  </si>
  <si>
    <t>Jarak Tempuh Angkutan Umum Massal Perkotaan Bandung Raya Berdasarkan Rute</t>
  </si>
  <si>
    <t>Produksi Moda Angkutan Perkotaan Bandung Raya Per Bus</t>
  </si>
  <si>
    <t>Rute</t>
  </si>
  <si>
    <t>Jarak Tempuh (Km)/Trip</t>
  </si>
  <si>
    <t>Jarak Tempuh (Km)/Hari</t>
  </si>
  <si>
    <t>Jarak Tempuh (Km)/Tahun</t>
  </si>
  <si>
    <t>Produksi Per Bus</t>
  </si>
  <si>
    <t>Jumlah</t>
  </si>
  <si>
    <t>Leuwipanjang - Majalaya</t>
  </si>
  <si>
    <t>Leuwipanjang - Soreang</t>
  </si>
  <si>
    <t>Leuwipanjang- Padalarang</t>
  </si>
  <si>
    <t>Satuan</t>
  </si>
  <si>
    <t>Leuwipanjang – Majalaya</t>
  </si>
  <si>
    <t>Kapasitas/Daya angkut Bus</t>
  </si>
  <si>
    <t>Leuwipanjang – Soreang</t>
  </si>
  <si>
    <t>Km Temput / rit</t>
  </si>
  <si>
    <t>28,39</t>
  </si>
  <si>
    <t>16,86</t>
  </si>
  <si>
    <t>24,82</t>
  </si>
  <si>
    <t>16,51</t>
  </si>
  <si>
    <t>Km</t>
  </si>
  <si>
    <t>Lewipanjang- Padalarang</t>
  </si>
  <si>
    <t>Frekuensi / hari</t>
  </si>
  <si>
    <t>6-8</t>
  </si>
  <si>
    <t>Rit</t>
  </si>
  <si>
    <t>Km tempuh / hari ((1x2)+3%)</t>
  </si>
  <si>
    <t>227,12</t>
  </si>
  <si>
    <t>134,88</t>
  </si>
  <si>
    <t>198,56</t>
  </si>
  <si>
    <t>132,08</t>
  </si>
  <si>
    <t>Km/hari</t>
  </si>
  <si>
    <t>Penumpang / trip (70%x36)</t>
  </si>
  <si>
    <t>Penumpang</t>
  </si>
  <si>
    <t>Penumpang/rit</t>
  </si>
  <si>
    <t>Jumlah Armada</t>
  </si>
  <si>
    <t>Penumpang/hari</t>
  </si>
  <si>
    <t>Analisa penentuan  jumlah  armada  dapat  dilakukan  dengan menyesuaikan perencanaan headway</t>
  </si>
  <si>
    <t>Hari operasi / bulan</t>
  </si>
  <si>
    <t>Hari</t>
  </si>
  <si>
    <t>Km-Tempuh / bulan ((3)x(6))</t>
  </si>
  <si>
    <t>Jumlah Armada =</t>
  </si>
  <si>
    <t xml:space="preserve">Jarak perjalanan </t>
  </si>
  <si>
    <t>x jumlah armada dalam satu jam</t>
  </si>
  <si>
    <t>Penumpang / bulan ((5)x(6))</t>
  </si>
  <si>
    <t>kecepatan per jalanan</t>
  </si>
  <si>
    <t>Km-Tempuh / Tahun ((7)x(12 bulan)</t>
  </si>
  <si>
    <t>Km/Tahun</t>
  </si>
  <si>
    <t>Penumpang / Tahun ((8)x12 bulan)</t>
  </si>
  <si>
    <t>Jumlah Armada dalam satu jam =</t>
  </si>
  <si>
    <t>60 menit</t>
  </si>
  <si>
    <t>headway rencana</t>
  </si>
  <si>
    <t>headway rencana (menit)</t>
  </si>
  <si>
    <t xml:space="preserve">jumlah armada dalam satu jam </t>
  </si>
  <si>
    <t>jarak perjalanan (km)</t>
  </si>
  <si>
    <t>kecepatan per jalanan (km/jam)</t>
  </si>
  <si>
    <t>jumlah armada</t>
  </si>
  <si>
    <t>Penurunan emisi (ton CO2 eq)</t>
  </si>
  <si>
    <t>HITUNGAN PENURUNAN EMISI</t>
  </si>
  <si>
    <t>KORIDOR 1: Leuwi Panjang – Majalaya via Dayeuhkolot</t>
  </si>
  <si>
    <t>KORIDOR 2: Leuwi Panjang - Soreang</t>
  </si>
  <si>
    <t>KORIDOR 3: St. Hall - Lembang</t>
  </si>
  <si>
    <t>KORIDOR 4: Leuwi Panjang – Cimahi - Padalarang</t>
  </si>
  <si>
    <t>Keterangan:</t>
  </si>
  <si>
    <t>Parameter yang perlu diisi</t>
  </si>
  <si>
    <t>Konstanta (tidak perlu diisi; data telah disediakan atau ditentukan)</t>
  </si>
  <si>
    <t>Hasil perhitungan (tidak perlu diisi; terisi secara otomatis)</t>
  </si>
  <si>
    <t>*Tabel berikut dapat diperbanyak sesuai jumlah koridor penerapan Sistem Transit - BRT System</t>
  </si>
  <si>
    <t xml:space="preserve"> **Angkutan Umum Non Bus seperti: Bus Air, Bentor, Bajaj (apabila data tersedia)</t>
  </si>
  <si>
    <t>*** Jenis Bahan Bakar BRT: Solar, CNG single Bus, CNG articulated Bus</t>
  </si>
  <si>
    <t>ASUMSI (disamakan dengan PEP Jawa Barat)</t>
  </si>
  <si>
    <r>
      <t>-</t>
    </r>
    <r>
      <rPr>
        <sz val="10"/>
        <color rgb="FF000000"/>
        <rFont val="Calibri"/>
        <family val="2"/>
        <scheme val="minor"/>
      </rPr>
      <t>Arteri</t>
    </r>
  </si>
  <si>
    <r>
      <t>-</t>
    </r>
    <r>
      <rPr>
        <sz val="10"/>
        <color rgb="FF000000"/>
        <rFont val="Calibri"/>
        <family val="2"/>
        <scheme val="minor"/>
      </rPr>
      <t>Permukiman</t>
    </r>
  </si>
  <si>
    <r>
      <t>-</t>
    </r>
    <r>
      <rPr>
        <sz val="10"/>
        <color rgb="FF000000"/>
        <rFont val="Calibri"/>
        <family val="2"/>
        <scheme val="minor"/>
      </rPr>
      <t>Belum ada TMB dan damri sehingga tumpang tindih tidak terlalu banyak, namun waktu tempuhnya sangat lama.</t>
    </r>
  </si>
  <si>
    <r>
      <t>-</t>
    </r>
    <r>
      <rPr>
        <sz val="10"/>
        <color rgb="FF000000"/>
        <rFont val="Calibri"/>
        <family val="2"/>
        <scheme val="minor"/>
      </rPr>
      <t>Kolektor</t>
    </r>
  </si>
  <si>
    <r>
      <t>-</t>
    </r>
    <r>
      <rPr>
        <sz val="10"/>
        <color rgb="FF000000"/>
        <rFont val="Calibri"/>
        <family val="2"/>
        <scheme val="minor"/>
      </rPr>
      <t xml:space="preserve">Perdagangan &amp; Jasa </t>
    </r>
  </si>
  <si>
    <r>
      <t>-</t>
    </r>
    <r>
      <rPr>
        <sz val="10"/>
        <color rgb="FF000000"/>
        <rFont val="Calibri"/>
        <family val="2"/>
        <scheme val="minor"/>
      </rPr>
      <t xml:space="preserve">Lebar jalan di Jalur ini kecil </t>
    </r>
  </si>
  <si>
    <r>
      <t>-</t>
    </r>
    <r>
      <rPr>
        <sz val="10"/>
        <color rgb="FF000000"/>
        <rFont val="Calibri"/>
        <family val="2"/>
        <scheme val="minor"/>
      </rPr>
      <t>Pabrik</t>
    </r>
  </si>
  <si>
    <r>
      <t>-</t>
    </r>
    <r>
      <rPr>
        <sz val="10"/>
        <color rgb="FF000000"/>
        <rFont val="Calibri"/>
        <family val="2"/>
        <scheme val="minor"/>
      </rPr>
      <t>Sawah</t>
    </r>
  </si>
  <si>
    <r>
      <t>-</t>
    </r>
    <r>
      <rPr>
        <sz val="10"/>
        <color rgb="FF000000"/>
        <rFont val="Calibri"/>
        <family val="2"/>
        <scheme val="minor"/>
      </rPr>
      <t>Tegalan</t>
    </r>
  </si>
  <si>
    <r>
      <t>-</t>
    </r>
    <r>
      <rPr>
        <sz val="10"/>
        <color rgb="FF000000"/>
        <rFont val="Calibri"/>
        <family val="2"/>
        <scheme val="minor"/>
      </rPr>
      <t>Pendidikan</t>
    </r>
  </si>
  <si>
    <r>
      <t>-</t>
    </r>
    <r>
      <rPr>
        <sz val="10"/>
        <color rgb="FF000000"/>
        <rFont val="Calibri"/>
        <family val="2"/>
        <scheme val="minor"/>
      </rPr>
      <t>Perkebunan</t>
    </r>
  </si>
  <si>
    <r>
      <t>-</t>
    </r>
    <r>
      <rPr>
        <sz val="10"/>
        <color rgb="FF000000"/>
        <rFont val="Calibri"/>
        <family val="2"/>
        <scheme val="minor"/>
      </rPr>
      <t>Lokal</t>
    </r>
  </si>
  <si>
    <r>
      <t>-</t>
    </r>
    <r>
      <rPr>
        <sz val="10"/>
        <color rgb="FF000000"/>
        <rFont val="Calibri"/>
        <family val="2"/>
        <scheme val="minor"/>
      </rPr>
      <t>Sawah Irigasi</t>
    </r>
  </si>
  <si>
    <r>
      <t>-</t>
    </r>
    <r>
      <rPr>
        <sz val="10"/>
        <color rgb="FF000000"/>
        <rFont val="Calibri"/>
        <family val="2"/>
        <scheme val="minor"/>
      </rPr>
      <t>Tanah Ladang</t>
    </r>
  </si>
  <si>
    <r>
      <t>-</t>
    </r>
    <r>
      <rPr>
        <sz val="10"/>
        <color rgb="FF000000"/>
        <rFont val="Calibri"/>
        <family val="2"/>
        <scheme val="minor"/>
      </rPr>
      <t>RTH</t>
    </r>
  </si>
  <si>
    <r>
      <t>-</t>
    </r>
    <r>
      <rPr>
        <sz val="10"/>
        <color rgb="FF000000"/>
        <rFont val="Calibri"/>
        <family val="2"/>
        <scheme val="minor"/>
      </rPr>
      <t>Kebun</t>
    </r>
  </si>
  <si>
    <r>
      <t>-</t>
    </r>
    <r>
      <rPr>
        <sz val="10"/>
        <color rgb="FF000000"/>
        <rFont val="Calibri"/>
        <family val="2"/>
        <scheme val="minor"/>
      </rPr>
      <t xml:space="preserve">Banyak tumpah tindih dengan angkutan umum yang lain seperti TMB, damri dan angkutan kota. </t>
    </r>
  </si>
  <si>
    <r>
      <t>-</t>
    </r>
    <r>
      <rPr>
        <sz val="10"/>
        <color rgb="FF000000"/>
        <rFont val="Calibri"/>
        <family val="2"/>
        <scheme val="minor"/>
      </rPr>
      <t>Perdagangan &amp; Jasa</t>
    </r>
  </si>
  <si>
    <r>
      <t>-</t>
    </r>
    <r>
      <rPr>
        <sz val="10"/>
        <color rgb="FF000000"/>
        <rFont val="Calibri"/>
        <family val="2"/>
        <scheme val="minor"/>
      </rPr>
      <t>Sudah ada trayek AKDP St hall - Lembang</t>
    </r>
  </si>
  <si>
    <r>
      <t>-</t>
    </r>
    <r>
      <rPr>
        <sz val="10"/>
        <color rgb="FF000000"/>
        <rFont val="Calibri"/>
        <family val="2"/>
        <scheme val="minor"/>
      </rPr>
      <t>Perkantoran</t>
    </r>
  </si>
  <si>
    <r>
      <t>-</t>
    </r>
    <r>
      <rPr>
        <sz val="10"/>
        <color rgb="FF000000"/>
        <rFont val="Calibri"/>
        <family val="2"/>
        <scheme val="minor"/>
      </rPr>
      <t>Tanah ladang</t>
    </r>
  </si>
  <si>
    <t>RENCANA AKSI MITIGASI</t>
  </si>
  <si>
    <t>PERUBAHAN BRT</t>
  </si>
  <si>
    <t>Katagori</t>
  </si>
  <si>
    <t>Luas / Indikasi Pembiayaan/Penurunan Emisi</t>
  </si>
  <si>
    <t>Sumber Penda-Naan</t>
  </si>
  <si>
    <t>TAHUN</t>
  </si>
  <si>
    <t>Sumber Pendanaan</t>
  </si>
  <si>
    <t>Car Free Day</t>
  </si>
  <si>
    <t>jumlah lokasi car free day</t>
  </si>
  <si>
    <t>APBN/ APBD Provinsi/APBD Kab/ kota</t>
  </si>
  <si>
    <t>APBN/ APBD Provinsi/ APBD Kab/ kota</t>
  </si>
  <si>
    <t>indikasi pembiayaan (Ribu rupiah)</t>
  </si>
  <si>
    <t>Penurunan emisi (ton CO₂eq)</t>
  </si>
  <si>
    <t>Pembangun-an ITS/ATS **)</t>
  </si>
  <si>
    <t xml:space="preserve">jumlah simpang yang menggunakan ITS/ATCS </t>
  </si>
  <si>
    <t>Pembangunan ITS/ATS **)</t>
  </si>
  <si>
    <t>Reformasi sistem transit - BRT System</t>
  </si>
  <si>
    <t xml:space="preserve">jumlah unit BRT </t>
  </si>
  <si>
    <t>APBN/ APBD Provinsi/APBD  Kab/ kota</t>
  </si>
  <si>
    <t>Peremajaan armada transportasi umum</t>
  </si>
  <si>
    <t>jumlah kendaraan yang diremajakan</t>
  </si>
  <si>
    <t>Penerapan manajemen parkir</t>
  </si>
  <si>
    <t>jumlah kendaraan yang parkir</t>
  </si>
  <si>
    <t xml:space="preserve">Pelatihan </t>
  </si>
  <si>
    <t>jumlah peserta eco smart driving</t>
  </si>
  <si>
    <t>Pelatihan Eco Smart Driving</t>
  </si>
  <si>
    <t>Eco Smart Driving</t>
  </si>
  <si>
    <t>TA 2015</t>
  </si>
  <si>
    <t>hardcopy : Kajian Penataan Angkutan Penumpang Umum di PKN Bodebek</t>
  </si>
  <si>
    <t>Kebutuhan Armada Trayek Angkutan Umum AKDP di PKN Bodebek untuk Bus Kecil</t>
  </si>
  <si>
    <t xml:space="preserve">Kode </t>
  </si>
  <si>
    <t>Lintasan</t>
  </si>
  <si>
    <t>Jumlah Armada Eksisting</t>
  </si>
  <si>
    <t>Jarak (Km)</t>
  </si>
  <si>
    <t>Kecepatan (km/jam)</t>
  </si>
  <si>
    <t>Jumlah Rit (/hari)</t>
  </si>
  <si>
    <t>Pendapatan (Rp/thn)</t>
  </si>
  <si>
    <t>LF</t>
  </si>
  <si>
    <t>LF be</t>
  </si>
  <si>
    <t>Kebutuhan Jumlah Armada</t>
  </si>
  <si>
    <t>Selisih Jumlah Armada</t>
  </si>
  <si>
    <t>05.06.0121</t>
  </si>
  <si>
    <t>Term. Sukasari-Tajur-Ciawi-Term. Cicurug PP</t>
  </si>
  <si>
    <t>Pengurangan</t>
  </si>
  <si>
    <t>05.06.0122</t>
  </si>
  <si>
    <t>Term. Sukasari-Tajur-Ciawi-Term. Cisarua PP</t>
  </si>
  <si>
    <t>05.06.0125</t>
  </si>
  <si>
    <t>Pangk. Ramayana-Pancasan-Term. Ciapus PP</t>
  </si>
  <si>
    <t>penambahan</t>
  </si>
  <si>
    <t>05.06.0128</t>
  </si>
  <si>
    <t>Term. Merdeka-Gunung Batu-Pangk. Ciomas PP</t>
  </si>
  <si>
    <t>05.06.0131</t>
  </si>
  <si>
    <t>Term. Merdeka-Semplak-Term. Parung PP</t>
  </si>
  <si>
    <t>05.06.0135</t>
  </si>
  <si>
    <t>Pangk. Pasar Anyar-Cibinong-Term. Citeureup PP</t>
  </si>
  <si>
    <t>17.06.0440</t>
  </si>
  <si>
    <t>Term. Bantar Gebang-Pangk. Cileungsi PP</t>
  </si>
  <si>
    <t>17.26.0471</t>
  </si>
  <si>
    <t>Term. Bekasi-Hero-Jl. Hasibuan-Jl. Diponegoro-SKU-Tri AS State-Pangk. Griya Bekasi Asri PP</t>
  </si>
  <si>
    <t>17.26.0472</t>
  </si>
  <si>
    <t>Term. Bekasi-Cibitung-Perum Tanah Mas-Pangk. Cibeel PP</t>
  </si>
  <si>
    <t>17.26.0480</t>
  </si>
  <si>
    <t>Term. Bekasi-Term. Babelan PP</t>
  </si>
  <si>
    <t>17.26.0482</t>
  </si>
  <si>
    <t>Term. Bekasi-Term. Cikarang PP</t>
  </si>
  <si>
    <t>17.26.0484</t>
  </si>
  <si>
    <t>Term. Bekasi-Indoporlen-Ps. Rawakalong-Pang. Karang Satria PP</t>
  </si>
  <si>
    <t xml:space="preserve">TOTAL BUS KECIL  BERKURANG </t>
  </si>
  <si>
    <t>Kota Depok (Term. Depok)-Perum Di POK. II Tengah/Timur-Jl. Simpang Depok-Jl. Cibinong-Jl. Warung Jambu-Kota Bogor (Term. Baranang Siang) PP</t>
  </si>
  <si>
    <t>Kota Bogor (Term. Brn. Siang)-Term. Citeureup-Term. Cileungsi-Term. Jonggol-Kab. Bogor (Term. Cariu) PP. Via Tol Jagorawi</t>
  </si>
  <si>
    <t>Kebutuhan Armada Trayek Angkutan Umum AKDP di PKN Bodebek untuk Bus Sedang</t>
  </si>
  <si>
    <t>Kota Bogor (Term. Brn. Siang)-Term Citeureup-Kota Bekasi (Term. Bekasi) PP. Via Tol Jagorawi</t>
  </si>
  <si>
    <t>Kota Bogor (Term. Brn. Siang)-Tol Jagorawi-Tol. Jorr-Tol. Cikampek-Kota Bekasi (Term. Bekasi) PP</t>
  </si>
  <si>
    <t>03.01.0025</t>
  </si>
  <si>
    <t>Kota Bekasi (Term. Bekasi)-Term. Cileungsi-Term. Jonggol-Kab. Bogor (Term Cariu) PP</t>
  </si>
  <si>
    <t xml:space="preserve">TOTAL BUS SEDANG BERKURANG </t>
  </si>
  <si>
    <t xml:space="preserve">TOTAL BERKURANG </t>
  </si>
  <si>
    <t>Kab. Bekasi (Term. Cikarang)-Term. Jonggol-Kab. Bogor (Term. Cariu) PP</t>
  </si>
  <si>
    <t>Kebutuhan Armada Trayek Angkutan Umum AKDP di PKN Bodebek untuk Bus Besar</t>
  </si>
  <si>
    <t>01.02.0011</t>
  </si>
  <si>
    <t>01.15.0040</t>
  </si>
  <si>
    <t>01.15.0041</t>
  </si>
  <si>
    <t>15.02.0174</t>
  </si>
  <si>
    <t>16.02.0032</t>
  </si>
  <si>
    <t>TOTAL BUS BESAR BERTAMBAH</t>
  </si>
  <si>
    <t>PERHITUNGAN EMISI</t>
  </si>
  <si>
    <t>AKSI MITIGASI PEREMAJAAN ARMADA ANGKUTAN UMUM (BARU-CICI)</t>
  </si>
  <si>
    <t>Jenis kendaraan</t>
  </si>
  <si>
    <t>Jenis Bahan Bakar
(bensin/solar)</t>
  </si>
  <si>
    <t>Jumlah Angkutan Umum yang Diremajakan (unit/tahun)</t>
  </si>
  <si>
    <t>Rata-rata Konsumsi Bahan Bakar *
(liter/km)</t>
  </si>
  <si>
    <t>Penurunan Emisi
(tCO2e)</t>
  </si>
  <si>
    <t>Sebelum
(Angkutan Umum Lama)</t>
  </si>
  <si>
    <t>Setelah
(Angkutan Umum Baru)</t>
  </si>
  <si>
    <t>Bus Kecil dan Sedang</t>
  </si>
  <si>
    <t xml:space="preserve">penurunan emisi dari bus kecil dan sedang </t>
  </si>
  <si>
    <t>PATAS/Bus Besar</t>
  </si>
  <si>
    <t>emisi dari bus besar</t>
  </si>
  <si>
    <t>tital penurunan emisi dari peremajaan angkutan umum</t>
  </si>
  <si>
    <t>asumsi</t>
  </si>
  <si>
    <t>*Data dapat diperoleh dari Operator dan/atau Organda</t>
  </si>
  <si>
    <t>BOK (ribu Rp/tahun)</t>
  </si>
  <si>
    <t>ton CO2 eq</t>
  </si>
  <si>
    <t>ribu ton CO2 eq</t>
  </si>
  <si>
    <t>Emisi setelah pelaksanaan aksi mitigasi</t>
  </si>
  <si>
    <t>BaU baseline</t>
  </si>
  <si>
    <t>Pembangunan ITS/ ATS  **)</t>
  </si>
  <si>
    <t>Jumlah Akumulatif</t>
  </si>
  <si>
    <t>AKSI MITIGASI CAR FREE DAY</t>
  </si>
  <si>
    <t>KORIDOR 1:_______________*</t>
  </si>
  <si>
    <t>Jenis Kendaraan</t>
  </si>
  <si>
    <t>Rata-rata jumlah kendaraan yang melewati jalur penerapan Car Free Day
(unit/hari)</t>
  </si>
  <si>
    <t>Lama Pelaksanaan Car Free Day</t>
  </si>
  <si>
    <t>Rata-rata Konsumsi Bahan Bakar
(liter/km)</t>
  </si>
  <si>
    <t>Konsumsi bahan bakar
(liter)</t>
  </si>
  <si>
    <t>Per Hari
(jam)</t>
  </si>
  <si>
    <t>Per Tahun
(hari)</t>
  </si>
  <si>
    <t>solar</t>
  </si>
  <si>
    <t>Truk</t>
  </si>
  <si>
    <t>Bus Sistem Transit**</t>
  </si>
  <si>
    <t>*Tabel berikut dapat diperbanyak sesuai jumlah koridor penerapan Car Free Day</t>
  </si>
  <si>
    <t>** Di Jakarta,  Bus Sistem Transit termasuk komponen yang dihitung karena selama Car Free Day, Trans Jakarta tetap berjalan. Untuk kota lain, jika sistem transit - BRT System tidak melewati area Car Free Day, maka perhitungan Bus Sistem Transit dihilangkan.</t>
  </si>
  <si>
    <t>untuk jumlah bus kecil dan sedang = 42</t>
  </si>
  <si>
    <t>untuk jumlah bus kecil dan sedang = 43</t>
  </si>
  <si>
    <t>Tahun</t>
  </si>
  <si>
    <t>Penurunan emisi</t>
  </si>
  <si>
    <t>Penurunan emisi (ribu ton)</t>
  </si>
  <si>
    <t>Penurunan Emisi (ton CO2 eq)</t>
  </si>
  <si>
    <t>Total</t>
  </si>
  <si>
    <t>Akumulasi Penurunan Emisi (ton CO2 eq)</t>
  </si>
  <si>
    <t>Biaya (Ribu Rp)</t>
  </si>
  <si>
    <t>Biaya Penurunan Emisi (Ribu Rp/ton CO2 eq)</t>
  </si>
  <si>
    <t>INDIKASI PEMBIAYAAN</t>
  </si>
  <si>
    <t>Perpindahan ke Moda Transportasi Umum</t>
  </si>
  <si>
    <t>Unit</t>
  </si>
  <si>
    <t>SMP Ekuivalen</t>
  </si>
  <si>
    <t>Perpindahan Moda</t>
  </si>
  <si>
    <t>BRT METRO BANDUNG RAYA (DED)</t>
  </si>
  <si>
    <t>Total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</si>
</sst>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0.0"/>
    <numFmt numFmtId="165" formatCode="0.000"/>
  </numFmts>
  <fonts count="4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rgb="FF000000"/>
      <name val="Cambria"/>
      <family val="1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1"/>
      <color theme="1"/>
      <name val="Calibri"/>
      <family val="2"/>
      <charset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B22600"/>
        <bgColor indexed="64"/>
      </patternFill>
    </fill>
    <fill>
      <patternFill patternType="solid">
        <fgColor rgb="FFFFCBBD"/>
        <bgColor indexed="64"/>
      </patternFill>
    </fill>
    <fill>
      <patternFill patternType="solid">
        <fgColor rgb="FFFFD79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5B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48">
    <xf numFmtId="0" fontId="0" fillId="0" borderId="0"/>
    <xf numFmtId="0" fontId="10" fillId="0" borderId="0"/>
    <xf numFmtId="41" fontId="10" fillId="0" borderId="0" applyFont="0" applyFill="0" applyBorder="0" applyAlignment="0" applyProtection="0"/>
    <xf numFmtId="0" fontId="3" fillId="0" borderId="0"/>
    <xf numFmtId="0" fontId="2" fillId="0" borderId="0"/>
    <xf numFmtId="41" fontId="3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0" fillId="0" borderId="0"/>
  </cellStyleXfs>
  <cellXfs count="485">
    <xf numFmtId="0" fontId="0" fillId="0" borderId="0" xfId="0"/>
    <xf numFmtId="0" fontId="0" fillId="0" borderId="0" xfId="0" applyAlignment="1">
      <alignment vertical="top"/>
    </xf>
    <xf numFmtId="0" fontId="23" fillId="17" borderId="1" xfId="0" applyFont="1" applyFill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vertical="top"/>
    </xf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0" fontId="23" fillId="17" borderId="13" xfId="0" applyFont="1" applyFill="1" applyBorder="1" applyAlignment="1">
      <alignment horizontal="center" vertical="center" wrapText="1"/>
    </xf>
    <xf numFmtId="0" fontId="23" fillId="17" borderId="15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top" wrapText="1"/>
    </xf>
    <xf numFmtId="0" fontId="0" fillId="0" borderId="15" xfId="0" applyBorder="1" applyAlignment="1">
      <alignment horizontal="right" vertical="top"/>
    </xf>
    <xf numFmtId="0" fontId="0" fillId="0" borderId="15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right" vertical="top"/>
    </xf>
    <xf numFmtId="1" fontId="0" fillId="0" borderId="1" xfId="0" applyNumberFormat="1" applyBorder="1" applyAlignment="1">
      <alignment horizontal="center" vertical="top"/>
    </xf>
    <xf numFmtId="0" fontId="20" fillId="0" borderId="0" xfId="0" applyFont="1"/>
    <xf numFmtId="0" fontId="25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12" fillId="0" borderId="1" xfId="1" applyFont="1" applyBorder="1"/>
    <xf numFmtId="0" fontId="11" fillId="10" borderId="1" xfId="1" applyFont="1" applyFill="1" applyBorder="1" applyAlignment="1">
      <alignment horizontal="center" vertical="center" wrapText="1"/>
    </xf>
    <xf numFmtId="0" fontId="11" fillId="13" borderId="1" xfId="1" applyFont="1" applyFill="1" applyBorder="1" applyAlignment="1">
      <alignment horizontal="center" vertical="center" wrapText="1"/>
    </xf>
    <xf numFmtId="0" fontId="11" fillId="11" borderId="1" xfId="1" applyFont="1" applyFill="1" applyBorder="1" applyAlignment="1">
      <alignment horizontal="center" vertical="center" wrapText="1"/>
    </xf>
    <xf numFmtId="41" fontId="10" fillId="0" borderId="1" xfId="2" applyFont="1" applyBorder="1" applyAlignment="1">
      <alignment horizontal="center" vertical="center"/>
    </xf>
    <xf numFmtId="0" fontId="11" fillId="13" borderId="2" xfId="1" applyFont="1" applyFill="1" applyBorder="1" applyAlignment="1">
      <alignment horizontal="center" vertical="center" wrapText="1"/>
    </xf>
    <xf numFmtId="0" fontId="10" fillId="12" borderId="1" xfId="1" applyFill="1" applyBorder="1"/>
    <xf numFmtId="0" fontId="11" fillId="13" borderId="1" xfId="1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 wrapText="1"/>
    </xf>
    <xf numFmtId="0" fontId="11" fillId="11" borderId="1" xfId="1" applyFont="1" applyFill="1" applyBorder="1" applyAlignment="1">
      <alignment horizontal="center" vertical="center"/>
    </xf>
    <xf numFmtId="41" fontId="11" fillId="12" borderId="15" xfId="2" applyFont="1" applyFill="1" applyBorder="1" applyAlignment="1">
      <alignment horizontal="center"/>
    </xf>
    <xf numFmtId="41" fontId="11" fillId="12" borderId="14" xfId="1" applyNumberFormat="1" applyFont="1" applyFill="1" applyBorder="1" applyAlignment="1">
      <alignment horizontal="center"/>
    </xf>
    <xf numFmtId="0" fontId="11" fillId="12" borderId="14" xfId="1" applyFont="1" applyFill="1" applyBorder="1" applyAlignment="1">
      <alignment horizontal="center"/>
    </xf>
    <xf numFmtId="41" fontId="10" fillId="0" borderId="1" xfId="2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horizontal="center" vertical="center" wrapText="1"/>
    </xf>
    <xf numFmtId="0" fontId="10" fillId="12" borderId="13" xfId="1" applyFill="1" applyBorder="1"/>
    <xf numFmtId="0" fontId="13" fillId="10" borderId="1" xfId="1" applyFont="1" applyFill="1" applyBorder="1" applyAlignment="1">
      <alignment horizontal="center" vertical="top"/>
    </xf>
    <xf numFmtId="0" fontId="13" fillId="10" borderId="2" xfId="1" applyFont="1" applyFill="1" applyBorder="1" applyAlignment="1">
      <alignment horizontal="center" vertical="top"/>
    </xf>
    <xf numFmtId="0" fontId="11" fillId="13" borderId="2" xfId="1" applyFont="1" applyFill="1" applyBorder="1" applyAlignment="1">
      <alignment horizontal="center" vertical="top" wrapText="1"/>
    </xf>
    <xf numFmtId="0" fontId="11" fillId="10" borderId="1" xfId="1" applyFont="1" applyFill="1" applyBorder="1" applyAlignment="1">
      <alignment horizontal="center" vertical="top"/>
    </xf>
    <xf numFmtId="0" fontId="11" fillId="10" borderId="1" xfId="1" applyFont="1" applyFill="1" applyBorder="1" applyAlignment="1">
      <alignment horizontal="center" vertical="top" wrapText="1"/>
    </xf>
    <xf numFmtId="0" fontId="11" fillId="11" borderId="1" xfId="1" applyFont="1" applyFill="1" applyBorder="1" applyAlignment="1">
      <alignment horizontal="center" vertical="top" wrapText="1"/>
    </xf>
    <xf numFmtId="0" fontId="11" fillId="13" borderId="1" xfId="1" applyFont="1" applyFill="1" applyBorder="1" applyAlignment="1">
      <alignment horizontal="center" vertical="top" wrapText="1"/>
    </xf>
    <xf numFmtId="0" fontId="10" fillId="0" borderId="1" xfId="1" applyBorder="1" applyAlignment="1">
      <alignment horizontal="center" vertical="top" wrapText="1"/>
    </xf>
    <xf numFmtId="0" fontId="10" fillId="0" borderId="1" xfId="1" applyBorder="1" applyAlignment="1">
      <alignment horizontal="center" vertical="top"/>
    </xf>
    <xf numFmtId="41" fontId="10" fillId="0" borderId="1" xfId="2" applyFont="1" applyBorder="1" applyAlignment="1">
      <alignment horizontal="center" vertical="top"/>
    </xf>
    <xf numFmtId="0" fontId="10" fillId="0" borderId="1" xfId="1" applyFill="1" applyBorder="1" applyAlignment="1">
      <alignment horizontal="center" vertical="top"/>
    </xf>
    <xf numFmtId="2" fontId="10" fillId="0" borderId="1" xfId="1" applyNumberFormat="1" applyBorder="1" applyAlignment="1">
      <alignment horizontal="center" vertical="top"/>
    </xf>
    <xf numFmtId="0" fontId="10" fillId="0" borderId="1" xfId="1" quotePrefix="1" applyBorder="1" applyAlignment="1">
      <alignment horizontal="center" vertical="top"/>
    </xf>
    <xf numFmtId="2" fontId="10" fillId="0" borderId="1" xfId="1" applyNumberFormat="1" applyFill="1" applyBorder="1" applyAlignment="1">
      <alignment horizontal="center" vertical="top"/>
    </xf>
    <xf numFmtId="0" fontId="10" fillId="0" borderId="15" xfId="1" applyBorder="1" applyAlignment="1">
      <alignment horizontal="center" vertical="top"/>
    </xf>
    <xf numFmtId="0" fontId="10" fillId="0" borderId="1" xfId="1" applyFill="1" applyBorder="1" applyAlignment="1">
      <alignment horizontal="center" vertical="top" wrapText="1"/>
    </xf>
    <xf numFmtId="41" fontId="10" fillId="0" borderId="1" xfId="2" applyFont="1" applyFill="1" applyBorder="1" applyAlignment="1">
      <alignment horizontal="center" vertical="top"/>
    </xf>
    <xf numFmtId="0" fontId="10" fillId="0" borderId="15" xfId="1" applyFill="1" applyBorder="1" applyAlignment="1">
      <alignment horizontal="center" vertical="top"/>
    </xf>
    <xf numFmtId="0" fontId="11" fillId="12" borderId="13" xfId="1" applyFont="1" applyFill="1" applyBorder="1" applyAlignment="1">
      <alignment horizontal="center" vertical="top"/>
    </xf>
    <xf numFmtId="0" fontId="11" fillId="12" borderId="14" xfId="1" applyFont="1" applyFill="1" applyBorder="1" applyAlignment="1">
      <alignment horizontal="center" vertical="top"/>
    </xf>
    <xf numFmtId="41" fontId="11" fillId="12" borderId="14" xfId="1" applyNumberFormat="1" applyFont="1" applyFill="1" applyBorder="1" applyAlignment="1">
      <alignment horizontal="center" vertical="top"/>
    </xf>
    <xf numFmtId="0" fontId="10" fillId="14" borderId="1" xfId="1" applyFill="1" applyBorder="1" applyAlignment="1">
      <alignment horizontal="center" vertical="top"/>
    </xf>
    <xf numFmtId="1" fontId="10" fillId="0" borderId="1" xfId="1" applyNumberFormat="1" applyFill="1" applyBorder="1" applyAlignment="1">
      <alignment horizontal="center" vertical="top"/>
    </xf>
    <xf numFmtId="0" fontId="12" fillId="0" borderId="1" xfId="1" applyFont="1" applyBorder="1" applyAlignment="1">
      <alignment vertical="top"/>
    </xf>
    <xf numFmtId="41" fontId="10" fillId="0" borderId="1" xfId="2" applyFont="1" applyBorder="1" applyAlignment="1">
      <alignment horizontal="center" vertical="top" wrapText="1"/>
    </xf>
    <xf numFmtId="0" fontId="3" fillId="0" borderId="0" xfId="0" applyFont="1"/>
    <xf numFmtId="4" fontId="0" fillId="0" borderId="1" xfId="0" applyNumberFormat="1" applyBorder="1" applyAlignment="1">
      <alignment horizontal="right" vertical="top"/>
    </xf>
    <xf numFmtId="4" fontId="19" fillId="0" borderId="1" xfId="0" applyNumberFormat="1" applyFont="1" applyBorder="1"/>
    <xf numFmtId="4" fontId="0" fillId="15" borderId="1" xfId="0" applyNumberFormat="1" applyFill="1" applyBorder="1" applyAlignment="1">
      <alignment horizontal="right" vertical="top"/>
    </xf>
    <xf numFmtId="0" fontId="23" fillId="7" borderId="1" xfId="0" applyFont="1" applyFill="1" applyBorder="1" applyAlignment="1">
      <alignment horizontal="center" vertical="center" wrapText="1"/>
    </xf>
    <xf numFmtId="0" fontId="26" fillId="2" borderId="5" xfId="0" applyFont="1" applyFill="1" applyBorder="1" applyAlignment="1">
      <alignment horizontal="center" vertical="center" wrapText="1" readingOrder="1"/>
    </xf>
    <xf numFmtId="0" fontId="26" fillId="6" borderId="5" xfId="0" applyFont="1" applyFill="1" applyBorder="1" applyAlignment="1">
      <alignment horizontal="center" vertical="center" wrapText="1" readingOrder="1"/>
    </xf>
    <xf numFmtId="0" fontId="6" fillId="3" borderId="7" xfId="0" applyFont="1" applyFill="1" applyBorder="1" applyAlignment="1">
      <alignment horizontal="left" vertical="center" wrapText="1" readingOrder="1"/>
    </xf>
    <xf numFmtId="0" fontId="27" fillId="6" borderId="5" xfId="0" applyFont="1" applyFill="1" applyBorder="1" applyAlignment="1">
      <alignment horizontal="justify" vertical="center" wrapText="1" readingOrder="1"/>
    </xf>
    <xf numFmtId="0" fontId="28" fillId="6" borderId="8" xfId="0" applyFont="1" applyFill="1" applyBorder="1" applyAlignment="1">
      <alignment horizontal="left" vertical="center" wrapText="1" indent="4" readingOrder="1"/>
    </xf>
    <xf numFmtId="0" fontId="6" fillId="3" borderId="6" xfId="0" applyFont="1" applyFill="1" applyBorder="1" applyAlignment="1">
      <alignment horizontal="left" vertical="center" wrapText="1" readingOrder="1"/>
    </xf>
    <xf numFmtId="0" fontId="27" fillId="6" borderId="5" xfId="0" applyFont="1" applyFill="1" applyBorder="1" applyAlignment="1">
      <alignment horizontal="center" vertical="center" wrapText="1" readingOrder="1"/>
    </xf>
    <xf numFmtId="0" fontId="26" fillId="4" borderId="6" xfId="0" applyFont="1" applyFill="1" applyBorder="1" applyAlignment="1">
      <alignment horizontal="center" vertical="center" wrapText="1" readingOrder="1"/>
    </xf>
    <xf numFmtId="0" fontId="6" fillId="3" borderId="5" xfId="0" applyFont="1" applyFill="1" applyBorder="1" applyAlignment="1">
      <alignment horizontal="left" vertical="center" wrapText="1" readingOrder="1"/>
    </xf>
    <xf numFmtId="0" fontId="26" fillId="4" borderId="7" xfId="0" applyFont="1" applyFill="1" applyBorder="1" applyAlignment="1">
      <alignment horizontal="center" vertical="center" wrapText="1" readingOrder="1"/>
    </xf>
    <xf numFmtId="0" fontId="24" fillId="6" borderId="5" xfId="0" applyFont="1" applyFill="1" applyBorder="1" applyAlignment="1">
      <alignment horizontal="center" vertical="center" wrapText="1" readingOrder="1"/>
    </xf>
    <xf numFmtId="0" fontId="6" fillId="5" borderId="5" xfId="0" applyFont="1" applyFill="1" applyBorder="1" applyAlignment="1">
      <alignment horizontal="center" vertical="center" wrapText="1" readingOrder="1"/>
    </xf>
    <xf numFmtId="0" fontId="24" fillId="6" borderId="5" xfId="0" applyFont="1" applyFill="1" applyBorder="1" applyAlignment="1">
      <alignment horizontal="left" vertical="center" wrapText="1" readingOrder="1"/>
    </xf>
    <xf numFmtId="0" fontId="6" fillId="5" borderId="5" xfId="0" applyFont="1" applyFill="1" applyBorder="1" applyAlignment="1">
      <alignment horizontal="left" vertical="center" wrapText="1" readingOrder="1"/>
    </xf>
    <xf numFmtId="0" fontId="6" fillId="6" borderId="5" xfId="0" applyFont="1" applyFill="1" applyBorder="1" applyAlignment="1">
      <alignment horizontal="center" vertical="center" wrapText="1" readingOrder="1"/>
    </xf>
    <xf numFmtId="0" fontId="6" fillId="6" borderId="5" xfId="0" applyFont="1" applyFill="1" applyBorder="1" applyAlignment="1">
      <alignment horizontal="left" vertical="center" wrapText="1" readingOrder="1"/>
    </xf>
    <xf numFmtId="0" fontId="26" fillId="0" borderId="0" xfId="0" applyFont="1" applyAlignment="1">
      <alignment horizontal="left" vertical="center" readingOrder="1"/>
    </xf>
    <xf numFmtId="0" fontId="28" fillId="6" borderId="6" xfId="0" applyFont="1" applyFill="1" applyBorder="1" applyAlignment="1">
      <alignment horizontal="left" vertical="center" wrapText="1" indent="4" readingOrder="1"/>
    </xf>
    <xf numFmtId="0" fontId="28" fillId="6" borderId="6" xfId="0" applyFont="1" applyFill="1" applyBorder="1" applyAlignment="1">
      <alignment horizontal="justify" vertical="center" wrapText="1" readingOrder="1"/>
    </xf>
    <xf numFmtId="0" fontId="6" fillId="0" borderId="0" xfId="0" applyFont="1" applyAlignment="1">
      <alignment horizontal="left" vertical="center" readingOrder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4" fillId="7" borderId="1" xfId="0" applyFont="1" applyFill="1" applyBorder="1" applyAlignment="1">
      <alignment horizontal="center" vertical="center"/>
    </xf>
    <xf numFmtId="0" fontId="9" fillId="0" borderId="0" xfId="0" applyFont="1"/>
    <xf numFmtId="1" fontId="4" fillId="0" borderId="1" xfId="0" applyNumberFormat="1" applyFont="1" applyBorder="1" applyAlignment="1">
      <alignment vertical="top"/>
    </xf>
    <xf numFmtId="0" fontId="11" fillId="10" borderId="1" xfId="1" applyFont="1" applyFill="1" applyBorder="1" applyAlignment="1">
      <alignment horizontal="center" vertical="center" wrapText="1"/>
    </xf>
    <xf numFmtId="0" fontId="11" fillId="13" borderId="1" xfId="1" applyFont="1" applyFill="1" applyBorder="1" applyAlignment="1">
      <alignment horizontal="center" vertical="center" wrapText="1"/>
    </xf>
    <xf numFmtId="0" fontId="11" fillId="11" borderId="1" xfId="1" applyFont="1" applyFill="1" applyBorder="1" applyAlignment="1">
      <alignment horizontal="center" vertical="center" wrapText="1"/>
    </xf>
    <xf numFmtId="0" fontId="11" fillId="13" borderId="2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/>
    </xf>
    <xf numFmtId="0" fontId="15" fillId="0" borderId="0" xfId="0" applyFont="1"/>
    <xf numFmtId="0" fontId="11" fillId="0" borderId="0" xfId="1" applyFont="1"/>
    <xf numFmtId="0" fontId="11" fillId="13" borderId="1" xfId="1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 wrapText="1"/>
    </xf>
    <xf numFmtId="0" fontId="13" fillId="10" borderId="1" xfId="1" applyFont="1" applyFill="1" applyBorder="1" applyAlignment="1">
      <alignment horizontal="center" vertical="center"/>
    </xf>
    <xf numFmtId="0" fontId="13" fillId="10" borderId="2" xfId="1" applyFont="1" applyFill="1" applyBorder="1" applyAlignment="1">
      <alignment horizontal="center" vertical="center"/>
    </xf>
    <xf numFmtId="0" fontId="11" fillId="10" borderId="1" xfId="1" applyFont="1" applyFill="1" applyBorder="1" applyAlignment="1">
      <alignment horizontal="center" vertical="center"/>
    </xf>
    <xf numFmtId="0" fontId="14" fillId="0" borderId="0" xfId="1" applyFont="1"/>
    <xf numFmtId="0" fontId="15" fillId="0" borderId="0" xfId="1" applyFont="1" applyFill="1" applyBorder="1" applyAlignment="1">
      <alignment vertical="center" wrapText="1"/>
    </xf>
    <xf numFmtId="0" fontId="16" fillId="0" borderId="0" xfId="1" applyFont="1" applyFill="1" applyBorder="1" applyAlignment="1">
      <alignment horizontal="center" vertical="center" wrapText="1"/>
    </xf>
    <xf numFmtId="0" fontId="14" fillId="10" borderId="0" xfId="1" applyFont="1" applyFill="1"/>
    <xf numFmtId="0" fontId="14" fillId="9" borderId="0" xfId="1" applyFont="1" applyFill="1"/>
    <xf numFmtId="41" fontId="14" fillId="0" borderId="0" xfId="2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vertical="center"/>
    </xf>
    <xf numFmtId="0" fontId="17" fillId="0" borderId="0" xfId="1" applyFont="1" applyFill="1" applyBorder="1" applyAlignment="1">
      <alignment horizontal="center" vertical="center"/>
    </xf>
    <xf numFmtId="0" fontId="18" fillId="0" borderId="0" xfId="1" applyFont="1" applyFill="1" applyBorder="1"/>
    <xf numFmtId="41" fontId="14" fillId="0" borderId="0" xfId="2" applyFont="1" applyFill="1" applyBorder="1"/>
    <xf numFmtId="0" fontId="14" fillId="11" borderId="0" xfId="1" applyFont="1" applyFill="1"/>
    <xf numFmtId="0" fontId="19" fillId="0" borderId="0" xfId="1" applyFont="1" applyFill="1" applyBorder="1"/>
    <xf numFmtId="0" fontId="11" fillId="11" borderId="1" xfId="1" applyFont="1" applyFill="1" applyBorder="1" applyAlignment="1">
      <alignment horizontal="center" vertical="center"/>
    </xf>
    <xf numFmtId="41" fontId="11" fillId="12" borderId="15" xfId="2" applyFont="1" applyFill="1" applyBorder="1" applyAlignment="1">
      <alignment horizontal="center"/>
    </xf>
    <xf numFmtId="41" fontId="11" fillId="12" borderId="14" xfId="1" applyNumberFormat="1" applyFont="1" applyFill="1" applyBorder="1" applyAlignment="1">
      <alignment horizontal="center"/>
    </xf>
    <xf numFmtId="0" fontId="11" fillId="0" borderId="0" xfId="1" applyFont="1" applyFill="1"/>
    <xf numFmtId="0" fontId="20" fillId="0" borderId="0" xfId="1" applyFont="1" applyAlignment="1">
      <alignment horizontal="center" vertical="center" wrapText="1"/>
    </xf>
    <xf numFmtId="0" fontId="11" fillId="12" borderId="13" xfId="1" applyFont="1" applyFill="1" applyBorder="1" applyAlignment="1">
      <alignment horizontal="center"/>
    </xf>
    <xf numFmtId="0" fontId="11" fillId="12" borderId="14" xfId="1" applyFont="1" applyFill="1" applyBorder="1" applyAlignment="1">
      <alignment horizontal="center"/>
    </xf>
    <xf numFmtId="0" fontId="14" fillId="0" borderId="0" xfId="1" applyFont="1" applyFill="1"/>
    <xf numFmtId="41" fontId="10" fillId="0" borderId="1" xfId="2" applyFont="1" applyBorder="1" applyAlignment="1">
      <alignment horizontal="center" vertical="top"/>
    </xf>
    <xf numFmtId="0" fontId="10" fillId="0" borderId="0" xfId="0" applyFont="1"/>
    <xf numFmtId="0" fontId="28" fillId="6" borderId="8" xfId="0" applyFont="1" applyFill="1" applyBorder="1" applyAlignment="1">
      <alignment horizontal="justify" vertical="center" wrapText="1" readingOrder="1"/>
    </xf>
    <xf numFmtId="0" fontId="5" fillId="6" borderId="8" xfId="0" applyFont="1" applyFill="1" applyBorder="1" applyAlignment="1">
      <alignment vertical="top" wrapText="1"/>
    </xf>
    <xf numFmtId="0" fontId="5" fillId="6" borderId="8" xfId="0" applyFont="1" applyFill="1" applyBorder="1" applyAlignment="1">
      <alignment horizontal="justify" vertical="top" wrapText="1"/>
    </xf>
    <xf numFmtId="0" fontId="5" fillId="6" borderId="7" xfId="0" applyFont="1" applyFill="1" applyBorder="1" applyAlignment="1">
      <alignment vertical="top" wrapText="1"/>
    </xf>
    <xf numFmtId="0" fontId="28" fillId="6" borderId="7" xfId="0" applyFont="1" applyFill="1" applyBorder="1" applyAlignment="1">
      <alignment horizontal="justify" vertical="center" wrapText="1" readingOrder="1"/>
    </xf>
    <xf numFmtId="0" fontId="5" fillId="6" borderId="7" xfId="0" applyFont="1" applyFill="1" applyBorder="1" applyAlignment="1">
      <alignment horizontal="justify" vertical="top" wrapText="1"/>
    </xf>
    <xf numFmtId="0" fontId="24" fillId="0" borderId="0" xfId="0" applyFont="1" applyAlignment="1">
      <alignment horizontal="left" vertical="center" readingOrder="1"/>
    </xf>
    <xf numFmtId="0" fontId="6" fillId="0" borderId="1" xfId="0" applyFont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0" xfId="0" applyFont="1" applyAlignment="1">
      <alignment horizontal="left" vertical="center"/>
    </xf>
    <xf numFmtId="0" fontId="29" fillId="8" borderId="9" xfId="0" applyFont="1" applyFill="1" applyBorder="1" applyAlignment="1">
      <alignment horizontal="center" vertical="center" wrapText="1"/>
    </xf>
    <xf numFmtId="0" fontId="29" fillId="8" borderId="10" xfId="0" applyFont="1" applyFill="1" applyBorder="1" applyAlignment="1">
      <alignment horizontal="center" vertical="center" wrapText="1"/>
    </xf>
    <xf numFmtId="0" fontId="26" fillId="8" borderId="9" xfId="0" applyFont="1" applyFill="1" applyBorder="1" applyAlignment="1">
      <alignment horizontal="justify" vertical="center" wrapText="1"/>
    </xf>
    <xf numFmtId="0" fontId="26" fillId="8" borderId="10" xfId="0" applyFont="1" applyFill="1" applyBorder="1" applyAlignment="1">
      <alignment horizontal="justify" vertical="center" wrapText="1"/>
    </xf>
    <xf numFmtId="0" fontId="5" fillId="0" borderId="11" xfId="0" applyNumberFormat="1" applyFont="1" applyBorder="1" applyAlignment="1">
      <alignment horizontal="justify" vertical="center" wrapText="1"/>
    </xf>
    <xf numFmtId="0" fontId="5" fillId="0" borderId="12" xfId="0" applyFont="1" applyBorder="1" applyAlignment="1">
      <alignment horizontal="justify" vertical="center" wrapText="1"/>
    </xf>
    <xf numFmtId="0" fontId="5" fillId="0" borderId="12" xfId="0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justify" vertical="center" wrapText="1"/>
    </xf>
    <xf numFmtId="1" fontId="6" fillId="0" borderId="12" xfId="0" applyNumberFormat="1" applyFont="1" applyBorder="1" applyAlignment="1">
      <alignment horizontal="justify" vertical="center"/>
    </xf>
    <xf numFmtId="49" fontId="6" fillId="0" borderId="12" xfId="0" applyNumberFormat="1" applyFont="1" applyBorder="1" applyAlignment="1">
      <alignment horizontal="justify" vertical="center" wrapText="1"/>
    </xf>
    <xf numFmtId="1" fontId="6" fillId="0" borderId="12" xfId="0" applyNumberFormat="1" applyFont="1" applyBorder="1" applyAlignment="1">
      <alignment horizontal="justify" vertical="center" wrapText="1"/>
    </xf>
    <xf numFmtId="164" fontId="3" fillId="0" borderId="1" xfId="0" applyNumberFormat="1" applyFont="1" applyBorder="1" applyAlignment="1">
      <alignment vertical="top" wrapText="1"/>
    </xf>
    <xf numFmtId="0" fontId="10" fillId="12" borderId="1" xfId="1" applyFont="1" applyFill="1" applyBorder="1"/>
    <xf numFmtId="0" fontId="10" fillId="0" borderId="0" xfId="1" applyFont="1"/>
    <xf numFmtId="0" fontId="3" fillId="14" borderId="0" xfId="0" applyFont="1" applyFill="1"/>
    <xf numFmtId="0" fontId="14" fillId="0" borderId="0" xfId="0" applyFont="1"/>
    <xf numFmtId="164" fontId="8" fillId="0" borderId="1" xfId="0" applyNumberFormat="1" applyFont="1" applyBorder="1"/>
    <xf numFmtId="0" fontId="23" fillId="7" borderId="4" xfId="0" applyFont="1" applyFill="1" applyBorder="1" applyAlignment="1">
      <alignment horizontal="center" vertical="center" wrapText="1"/>
    </xf>
    <xf numFmtId="4" fontId="11" fillId="0" borderId="3" xfId="1" applyNumberFormat="1" applyFont="1" applyBorder="1" applyAlignment="1">
      <alignment vertical="top"/>
    </xf>
    <xf numFmtId="4" fontId="11" fillId="0" borderId="2" xfId="1" applyNumberFormat="1" applyFont="1" applyBorder="1" applyAlignment="1">
      <alignment vertical="top"/>
    </xf>
    <xf numFmtId="0" fontId="10" fillId="0" borderId="1" xfId="1" applyFont="1" applyBorder="1" applyAlignment="1">
      <alignment horizontal="center" vertical="top" wrapText="1"/>
    </xf>
    <xf numFmtId="0" fontId="10" fillId="0" borderId="1" xfId="1" applyFont="1" applyBorder="1" applyAlignment="1">
      <alignment horizontal="center" vertical="top"/>
    </xf>
    <xf numFmtId="0" fontId="10" fillId="14" borderId="1" xfId="1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center" vertical="top"/>
    </xf>
    <xf numFmtId="0" fontId="10" fillId="0" borderId="15" xfId="1" applyFont="1" applyBorder="1" applyAlignment="1">
      <alignment horizontal="center" vertical="top"/>
    </xf>
    <xf numFmtId="2" fontId="10" fillId="0" borderId="1" xfId="1" applyNumberFormat="1" applyFont="1" applyBorder="1" applyAlignment="1">
      <alignment horizontal="center" vertical="top"/>
    </xf>
    <xf numFmtId="0" fontId="10" fillId="0" borderId="1" xfId="1" quotePrefix="1" applyFont="1" applyBorder="1" applyAlignment="1">
      <alignment horizontal="center" vertical="top"/>
    </xf>
    <xf numFmtId="0" fontId="10" fillId="0" borderId="15" xfId="1" applyFont="1" applyFill="1" applyBorder="1" applyAlignment="1">
      <alignment horizontal="center" vertical="top"/>
    </xf>
    <xf numFmtId="2" fontId="10" fillId="0" borderId="1" xfId="1" applyNumberFormat="1" applyFont="1" applyFill="1" applyBorder="1" applyAlignment="1">
      <alignment horizontal="center" vertical="top"/>
    </xf>
    <xf numFmtId="0" fontId="10" fillId="0" borderId="1" xfId="2" applyNumberFormat="1" applyFont="1" applyBorder="1" applyAlignment="1">
      <alignment horizontal="center" vertical="top"/>
    </xf>
    <xf numFmtId="0" fontId="10" fillId="0" borderId="1" xfId="1" applyFont="1" applyFill="1" applyBorder="1" applyAlignment="1">
      <alignment horizontal="center" vertical="top" wrapText="1"/>
    </xf>
    <xf numFmtId="0" fontId="12" fillId="0" borderId="1" xfId="1" applyFont="1" applyBorder="1" applyAlignment="1">
      <alignment horizontal="center" vertical="top"/>
    </xf>
    <xf numFmtId="3" fontId="11" fillId="0" borderId="4" xfId="1" applyNumberFormat="1" applyFont="1" applyBorder="1" applyAlignment="1">
      <alignment horizontal="center" vertical="top"/>
    </xf>
    <xf numFmtId="4" fontId="11" fillId="0" borderId="3" xfId="1" applyNumberFormat="1" applyFont="1" applyBorder="1" applyAlignment="1">
      <alignment horizontal="center" vertical="top"/>
    </xf>
    <xf numFmtId="4" fontId="11" fillId="0" borderId="2" xfId="1" applyNumberFormat="1" applyFont="1" applyBorder="1" applyAlignment="1">
      <alignment horizontal="center" vertical="top"/>
    </xf>
    <xf numFmtId="0" fontId="4" fillId="0" borderId="13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4" fillId="0" borderId="15" xfId="0" applyFont="1" applyBorder="1" applyAlignment="1">
      <alignment vertical="top" wrapText="1"/>
    </xf>
    <xf numFmtId="0" fontId="30" fillId="18" borderId="1" xfId="0" applyFont="1" applyFill="1" applyBorder="1" applyAlignment="1">
      <alignment horizontal="center" vertical="center" wrapText="1"/>
    </xf>
    <xf numFmtId="0" fontId="31" fillId="18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vertical="center" wrapText="1"/>
    </xf>
    <xf numFmtId="0" fontId="33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3" fontId="32" fillId="0" borderId="1" xfId="0" applyNumberFormat="1" applyFont="1" applyBorder="1" applyAlignment="1">
      <alignment horizontal="center" vertical="center"/>
    </xf>
    <xf numFmtId="3" fontId="32" fillId="0" borderId="1" xfId="0" applyNumberFormat="1" applyFont="1" applyBorder="1" applyAlignment="1">
      <alignment horizontal="center" vertical="center" wrapText="1"/>
    </xf>
    <xf numFmtId="3" fontId="33" fillId="0" borderId="1" xfId="0" applyNumberFormat="1" applyFont="1" applyBorder="1" applyAlignment="1">
      <alignment horizontal="center" vertical="center"/>
    </xf>
    <xf numFmtId="3" fontId="3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4" fillId="0" borderId="0" xfId="0" applyFont="1"/>
    <xf numFmtId="3" fontId="39" fillId="0" borderId="1" xfId="0" applyNumberFormat="1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10" fillId="0" borderId="2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1" fontId="10" fillId="0" borderId="4" xfId="1" applyNumberFormat="1" applyFont="1" applyBorder="1" applyAlignment="1">
      <alignment vertical="center"/>
    </xf>
    <xf numFmtId="0" fontId="32" fillId="0" borderId="15" xfId="0" applyFont="1" applyBorder="1" applyAlignment="1">
      <alignment horizontal="center" vertical="center" wrapText="1"/>
    </xf>
    <xf numFmtId="0" fontId="0" fillId="0" borderId="0" xfId="0"/>
    <xf numFmtId="0" fontId="4" fillId="0" borderId="0" xfId="0" applyFont="1"/>
    <xf numFmtId="0" fontId="0" fillId="0" borderId="1" xfId="0" applyBorder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top"/>
    </xf>
    <xf numFmtId="49" fontId="0" fillId="0" borderId="1" xfId="0" applyNumberFormat="1" applyBorder="1" applyAlignment="1">
      <alignment vertical="top"/>
    </xf>
    <xf numFmtId="0" fontId="0" fillId="0" borderId="3" xfId="0" applyFill="1" applyBorder="1" applyAlignment="1">
      <alignment vertical="top"/>
    </xf>
    <xf numFmtId="0" fontId="10" fillId="0" borderId="0" xfId="1"/>
    <xf numFmtId="0" fontId="10" fillId="0" borderId="1" xfId="1" applyBorder="1" applyAlignment="1">
      <alignment wrapText="1"/>
    </xf>
    <xf numFmtId="0" fontId="10" fillId="0" borderId="0" xfId="1" applyAlignment="1">
      <alignment horizontal="left" vertical="center"/>
    </xf>
    <xf numFmtId="0" fontId="11" fillId="10" borderId="2" xfId="1" applyFont="1" applyFill="1" applyBorder="1" applyAlignment="1">
      <alignment horizontal="center" vertical="center" wrapText="1"/>
    </xf>
    <xf numFmtId="0" fontId="12" fillId="0" borderId="1" xfId="1" applyFont="1" applyBorder="1"/>
    <xf numFmtId="0" fontId="11" fillId="10" borderId="1" xfId="1" applyFont="1" applyFill="1" applyBorder="1" applyAlignment="1">
      <alignment horizontal="center" vertical="center" wrapText="1"/>
    </xf>
    <xf numFmtId="0" fontId="11" fillId="13" borderId="1" xfId="1" applyFont="1" applyFill="1" applyBorder="1" applyAlignment="1">
      <alignment horizontal="center" vertical="center" wrapText="1"/>
    </xf>
    <xf numFmtId="0" fontId="11" fillId="11" borderId="1" xfId="1" applyFont="1" applyFill="1" applyBorder="1" applyAlignment="1">
      <alignment horizontal="center" vertical="center" wrapText="1"/>
    </xf>
    <xf numFmtId="0" fontId="10" fillId="0" borderId="1" xfId="1" applyBorder="1" applyAlignment="1">
      <alignment horizontal="center"/>
    </xf>
    <xf numFmtId="41" fontId="10" fillId="0" borderId="1" xfId="2" applyFont="1" applyBorder="1" applyAlignment="1">
      <alignment horizontal="center" vertical="center"/>
    </xf>
    <xf numFmtId="0" fontId="11" fillId="11" borderId="4" xfId="1" applyFont="1" applyFill="1" applyBorder="1" applyAlignment="1">
      <alignment horizontal="center" vertical="center" wrapText="1"/>
    </xf>
    <xf numFmtId="0" fontId="11" fillId="13" borderId="2" xfId="1" applyFont="1" applyFill="1" applyBorder="1" applyAlignment="1">
      <alignment horizontal="center" vertical="center" wrapText="1"/>
    </xf>
    <xf numFmtId="0" fontId="11" fillId="13" borderId="4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/>
    </xf>
    <xf numFmtId="165" fontId="10" fillId="14" borderId="1" xfId="1" applyNumberFormat="1" applyFill="1" applyBorder="1" applyAlignment="1">
      <alignment horizontal="center"/>
    </xf>
    <xf numFmtId="0" fontId="7" fillId="0" borderId="0" xfId="1" applyFont="1" applyFill="1" applyBorder="1"/>
    <xf numFmtId="0" fontId="35" fillId="0" borderId="0" xfId="1" applyFont="1"/>
    <xf numFmtId="0" fontId="7" fillId="0" borderId="0" xfId="1" applyFont="1" applyFill="1" applyBorder="1" applyAlignment="1">
      <alignment vertical="center" wrapText="1"/>
    </xf>
    <xf numFmtId="0" fontId="36" fillId="0" borderId="0" xfId="1" applyFont="1" applyFill="1" applyBorder="1" applyAlignment="1">
      <alignment horizontal="center" vertical="center" wrapText="1"/>
    </xf>
    <xf numFmtId="0" fontId="35" fillId="10" borderId="0" xfId="1" applyFont="1" applyFill="1"/>
    <xf numFmtId="0" fontId="7" fillId="0" borderId="0" xfId="1" applyFont="1" applyFill="1" applyBorder="1" applyAlignment="1">
      <alignment horizontal="center" vertical="center" wrapText="1"/>
    </xf>
    <xf numFmtId="0" fontId="7" fillId="14" borderId="0" xfId="1" applyFont="1" applyFill="1" applyBorder="1" applyAlignment="1">
      <alignment horizontal="center" vertical="center" wrapText="1"/>
    </xf>
    <xf numFmtId="0" fontId="37" fillId="0" borderId="0" xfId="1" applyFont="1" applyFill="1" applyBorder="1" applyAlignment="1">
      <alignment horizontal="center" vertical="center"/>
    </xf>
    <xf numFmtId="0" fontId="35" fillId="9" borderId="0" xfId="1" applyFont="1" applyFill="1"/>
    <xf numFmtId="41" fontId="35" fillId="0" borderId="0" xfId="2" applyFont="1" applyFill="1" applyBorder="1" applyAlignment="1">
      <alignment horizontal="center" vertical="center"/>
    </xf>
    <xf numFmtId="0" fontId="35" fillId="0" borderId="0" xfId="1" applyFont="1" applyFill="1" applyBorder="1" applyAlignment="1">
      <alignment vertical="center"/>
    </xf>
    <xf numFmtId="0" fontId="35" fillId="11" borderId="0" xfId="1" applyFont="1" applyFill="1"/>
    <xf numFmtId="0" fontId="35" fillId="0" borderId="0" xfId="1" applyFont="1" applyFill="1" applyBorder="1" applyAlignment="1">
      <alignment horizontal="center" vertical="center"/>
    </xf>
    <xf numFmtId="0" fontId="7" fillId="0" borderId="0" xfId="1" applyFont="1" applyFill="1"/>
    <xf numFmtId="165" fontId="10" fillId="0" borderId="4" xfId="1" applyNumberFormat="1" applyBorder="1" applyAlignment="1">
      <alignment wrapText="1"/>
    </xf>
    <xf numFmtId="165" fontId="10" fillId="12" borderId="1" xfId="1" applyNumberFormat="1" applyFill="1" applyBorder="1"/>
    <xf numFmtId="0" fontId="0" fillId="0" borderId="0" xfId="0" applyFill="1" applyBorder="1" applyAlignment="1">
      <alignment vertical="top"/>
    </xf>
    <xf numFmtId="0" fontId="15" fillId="0" borderId="0" xfId="0" applyFont="1"/>
    <xf numFmtId="0" fontId="11" fillId="11" borderId="4" xfId="1" applyFont="1" applyFill="1" applyBorder="1" applyAlignment="1">
      <alignment horizontal="center" vertical="center" wrapText="1"/>
    </xf>
    <xf numFmtId="0" fontId="11" fillId="13" borderId="4" xfId="1" applyFont="1" applyFill="1" applyBorder="1" applyAlignment="1">
      <alignment horizontal="center" vertical="center" wrapText="1"/>
    </xf>
    <xf numFmtId="0" fontId="11" fillId="13" borderId="2" xfId="1" applyFont="1" applyFill="1" applyBorder="1" applyAlignment="1">
      <alignment horizontal="center" vertical="center" wrapText="1"/>
    </xf>
    <xf numFmtId="0" fontId="11" fillId="10" borderId="2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13" borderId="1" xfId="1" applyFont="1" applyFill="1" applyBorder="1" applyAlignment="1">
      <alignment horizontal="center" vertical="center" wrapText="1"/>
    </xf>
    <xf numFmtId="0" fontId="11" fillId="11" borderId="1" xfId="1" applyFont="1" applyFill="1" applyBorder="1" applyAlignment="1">
      <alignment horizontal="center" vertical="center" wrapText="1"/>
    </xf>
    <xf numFmtId="0" fontId="11" fillId="10" borderId="1" xfId="1" applyFont="1" applyFill="1" applyBorder="1" applyAlignment="1">
      <alignment horizontal="center" vertical="center" wrapText="1"/>
    </xf>
    <xf numFmtId="165" fontId="15" fillId="0" borderId="0" xfId="1" applyNumberFormat="1" applyFont="1" applyFill="1" applyBorder="1" applyAlignment="1">
      <alignment horizontal="center" vertical="center" wrapText="1"/>
    </xf>
    <xf numFmtId="1" fontId="32" fillId="0" borderId="1" xfId="0" applyNumberFormat="1" applyFont="1" applyFill="1" applyBorder="1" applyAlignment="1">
      <alignment horizontal="center" vertical="center"/>
    </xf>
    <xf numFmtId="1" fontId="40" fillId="0" borderId="1" xfId="0" applyNumberFormat="1" applyFont="1" applyFill="1" applyBorder="1" applyAlignment="1">
      <alignment horizontal="center" vertical="center"/>
    </xf>
    <xf numFmtId="3" fontId="32" fillId="0" borderId="1" xfId="0" applyNumberFormat="1" applyFont="1" applyFill="1" applyBorder="1" applyAlignment="1">
      <alignment horizontal="center" vertical="center" wrapText="1"/>
    </xf>
    <xf numFmtId="4" fontId="32" fillId="0" borderId="1" xfId="0" applyNumberFormat="1" applyFont="1" applyFill="1" applyBorder="1" applyAlignment="1">
      <alignment horizontal="center" vertical="center" wrapText="1"/>
    </xf>
    <xf numFmtId="2" fontId="32" fillId="0" borderId="1" xfId="0" applyNumberFormat="1" applyFont="1" applyFill="1" applyBorder="1" applyAlignment="1">
      <alignment horizontal="center" vertical="center" wrapText="1"/>
    </xf>
    <xf numFmtId="4" fontId="40" fillId="0" borderId="1" xfId="0" applyNumberFormat="1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 wrapText="1"/>
    </xf>
    <xf numFmtId="4" fontId="33" fillId="0" borderId="1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20" fillId="0" borderId="0" xfId="0" applyFont="1" applyBorder="1" applyAlignment="1">
      <alignment horizontal="center" vertical="center" wrapText="1"/>
    </xf>
    <xf numFmtId="0" fontId="25" fillId="0" borderId="0" xfId="0" applyFont="1" applyBorder="1" applyAlignment="1"/>
    <xf numFmtId="0" fontId="0" fillId="0" borderId="0" xfId="0" applyBorder="1"/>
    <xf numFmtId="0" fontId="11" fillId="10" borderId="1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4" xfId="0" applyFont="1" applyFill="1" applyBorder="1" applyAlignment="1">
      <alignment horizontal="center" vertical="center" wrapText="1"/>
    </xf>
    <xf numFmtId="0" fontId="11" fillId="13" borderId="1" xfId="0" applyFont="1" applyFill="1" applyBorder="1" applyAlignment="1">
      <alignment horizontal="center" vertical="center" wrapText="1"/>
    </xf>
    <xf numFmtId="0" fontId="11" fillId="13" borderId="4" xfId="0" applyFont="1" applyFill="1" applyBorder="1" applyAlignment="1">
      <alignment horizontal="center" vertical="center" wrapText="1"/>
    </xf>
    <xf numFmtId="0" fontId="11" fillId="11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/>
    <xf numFmtId="0" fontId="12" fillId="0" borderId="1" xfId="0" applyFont="1" applyBorder="1"/>
    <xf numFmtId="2" fontId="0" fillId="0" borderId="4" xfId="0" applyNumberFormat="1" applyBorder="1" applyAlignment="1">
      <alignment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Fill="1" applyBorder="1" applyAlignment="1">
      <alignment horizontal="center" vertical="center"/>
    </xf>
    <xf numFmtId="2" fontId="0" fillId="21" borderId="1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1" xfId="0" applyBorder="1"/>
    <xf numFmtId="0" fontId="0" fillId="0" borderId="21" xfId="0" applyFill="1" applyBorder="1" applyAlignment="1">
      <alignment horizontal="center" vertical="center"/>
    </xf>
    <xf numFmtId="0" fontId="0" fillId="21" borderId="21" xfId="0" applyFill="1" applyBorder="1" applyAlignment="1">
      <alignment horizontal="center" vertical="center"/>
    </xf>
    <xf numFmtId="2" fontId="0" fillId="0" borderId="24" xfId="0" applyNumberFormat="1" applyBorder="1"/>
    <xf numFmtId="2" fontId="0" fillId="0" borderId="21" xfId="0" applyNumberFormat="1" applyBorder="1" applyAlignment="1">
      <alignment wrapText="1"/>
    </xf>
    <xf numFmtId="0" fontId="0" fillId="21" borderId="1" xfId="0" applyFill="1" applyBorder="1" applyAlignment="1">
      <alignment horizontal="center" vertical="center"/>
    </xf>
    <xf numFmtId="2" fontId="0" fillId="12" borderId="1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wrapText="1"/>
    </xf>
    <xf numFmtId="0" fontId="15" fillId="0" borderId="0" xfId="0" applyFont="1" applyFill="1" applyBorder="1"/>
    <xf numFmtId="0" fontId="15" fillId="0" borderId="0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10" borderId="0" xfId="0" applyFont="1" applyFill="1"/>
    <xf numFmtId="0" fontId="15" fillId="9" borderId="0" xfId="0" applyFont="1" applyFill="1"/>
    <xf numFmtId="41" fontId="15" fillId="0" borderId="0" xfId="2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/>
    <xf numFmtId="0" fontId="15" fillId="11" borderId="0" xfId="0" applyFont="1" applyFill="1"/>
    <xf numFmtId="0" fontId="15" fillId="0" borderId="0" xfId="0" applyFont="1" applyFill="1" applyBorder="1" applyAlignment="1">
      <alignment horizontal="center" vertical="center"/>
    </xf>
    <xf numFmtId="0" fontId="15" fillId="22" borderId="0" xfId="0" applyFont="1" applyFill="1"/>
    <xf numFmtId="0" fontId="16" fillId="0" borderId="0" xfId="0" applyFont="1" applyFill="1" applyBorder="1" applyAlignment="1"/>
    <xf numFmtId="165" fontId="0" fillId="0" borderId="1" xfId="0" applyNumberFormat="1" applyBorder="1"/>
    <xf numFmtId="2" fontId="32" fillId="0" borderId="1" xfId="0" applyNumberFormat="1" applyFont="1" applyBorder="1" applyAlignment="1">
      <alignment horizontal="center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" fillId="19" borderId="1" xfId="0" applyFont="1" applyFill="1" applyBorder="1" applyAlignment="1">
      <alignment vertical="center"/>
    </xf>
    <xf numFmtId="0" fontId="41" fillId="19" borderId="1" xfId="0" applyFont="1" applyFill="1" applyBorder="1" applyAlignment="1">
      <alignment horizontal="center" vertical="center" wrapText="1"/>
    </xf>
    <xf numFmtId="0" fontId="42" fillId="0" borderId="1" xfId="0" applyFont="1" applyBorder="1" applyAlignment="1">
      <alignment horizontal="right" vertical="center"/>
    </xf>
    <xf numFmtId="3" fontId="42" fillId="0" borderId="1" xfId="0" applyNumberFormat="1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right" vertical="center"/>
    </xf>
    <xf numFmtId="3" fontId="43" fillId="0" borderId="1" xfId="0" applyNumberFormat="1" applyFont="1" applyFill="1" applyBorder="1" applyAlignment="1">
      <alignment horizontal="right" vertical="center" wrapText="1"/>
    </xf>
    <xf numFmtId="3" fontId="42" fillId="0" borderId="1" xfId="0" applyNumberFormat="1" applyFont="1" applyFill="1" applyBorder="1" applyAlignment="1">
      <alignment horizontal="center" vertical="center"/>
    </xf>
    <xf numFmtId="4" fontId="42" fillId="0" borderId="1" xfId="0" applyNumberFormat="1" applyFont="1" applyFill="1" applyBorder="1" applyAlignment="1">
      <alignment horizontal="center" vertical="center"/>
    </xf>
    <xf numFmtId="2" fontId="42" fillId="0" borderId="1" xfId="0" applyNumberFormat="1" applyFont="1" applyFill="1" applyBorder="1" applyAlignment="1">
      <alignment horizontal="center" vertical="center"/>
    </xf>
    <xf numFmtId="10" fontId="44" fillId="0" borderId="2" xfId="0" applyNumberFormat="1" applyFont="1" applyFill="1" applyBorder="1" applyAlignment="1">
      <alignment horizontal="right" vertical="center"/>
    </xf>
    <xf numFmtId="2" fontId="41" fillId="19" borderId="2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3" fontId="0" fillId="0" borderId="0" xfId="0" applyNumberFormat="1"/>
    <xf numFmtId="3" fontId="32" fillId="1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right" vertical="center"/>
    </xf>
    <xf numFmtId="0" fontId="45" fillId="0" borderId="1" xfId="0" applyFont="1" applyBorder="1" applyAlignment="1">
      <alignment horizontal="center" vertical="center" wrapText="1"/>
    </xf>
    <xf numFmtId="4" fontId="32" fillId="1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4" fontId="0" fillId="0" borderId="1" xfId="0" applyNumberFormat="1" applyBorder="1"/>
    <xf numFmtId="4" fontId="4" fillId="0" borderId="1" xfId="0" applyNumberFormat="1" applyFont="1" applyBorder="1" applyAlignment="1">
      <alignment horizontal="right" vertical="top"/>
    </xf>
    <xf numFmtId="4" fontId="0" fillId="0" borderId="0" xfId="0" applyNumberFormat="1"/>
    <xf numFmtId="0" fontId="19" fillId="0" borderId="13" xfId="0" applyFont="1" applyBorder="1" applyAlignment="1">
      <alignment horizontal="right"/>
    </xf>
    <xf numFmtId="0" fontId="19" fillId="0" borderId="14" xfId="0" applyFont="1" applyBorder="1" applyAlignment="1">
      <alignment horizontal="right"/>
    </xf>
    <xf numFmtId="0" fontId="19" fillId="0" borderId="15" xfId="0" applyFont="1" applyBorder="1" applyAlignment="1">
      <alignment horizontal="right"/>
    </xf>
    <xf numFmtId="0" fontId="11" fillId="11" borderId="4" xfId="1" applyFont="1" applyFill="1" applyBorder="1" applyAlignment="1">
      <alignment horizontal="center" vertical="center" wrapText="1"/>
    </xf>
    <xf numFmtId="0" fontId="11" fillId="11" borderId="2" xfId="1" applyFont="1" applyFill="1" applyBorder="1" applyAlignment="1">
      <alignment horizontal="center" vertical="center" wrapText="1"/>
    </xf>
    <xf numFmtId="0" fontId="11" fillId="11" borderId="18" xfId="1" applyFont="1" applyFill="1" applyBorder="1" applyAlignment="1">
      <alignment horizontal="center" vertical="center" wrapText="1"/>
    </xf>
    <xf numFmtId="0" fontId="11" fillId="11" borderId="17" xfId="1" applyFont="1" applyFill="1" applyBorder="1" applyAlignment="1">
      <alignment horizontal="center" vertical="center" wrapText="1"/>
    </xf>
    <xf numFmtId="1" fontId="10" fillId="0" borderId="4" xfId="1" applyNumberFormat="1" applyBorder="1" applyAlignment="1">
      <alignment horizontal="center" vertical="center"/>
    </xf>
    <xf numFmtId="0" fontId="10" fillId="0" borderId="3" xfId="1" applyBorder="1" applyAlignment="1">
      <alignment horizontal="center" vertical="center"/>
    </xf>
    <xf numFmtId="0" fontId="10" fillId="0" borderId="2" xfId="1" applyBorder="1" applyAlignment="1">
      <alignment horizontal="center" vertical="center"/>
    </xf>
    <xf numFmtId="1" fontId="10" fillId="16" borderId="4" xfId="1" applyNumberFormat="1" applyFill="1" applyBorder="1" applyAlignment="1">
      <alignment horizontal="center" vertical="center"/>
    </xf>
    <xf numFmtId="0" fontId="10" fillId="16" borderId="3" xfId="1" applyFill="1" applyBorder="1" applyAlignment="1">
      <alignment horizontal="center" vertical="center"/>
    </xf>
    <xf numFmtId="0" fontId="10" fillId="16" borderId="2" xfId="1" applyFill="1" applyBorder="1" applyAlignment="1">
      <alignment horizontal="center" vertical="center"/>
    </xf>
    <xf numFmtId="0" fontId="10" fillId="0" borderId="4" xfId="1" applyFill="1" applyBorder="1" applyAlignment="1">
      <alignment horizontal="center" vertical="center"/>
    </xf>
    <xf numFmtId="0" fontId="10" fillId="0" borderId="3" xfId="1" applyFill="1" applyBorder="1" applyAlignment="1">
      <alignment horizontal="center" vertical="center"/>
    </xf>
    <xf numFmtId="0" fontId="10" fillId="0" borderId="2" xfId="1" applyFill="1" applyBorder="1" applyAlignment="1">
      <alignment horizontal="center" vertical="center"/>
    </xf>
    <xf numFmtId="0" fontId="10" fillId="0" borderId="4" xfId="1" applyBorder="1" applyAlignment="1">
      <alignment horizontal="center" vertical="center"/>
    </xf>
    <xf numFmtId="2" fontId="10" fillId="0" borderId="4" xfId="1" applyNumberFormat="1" applyBorder="1" applyAlignment="1">
      <alignment horizontal="center" vertical="center" wrapText="1"/>
    </xf>
    <xf numFmtId="2" fontId="10" fillId="0" borderId="3" xfId="1" applyNumberFormat="1" applyBorder="1" applyAlignment="1">
      <alignment horizontal="center" vertical="center" wrapText="1"/>
    </xf>
    <xf numFmtId="2" fontId="10" fillId="0" borderId="2" xfId="1" applyNumberForma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3" fontId="10" fillId="0" borderId="4" xfId="1" applyNumberFormat="1" applyBorder="1" applyAlignment="1">
      <alignment horizontal="center" vertical="center"/>
    </xf>
    <xf numFmtId="3" fontId="10" fillId="0" borderId="3" xfId="1" applyNumberFormat="1" applyBorder="1" applyAlignment="1">
      <alignment horizontal="center" vertical="center"/>
    </xf>
    <xf numFmtId="3" fontId="10" fillId="0" borderId="2" xfId="1" applyNumberFormat="1" applyBorder="1" applyAlignment="1">
      <alignment horizontal="center" vertical="center"/>
    </xf>
    <xf numFmtId="4" fontId="11" fillId="16" borderId="4" xfId="1" applyNumberFormat="1" applyFont="1" applyFill="1" applyBorder="1" applyAlignment="1">
      <alignment horizontal="center" vertical="center"/>
    </xf>
    <xf numFmtId="4" fontId="11" fillId="16" borderId="3" xfId="1" applyNumberFormat="1" applyFont="1" applyFill="1" applyBorder="1" applyAlignment="1">
      <alignment horizontal="center" vertical="center"/>
    </xf>
    <xf numFmtId="4" fontId="11" fillId="16" borderId="2" xfId="1" applyNumberFormat="1" applyFont="1" applyFill="1" applyBorder="1" applyAlignment="1">
      <alignment horizontal="center" vertical="center"/>
    </xf>
    <xf numFmtId="0" fontId="11" fillId="13" borderId="4" xfId="1" applyFont="1" applyFill="1" applyBorder="1" applyAlignment="1">
      <alignment horizontal="center" vertical="center" wrapText="1"/>
    </xf>
    <xf numFmtId="0" fontId="11" fillId="13" borderId="2" xfId="1" applyFont="1" applyFill="1" applyBorder="1" applyAlignment="1">
      <alignment horizontal="center" vertical="center" wrapText="1"/>
    </xf>
    <xf numFmtId="0" fontId="11" fillId="10" borderId="4" xfId="1" applyFont="1" applyFill="1" applyBorder="1" applyAlignment="1">
      <alignment horizontal="center" vertical="center" wrapText="1"/>
    </xf>
    <xf numFmtId="0" fontId="11" fillId="10" borderId="2" xfId="1" applyFont="1" applyFill="1" applyBorder="1" applyAlignment="1">
      <alignment horizontal="center" vertical="center" wrapText="1"/>
    </xf>
    <xf numFmtId="0" fontId="13" fillId="10" borderId="13" xfId="1" applyFont="1" applyFill="1" applyBorder="1" applyAlignment="1">
      <alignment horizontal="center" vertical="center" wrapText="1"/>
    </xf>
    <xf numFmtId="0" fontId="13" fillId="10" borderId="14" xfId="1" applyFont="1" applyFill="1" applyBorder="1" applyAlignment="1">
      <alignment horizontal="center" vertical="center" wrapText="1"/>
    </xf>
    <xf numFmtId="0" fontId="13" fillId="10" borderId="15" xfId="1" applyFont="1" applyFill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top"/>
    </xf>
    <xf numFmtId="1" fontId="0" fillId="0" borderId="2" xfId="0" applyNumberFormat="1" applyBorder="1" applyAlignment="1">
      <alignment horizontal="center" vertical="top"/>
    </xf>
    <xf numFmtId="1" fontId="0" fillId="0" borderId="3" xfId="0" applyNumberFormat="1" applyBorder="1" applyAlignment="1">
      <alignment horizontal="center" vertical="top"/>
    </xf>
    <xf numFmtId="0" fontId="0" fillId="0" borderId="4" xfId="0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8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top" wrapText="1"/>
    </xf>
    <xf numFmtId="0" fontId="6" fillId="6" borderId="6" xfId="0" applyFont="1" applyFill="1" applyBorder="1" applyAlignment="1">
      <alignment horizontal="center" vertical="center" wrapText="1" readingOrder="1"/>
    </xf>
    <xf numFmtId="0" fontId="6" fillId="6" borderId="8" xfId="0" applyFont="1" applyFill="1" applyBorder="1" applyAlignment="1">
      <alignment horizontal="center" vertical="center" wrapText="1" readingOrder="1"/>
    </xf>
    <xf numFmtId="0" fontId="6" fillId="6" borderId="7" xfId="0" applyFont="1" applyFill="1" applyBorder="1" applyAlignment="1">
      <alignment horizontal="center" vertical="center" wrapText="1" readingOrder="1"/>
    </xf>
    <xf numFmtId="0" fontId="26" fillId="6" borderId="6" xfId="0" applyFont="1" applyFill="1" applyBorder="1" applyAlignment="1">
      <alignment horizontal="justify" vertical="center" wrapText="1" readingOrder="1"/>
    </xf>
    <xf numFmtId="0" fontId="26" fillId="6" borderId="8" xfId="0" applyFont="1" applyFill="1" applyBorder="1" applyAlignment="1">
      <alignment horizontal="justify" vertical="center" wrapText="1" readingOrder="1"/>
    </xf>
    <xf numFmtId="0" fontId="26" fillId="6" borderId="7" xfId="0" applyFont="1" applyFill="1" applyBorder="1" applyAlignment="1">
      <alignment horizontal="justify" vertical="center" wrapText="1" readingOrder="1"/>
    </xf>
    <xf numFmtId="0" fontId="6" fillId="6" borderId="6" xfId="0" applyFont="1" applyFill="1" applyBorder="1" applyAlignment="1">
      <alignment horizontal="justify" vertical="center" wrapText="1" readingOrder="1"/>
    </xf>
    <xf numFmtId="0" fontId="6" fillId="6" borderId="8" xfId="0" applyFont="1" applyFill="1" applyBorder="1" applyAlignment="1">
      <alignment horizontal="justify" vertical="center" wrapText="1" readingOrder="1"/>
    </xf>
    <xf numFmtId="0" fontId="6" fillId="6" borderId="7" xfId="0" applyFont="1" applyFill="1" applyBorder="1" applyAlignment="1">
      <alignment horizontal="justify" vertical="center" wrapText="1" readingOrder="1"/>
    </xf>
    <xf numFmtId="0" fontId="6" fillId="3" borderId="6" xfId="0" applyFont="1" applyFill="1" applyBorder="1" applyAlignment="1">
      <alignment horizontal="left" vertical="center" wrapText="1" readingOrder="1"/>
    </xf>
    <xf numFmtId="0" fontId="6" fillId="3" borderId="7" xfId="0" applyFont="1" applyFill="1" applyBorder="1" applyAlignment="1">
      <alignment horizontal="left" vertical="center" wrapText="1" readingOrder="1"/>
    </xf>
    <xf numFmtId="0" fontId="26" fillId="4" borderId="6" xfId="0" applyFont="1" applyFill="1" applyBorder="1" applyAlignment="1">
      <alignment horizontal="center" vertical="center" wrapText="1" readingOrder="1"/>
    </xf>
    <xf numFmtId="0" fontId="26" fillId="4" borderId="7" xfId="0" applyFont="1" applyFill="1" applyBorder="1" applyAlignment="1">
      <alignment horizontal="center" vertical="center" wrapText="1" readingOrder="1"/>
    </xf>
    <xf numFmtId="3" fontId="10" fillId="0" borderId="4" xfId="1" applyNumberFormat="1" applyFont="1" applyBorder="1" applyAlignment="1">
      <alignment horizontal="center" vertical="center"/>
    </xf>
    <xf numFmtId="3" fontId="10" fillId="0" borderId="3" xfId="1" applyNumberFormat="1" applyFont="1" applyBorder="1" applyAlignment="1">
      <alignment horizontal="center" vertical="center"/>
    </xf>
    <xf numFmtId="3" fontId="10" fillId="0" borderId="2" xfId="1" applyNumberFormat="1" applyFont="1" applyBorder="1" applyAlignment="1">
      <alignment horizontal="center" vertical="center"/>
    </xf>
    <xf numFmtId="0" fontId="20" fillId="0" borderId="0" xfId="1" applyFont="1" applyAlignment="1">
      <alignment horizontal="left" vertical="center" wrapText="1"/>
    </xf>
    <xf numFmtId="0" fontId="8" fillId="0" borderId="16" xfId="1" applyFont="1" applyBorder="1" applyAlignment="1">
      <alignment horizontal="left"/>
    </xf>
    <xf numFmtId="0" fontId="6" fillId="0" borderId="19" xfId="0" applyFont="1" applyBorder="1" applyAlignment="1">
      <alignment horizontal="justify" vertical="center" wrapText="1"/>
    </xf>
    <xf numFmtId="0" fontId="6" fillId="0" borderId="10" xfId="0" applyFont="1" applyBorder="1" applyAlignment="1">
      <alignment horizontal="justify" vertical="center" wrapText="1"/>
    </xf>
    <xf numFmtId="0" fontId="10" fillId="0" borderId="4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 wrapText="1"/>
    </xf>
    <xf numFmtId="2" fontId="10" fillId="0" borderId="3" xfId="1" applyNumberFormat="1" applyFont="1" applyBorder="1" applyAlignment="1">
      <alignment horizontal="center" vertical="center" wrapText="1"/>
    </xf>
    <xf numFmtId="2" fontId="10" fillId="0" borderId="2" xfId="1" applyNumberFormat="1" applyFont="1" applyBorder="1" applyAlignment="1">
      <alignment horizontal="center" vertical="center" wrapText="1"/>
    </xf>
    <xf numFmtId="0" fontId="11" fillId="11" borderId="1" xfId="1" applyFont="1" applyFill="1" applyBorder="1" applyAlignment="1">
      <alignment horizontal="center" vertical="center" wrapText="1"/>
    </xf>
    <xf numFmtId="0" fontId="11" fillId="12" borderId="13" xfId="1" applyFont="1" applyFill="1" applyBorder="1" applyAlignment="1">
      <alignment horizontal="center"/>
    </xf>
    <xf numFmtId="0" fontId="11" fillId="12" borderId="14" xfId="1" applyFont="1" applyFill="1" applyBorder="1" applyAlignment="1">
      <alignment horizontal="center"/>
    </xf>
    <xf numFmtId="0" fontId="11" fillId="12" borderId="15" xfId="1" applyFont="1" applyFill="1" applyBorder="1" applyAlignment="1">
      <alignment horizontal="center"/>
    </xf>
    <xf numFmtId="0" fontId="11" fillId="13" borderId="1" xfId="1" applyFont="1" applyFill="1" applyBorder="1" applyAlignment="1">
      <alignment horizontal="center" vertical="center" wrapText="1"/>
    </xf>
    <xf numFmtId="0" fontId="11" fillId="10" borderId="1" xfId="1" applyFont="1" applyFill="1" applyBorder="1" applyAlignment="1">
      <alignment horizontal="center" vertical="center" wrapText="1"/>
    </xf>
    <xf numFmtId="0" fontId="11" fillId="10" borderId="13" xfId="1" applyFont="1" applyFill="1" applyBorder="1" applyAlignment="1">
      <alignment horizontal="center" vertical="center" wrapText="1"/>
    </xf>
    <xf numFmtId="0" fontId="11" fillId="10" borderId="15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8" fillId="0" borderId="0" xfId="1" applyFont="1" applyAlignment="1">
      <alignment horizontal="center" vertical="center" wrapText="1"/>
    </xf>
    <xf numFmtId="0" fontId="0" fillId="20" borderId="22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25" xfId="0" applyFill="1" applyBorder="1" applyAlignment="1">
      <alignment horizontal="center" vertical="center"/>
    </xf>
    <xf numFmtId="0" fontId="0" fillId="20" borderId="26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7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12" borderId="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 vertical="top" wrapText="1"/>
    </xf>
    <xf numFmtId="0" fontId="11" fillId="11" borderId="4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11" fillId="13" borderId="4" xfId="0" applyFont="1" applyFill="1" applyBorder="1" applyAlignment="1">
      <alignment horizontal="center" vertical="center" wrapText="1"/>
    </xf>
    <xf numFmtId="0" fontId="11" fillId="1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0" borderId="4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20" xfId="0" applyFill="1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/>
    </xf>
    <xf numFmtId="0" fontId="11" fillId="10" borderId="4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5" xfId="0" applyFont="1" applyFill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0" fontId="41" fillId="19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1" fillId="18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0" fontId="30" fillId="18" borderId="1" xfId="0" applyFont="1" applyFill="1" applyBorder="1" applyAlignment="1">
      <alignment horizontal="center" vertical="center" wrapText="1"/>
    </xf>
    <xf numFmtId="43" fontId="0" fillId="0" borderId="0" xfId="0" applyNumberFormat="1"/>
    <xf numFmtId="0" fontId="1" fillId="0" borderId="28" xfId="0" applyFont="1" applyBorder="1" applyAlignment="1">
      <alignment horizontal="center" wrapText="1"/>
    </xf>
    <xf numFmtId="0" fontId="1" fillId="0" borderId="28" xfId="0" applyFont="1" applyBorder="1"/>
    <xf numFmtId="41" fontId="3" fillId="0" borderId="28" xfId="0" applyNumberFormat="1" applyFont="1" applyBorder="1"/>
    <xf numFmtId="43" fontId="3" fillId="0" borderId="28" xfId="0" applyNumberFormat="1" applyFont="1" applyBorder="1"/>
    <xf numFmtId="0" fontId="1" fillId="0" borderId="29" xfId="0" applyFont="1" applyBorder="1"/>
    <xf numFmtId="0" fontId="1" fillId="0" borderId="28" xfId="0" applyFont="1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0" fontId="10" fillId="0" borderId="28" xfId="1" applyFill="1" applyBorder="1" applyAlignment="1">
      <alignment horizontal="center" vertical="center" wrapText="1"/>
    </xf>
    <xf numFmtId="0" fontId="0" fillId="0" borderId="28" xfId="0" applyBorder="1"/>
    <xf numFmtId="41" fontId="0" fillId="0" borderId="28" xfId="0" applyNumberFormat="1" applyBorder="1"/>
    <xf numFmtId="43" fontId="0" fillId="0" borderId="28" xfId="0" applyNumberFormat="1" applyBorder="1"/>
    <xf numFmtId="0" fontId="0" fillId="0" borderId="29" xfId="0" applyBorder="1"/>
  </cellXfs>
  <cellStyles count="48">
    <cellStyle name="Comma [0] 2" xfId="2" xr:uid="{00000000-0005-0000-0000-000000000000}"/>
    <cellStyle name="Comma [0] 2 2" xfId="6" xr:uid="{00000000-0005-0000-0000-000001000000}"/>
    <cellStyle name="Comma [0] 3" xfId="5" xr:uid="{00000000-0005-0000-0000-000002000000}"/>
    <cellStyle name="Comma 10" xfId="27" xr:uid="{00000000-0005-0000-0000-000003000000}"/>
    <cellStyle name="Comma 11" xfId="24" xr:uid="{00000000-0005-0000-0000-000004000000}"/>
    <cellStyle name="Comma 12" xfId="26" xr:uid="{00000000-0005-0000-0000-000005000000}"/>
    <cellStyle name="Comma 13" xfId="25" xr:uid="{00000000-0005-0000-0000-000006000000}"/>
    <cellStyle name="Comma 14" xfId="28" xr:uid="{00000000-0005-0000-0000-000007000000}"/>
    <cellStyle name="Comma 15" xfId="31" xr:uid="{00000000-0005-0000-0000-000008000000}"/>
    <cellStyle name="Comma 16" xfId="30" xr:uid="{00000000-0005-0000-0000-000009000000}"/>
    <cellStyle name="Comma 17" xfId="32" xr:uid="{00000000-0005-0000-0000-00000A000000}"/>
    <cellStyle name="Comma 18" xfId="34" xr:uid="{00000000-0005-0000-0000-00000B000000}"/>
    <cellStyle name="Comma 19" xfId="33" xr:uid="{00000000-0005-0000-0000-00000C000000}"/>
    <cellStyle name="Comma 2" xfId="8" xr:uid="{00000000-0005-0000-0000-00000D000000}"/>
    <cellStyle name="Comma 20" xfId="41" xr:uid="{00000000-0005-0000-0000-00000E000000}"/>
    <cellStyle name="Comma 21" xfId="38" xr:uid="{00000000-0005-0000-0000-00000F000000}"/>
    <cellStyle name="Comma 22" xfId="37" xr:uid="{00000000-0005-0000-0000-000010000000}"/>
    <cellStyle name="Comma 23" xfId="36" xr:uid="{00000000-0005-0000-0000-000011000000}"/>
    <cellStyle name="Comma 24" xfId="39" xr:uid="{00000000-0005-0000-0000-000012000000}"/>
    <cellStyle name="Comma 25" xfId="40" xr:uid="{00000000-0005-0000-0000-000013000000}"/>
    <cellStyle name="Comma 26" xfId="35" xr:uid="{00000000-0005-0000-0000-000014000000}"/>
    <cellStyle name="Comma 27" xfId="42" xr:uid="{00000000-0005-0000-0000-000015000000}"/>
    <cellStyle name="Comma 28" xfId="43" xr:uid="{00000000-0005-0000-0000-000016000000}"/>
    <cellStyle name="Comma 29" xfId="44" xr:uid="{00000000-0005-0000-0000-000017000000}"/>
    <cellStyle name="Comma 3" xfId="10" xr:uid="{00000000-0005-0000-0000-000018000000}"/>
    <cellStyle name="Comma 3 2" xfId="18" xr:uid="{00000000-0005-0000-0000-000019000000}"/>
    <cellStyle name="Comma 3 3" xfId="15" xr:uid="{00000000-0005-0000-0000-00001A000000}"/>
    <cellStyle name="Comma 30" xfId="45" xr:uid="{00000000-0005-0000-0000-00001B000000}"/>
    <cellStyle name="Comma 31" xfId="46" xr:uid="{00000000-0005-0000-0000-00001C000000}"/>
    <cellStyle name="Comma 4" xfId="19" xr:uid="{00000000-0005-0000-0000-00001D000000}"/>
    <cellStyle name="Comma 5" xfId="21" xr:uid="{00000000-0005-0000-0000-00001E000000}"/>
    <cellStyle name="Comma 6" xfId="20" xr:uid="{00000000-0005-0000-0000-00001F000000}"/>
    <cellStyle name="Comma 7" xfId="22" xr:uid="{00000000-0005-0000-0000-000020000000}"/>
    <cellStyle name="Comma 8" xfId="7" xr:uid="{00000000-0005-0000-0000-000021000000}"/>
    <cellStyle name="Comma 9" xfId="23" xr:uid="{00000000-0005-0000-0000-000022000000}"/>
    <cellStyle name="Normal" xfId="0" builtinId="0"/>
    <cellStyle name="Normal 10 2 2" xfId="13" xr:uid="{00000000-0005-0000-0000-000024000000}"/>
    <cellStyle name="Normal 161" xfId="11" xr:uid="{00000000-0005-0000-0000-000025000000}"/>
    <cellStyle name="Normal 2" xfId="1" xr:uid="{00000000-0005-0000-0000-000026000000}"/>
    <cellStyle name="Normal 2 2" xfId="14" xr:uid="{00000000-0005-0000-0000-000027000000}"/>
    <cellStyle name="Normal 2 3" xfId="12" xr:uid="{00000000-0005-0000-0000-000028000000}"/>
    <cellStyle name="Normal 2 4" xfId="29" xr:uid="{00000000-0005-0000-0000-000029000000}"/>
    <cellStyle name="Normal 2 5" xfId="4" xr:uid="{00000000-0005-0000-0000-00002A000000}"/>
    <cellStyle name="Normal 3" xfId="9" xr:uid="{00000000-0005-0000-0000-00002B000000}"/>
    <cellStyle name="Normal 3 2" xfId="17" xr:uid="{00000000-0005-0000-0000-00002C000000}"/>
    <cellStyle name="Normal 3 3" xfId="16" xr:uid="{00000000-0005-0000-0000-00002D000000}"/>
    <cellStyle name="Normal 3 4" xfId="47" xr:uid="{00000000-0005-0000-0000-00002E000000}"/>
    <cellStyle name="Normal 4" xfId="3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id-ID" sz="1800" b="1" i="0" baseline="0">
                <a:effectLst/>
              </a:rPr>
              <a:t>Penurunan Konsentrasi Emisi Gas Rumah Kaca dari Aksi Mitigasi di Sektor Transportasi</a:t>
            </a:r>
            <a:endParaRPr lang="id-ID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'RENCANA AKSI'!$B$33</c:f>
              <c:strCache>
                <c:ptCount val="1"/>
                <c:pt idx="0">
                  <c:v>BaU baseline</c:v>
                </c:pt>
              </c:strCache>
            </c:strRef>
          </c:tx>
          <c:cat>
            <c:numRef>
              <c:f>'RENCANA AKSI'!$A$34:$A$54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'RENCANA AKSI'!$B$34:$B$54</c:f>
              <c:numCache>
                <c:formatCode>#,##0</c:formatCode>
                <c:ptCount val="21"/>
                <c:pt idx="0">
                  <c:v>12105300</c:v>
                </c:pt>
                <c:pt idx="1">
                  <c:v>12985600</c:v>
                </c:pt>
                <c:pt idx="2">
                  <c:v>13866000</c:v>
                </c:pt>
                <c:pt idx="3">
                  <c:v>14746400</c:v>
                </c:pt>
                <c:pt idx="4">
                  <c:v>15626800</c:v>
                </c:pt>
                <c:pt idx="5">
                  <c:v>16507200</c:v>
                </c:pt>
                <c:pt idx="6">
                  <c:v>18187600</c:v>
                </c:pt>
                <c:pt idx="7">
                  <c:v>19017100</c:v>
                </c:pt>
                <c:pt idx="8">
                  <c:v>19846700</c:v>
                </c:pt>
                <c:pt idx="9">
                  <c:v>20676300</c:v>
                </c:pt>
                <c:pt idx="10">
                  <c:v>22539200</c:v>
                </c:pt>
                <c:pt idx="11">
                  <c:v>24176700</c:v>
                </c:pt>
                <c:pt idx="12">
                  <c:v>25814100</c:v>
                </c:pt>
                <c:pt idx="13">
                  <c:v>27451600</c:v>
                </c:pt>
                <c:pt idx="14">
                  <c:v>29089100</c:v>
                </c:pt>
                <c:pt idx="15">
                  <c:v>30726600</c:v>
                </c:pt>
                <c:pt idx="16">
                  <c:v>32962700</c:v>
                </c:pt>
                <c:pt idx="17">
                  <c:v>35198800</c:v>
                </c:pt>
                <c:pt idx="18">
                  <c:v>37434900</c:v>
                </c:pt>
                <c:pt idx="19">
                  <c:v>39671000</c:v>
                </c:pt>
                <c:pt idx="20">
                  <c:v>41907200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4BB-9904-B747317E1EA8}"/>
            </c:ext>
          </c:extLst>
        </c:ser>
        <c:ser>
          <c:idx val="1"/>
          <c:order val="1"/>
          <c:tx>
            <c:strRef>
              <c:f>'RENCANA AKSI'!$K$32:$K$33</c:f>
              <c:strCache>
                <c:ptCount val="2"/>
                <c:pt idx="0">
                  <c:v>Emisi setelah pelaksanaan aksi mitigasi</c:v>
                </c:pt>
              </c:strCache>
            </c:strRef>
          </c:tx>
          <c:cat>
            <c:numRef>
              <c:f>'RENCANA AKSI'!$A$34:$A$54</c:f>
              <c:numCache>
                <c:formatCode>General</c:formatCode>
                <c:ptCount val="2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</c:numCache>
            </c:numRef>
          </c:cat>
          <c:val>
            <c:numRef>
              <c:f>'RENCANA AKSI'!$K$34:$K$54</c:f>
              <c:numCache>
                <c:formatCode>#,##0</c:formatCode>
                <c:ptCount val="21"/>
                <c:pt idx="0">
                  <c:v>12105300</c:v>
                </c:pt>
                <c:pt idx="1">
                  <c:v>12985595</c:v>
                </c:pt>
                <c:pt idx="2">
                  <c:v>13865990</c:v>
                </c:pt>
                <c:pt idx="3">
                  <c:v>14666545</c:v>
                </c:pt>
                <c:pt idx="4">
                  <c:v>15546940</c:v>
                </c:pt>
                <c:pt idx="5">
                  <c:v>16425947.236604275</c:v>
                </c:pt>
                <c:pt idx="6">
                  <c:v>18099736.059262779</c:v>
                </c:pt>
                <c:pt idx="7">
                  <c:v>18924139.141124517</c:v>
                </c:pt>
                <c:pt idx="8">
                  <c:v>19678374.680014733</c:v>
                </c:pt>
                <c:pt idx="9">
                  <c:v>20506439.420218643</c:v>
                </c:pt>
                <c:pt idx="10">
                  <c:v>22367674.031958114</c:v>
                </c:pt>
                <c:pt idx="11">
                  <c:v>24000641.007479142</c:v>
                </c:pt>
                <c:pt idx="12">
                  <c:v>25562495.658658329</c:v>
                </c:pt>
                <c:pt idx="13">
                  <c:v>27195429.661309637</c:v>
                </c:pt>
                <c:pt idx="14">
                  <c:v>28831200.014794894</c:v>
                </c:pt>
                <c:pt idx="15">
                  <c:v>30466408.986990999</c:v>
                </c:pt>
                <c:pt idx="16">
                  <c:v>32627414.357304383</c:v>
                </c:pt>
                <c:pt idx="17">
                  <c:v>34862174.245920092</c:v>
                </c:pt>
                <c:pt idx="18">
                  <c:v>37096722.376717843</c:v>
                </c:pt>
                <c:pt idx="19">
                  <c:v>39257690.148156486</c:v>
                </c:pt>
                <c:pt idx="20">
                  <c:v>41492303.481060997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B-44BB-9904-B747317E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96056"/>
        <c:axId val="390987904"/>
      </c:lineChart>
      <c:catAx>
        <c:axId val="38819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0987904"/>
        <c:crosses val="autoZero"/>
        <c:auto val="1"/>
        <c:lblAlgn val="ctr"/>
        <c:lblOffset val="100"/>
        <c:noMultiLvlLbl val="0"/>
      </c:catAx>
      <c:valAx>
        <c:axId val="390987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800"/>
                </a:pPr>
                <a:r>
                  <a:rPr lang="id-ID" sz="1400" b="1" i="0" baseline="0">
                    <a:effectLst/>
                  </a:rPr>
                  <a:t>Emisi (Ton Co₂Eq)</a:t>
                </a:r>
                <a:endParaRPr lang="id-ID" sz="800">
                  <a:effectLst/>
                </a:endParaRP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3881960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94</xdr:row>
      <xdr:rowOff>0</xdr:rowOff>
    </xdr:from>
    <xdr:to>
      <xdr:col>5</xdr:col>
      <xdr:colOff>74656</xdr:colOff>
      <xdr:row>116</xdr:row>
      <xdr:rowOff>77570</xdr:rowOff>
    </xdr:to>
    <xdr:pic>
      <xdr:nvPicPr>
        <xdr:cNvPr id="2" name="Content Placeholder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Grp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43" y="38494607"/>
          <a:ext cx="4129584" cy="4268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61</xdr:row>
      <xdr:rowOff>39729</xdr:rowOff>
    </xdr:from>
    <xdr:to>
      <xdr:col>18</xdr:col>
      <xdr:colOff>13681</xdr:colOff>
      <xdr:row>82</xdr:row>
      <xdr:rowOff>87871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27"/>
  <sheetViews>
    <sheetView topLeftCell="A6" workbookViewId="0">
      <selection activeCell="B6" sqref="B6:E27"/>
    </sheetView>
  </sheetViews>
  <sheetFormatPr defaultRowHeight="15" x14ac:dyDescent="0.25"/>
  <cols>
    <col min="4" max="5" width="9.140625" style="272"/>
  </cols>
  <sheetData>
    <row r="4" spans="2:5" x14ac:dyDescent="0.25">
      <c r="B4" t="s">
        <v>46</v>
      </c>
      <c r="D4" s="272">
        <v>1</v>
      </c>
      <c r="E4" s="272">
        <v>6</v>
      </c>
    </row>
    <row r="5" spans="2:5" ht="30" x14ac:dyDescent="0.25">
      <c r="B5" t="s">
        <v>296</v>
      </c>
      <c r="D5" s="272" t="s">
        <v>301</v>
      </c>
      <c r="E5" s="272" t="s">
        <v>317</v>
      </c>
    </row>
    <row r="6" spans="2:5" ht="75" x14ac:dyDescent="0.25">
      <c r="B6" t="s">
        <v>297</v>
      </c>
      <c r="D6" s="272" t="s">
        <v>302</v>
      </c>
      <c r="E6" s="272" t="s">
        <v>318</v>
      </c>
    </row>
    <row r="7" spans="2:5" x14ac:dyDescent="0.25">
      <c r="B7" t="s">
        <v>299</v>
      </c>
      <c r="C7">
        <v>2010</v>
      </c>
    </row>
    <row r="8" spans="2:5" x14ac:dyDescent="0.25">
      <c r="C8">
        <v>2011</v>
      </c>
      <c r="E8" s="272">
        <v>20</v>
      </c>
    </row>
    <row r="9" spans="2:5" x14ac:dyDescent="0.25">
      <c r="C9">
        <v>2012</v>
      </c>
      <c r="E9" s="272">
        <v>20</v>
      </c>
    </row>
    <row r="10" spans="2:5" x14ac:dyDescent="0.25">
      <c r="C10">
        <v>2013</v>
      </c>
      <c r="E10" s="272">
        <v>20</v>
      </c>
    </row>
    <row r="11" spans="2:5" x14ac:dyDescent="0.25">
      <c r="C11">
        <v>2014</v>
      </c>
      <c r="E11" s="272">
        <v>26</v>
      </c>
    </row>
    <row r="12" spans="2:5" x14ac:dyDescent="0.25">
      <c r="C12">
        <v>2015</v>
      </c>
      <c r="E12" s="272">
        <v>54</v>
      </c>
    </row>
    <row r="13" spans="2:5" x14ac:dyDescent="0.25">
      <c r="C13">
        <v>2016</v>
      </c>
      <c r="D13" s="272">
        <v>7</v>
      </c>
      <c r="E13" s="272">
        <v>54</v>
      </c>
    </row>
    <row r="14" spans="2:5" x14ac:dyDescent="0.25">
      <c r="C14">
        <v>2017</v>
      </c>
      <c r="D14" s="272">
        <v>6</v>
      </c>
      <c r="E14" s="272">
        <v>54</v>
      </c>
    </row>
    <row r="15" spans="2:5" x14ac:dyDescent="0.25">
      <c r="C15">
        <v>2018</v>
      </c>
      <c r="E15" s="272">
        <v>54</v>
      </c>
    </row>
    <row r="16" spans="2:5" x14ac:dyDescent="0.25">
      <c r="C16">
        <v>2019</v>
      </c>
      <c r="D16" s="272">
        <v>1</v>
      </c>
      <c r="E16" s="272">
        <v>54</v>
      </c>
    </row>
    <row r="17" spans="2:5" x14ac:dyDescent="0.25">
      <c r="C17">
        <v>2020</v>
      </c>
      <c r="E17" s="272">
        <v>54</v>
      </c>
    </row>
    <row r="18" spans="2:5" x14ac:dyDescent="0.25">
      <c r="B18" t="s">
        <v>299</v>
      </c>
      <c r="C18">
        <v>2021</v>
      </c>
      <c r="D18" s="272">
        <v>1</v>
      </c>
      <c r="E18" s="272">
        <v>54</v>
      </c>
    </row>
    <row r="19" spans="2:5" x14ac:dyDescent="0.25">
      <c r="C19">
        <v>2022</v>
      </c>
      <c r="E19" s="272">
        <v>54</v>
      </c>
    </row>
    <row r="20" spans="2:5" x14ac:dyDescent="0.25">
      <c r="C20">
        <v>2023</v>
      </c>
      <c r="D20" s="272">
        <v>1</v>
      </c>
      <c r="E20" s="272">
        <v>54</v>
      </c>
    </row>
    <row r="21" spans="2:5" x14ac:dyDescent="0.25">
      <c r="C21">
        <v>2024</v>
      </c>
      <c r="E21" s="272">
        <v>54</v>
      </c>
    </row>
    <row r="22" spans="2:5" x14ac:dyDescent="0.25">
      <c r="C22">
        <v>2025</v>
      </c>
      <c r="D22" s="272">
        <v>1</v>
      </c>
      <c r="E22" s="272">
        <v>54</v>
      </c>
    </row>
    <row r="23" spans="2:5" x14ac:dyDescent="0.25">
      <c r="C23">
        <v>2026</v>
      </c>
      <c r="E23" s="272">
        <v>54</v>
      </c>
    </row>
    <row r="24" spans="2:5" x14ac:dyDescent="0.25">
      <c r="C24">
        <v>2027</v>
      </c>
      <c r="D24" s="272">
        <v>1</v>
      </c>
      <c r="E24" s="272">
        <v>54</v>
      </c>
    </row>
    <row r="25" spans="2:5" x14ac:dyDescent="0.25">
      <c r="C25">
        <v>2028</v>
      </c>
      <c r="E25" s="272">
        <v>54</v>
      </c>
    </row>
    <row r="26" spans="2:5" x14ac:dyDescent="0.25">
      <c r="C26">
        <v>2029</v>
      </c>
      <c r="D26" s="272">
        <v>1</v>
      </c>
      <c r="E26" s="272">
        <v>54</v>
      </c>
    </row>
    <row r="27" spans="2:5" x14ac:dyDescent="0.25">
      <c r="C27">
        <v>2030</v>
      </c>
      <c r="E27" s="272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71"/>
  <sheetViews>
    <sheetView tabSelected="1" topLeftCell="K251" zoomScale="85" zoomScaleNormal="85" workbookViewId="0">
      <selection activeCell="X271" sqref="X271"/>
    </sheetView>
  </sheetViews>
  <sheetFormatPr defaultRowHeight="15" x14ac:dyDescent="0.25"/>
  <cols>
    <col min="1" max="1" width="6" style="5" customWidth="1"/>
    <col min="2" max="2" width="16.7109375" customWidth="1"/>
    <col min="3" max="3" width="3.42578125" style="5" customWidth="1"/>
    <col min="4" max="4" width="30.85546875" customWidth="1"/>
    <col min="5" max="5" width="13.7109375" customWidth="1"/>
    <col min="6" max="6" width="11.28515625" customWidth="1"/>
    <col min="7" max="7" width="14.140625" customWidth="1"/>
    <col min="8" max="8" width="13" customWidth="1"/>
    <col min="9" max="9" width="12.140625" customWidth="1"/>
    <col min="11" max="11" width="11" customWidth="1"/>
    <col min="12" max="12" width="11.42578125" customWidth="1"/>
    <col min="14" max="14" width="23.42578125" customWidth="1"/>
    <col min="15" max="15" width="9.140625" style="25"/>
    <col min="16" max="16" width="11.140625" style="25" customWidth="1"/>
    <col min="17" max="17" width="12.5703125" customWidth="1"/>
    <col min="19" max="19" width="12.7109375" customWidth="1"/>
    <col min="20" max="20" width="17" customWidth="1"/>
    <col min="24" max="24" width="16.42578125" customWidth="1"/>
    <col min="25" max="25" width="14.42578125" bestFit="1" customWidth="1"/>
    <col min="29" max="29" width="12.42578125" bestFit="1" customWidth="1"/>
    <col min="35" max="35" width="13" customWidth="1"/>
    <col min="38" max="38" width="12.140625" customWidth="1"/>
  </cols>
  <sheetData>
    <row r="1" spans="1:16" x14ac:dyDescent="0.25">
      <c r="A1" s="1" t="s">
        <v>0</v>
      </c>
      <c r="C1" s="9"/>
    </row>
    <row r="2" spans="1:16" x14ac:dyDescent="0.25">
      <c r="A2" t="s">
        <v>321</v>
      </c>
    </row>
    <row r="3" spans="1:16" x14ac:dyDescent="0.25">
      <c r="A3" s="4" t="s">
        <v>1</v>
      </c>
      <c r="C3" s="10"/>
    </row>
    <row r="4" spans="1:16" s="5" customFormat="1" x14ac:dyDescent="0.25">
      <c r="B4" s="10"/>
      <c r="C4" s="10"/>
      <c r="O4" s="25"/>
      <c r="P4" s="25"/>
    </row>
    <row r="5" spans="1:16" ht="60" x14ac:dyDescent="0.25">
      <c r="A5" s="2" t="s">
        <v>46</v>
      </c>
      <c r="B5" s="13" t="s">
        <v>2</v>
      </c>
      <c r="C5" s="13"/>
      <c r="D5" s="14" t="s">
        <v>23</v>
      </c>
      <c r="E5" s="2" t="s">
        <v>38</v>
      </c>
      <c r="F5" s="2" t="s">
        <v>39</v>
      </c>
      <c r="G5" s="71" t="s">
        <v>50</v>
      </c>
      <c r="H5" s="71" t="s">
        <v>51</v>
      </c>
      <c r="I5" s="71" t="s">
        <v>52</v>
      </c>
      <c r="J5" s="71" t="s">
        <v>53</v>
      </c>
      <c r="K5" s="71" t="s">
        <v>54</v>
      </c>
      <c r="L5" s="71" t="s">
        <v>55</v>
      </c>
      <c r="M5" s="71" t="s">
        <v>56</v>
      </c>
      <c r="N5" s="71" t="s">
        <v>57</v>
      </c>
    </row>
    <row r="6" spans="1:16" s="3" customFormat="1" ht="15" customHeight="1" x14ac:dyDescent="0.25">
      <c r="A6" s="11" t="s">
        <v>48</v>
      </c>
      <c r="B6" s="182" t="s">
        <v>25</v>
      </c>
      <c r="C6" s="183"/>
      <c r="D6" s="183"/>
      <c r="E6" s="183"/>
      <c r="F6" s="184"/>
      <c r="G6" s="8"/>
      <c r="H6" s="8"/>
      <c r="I6" s="8"/>
      <c r="J6" s="8"/>
      <c r="K6" s="8"/>
      <c r="L6" s="8"/>
      <c r="M6" s="8"/>
      <c r="N6" s="8"/>
      <c r="O6" s="25"/>
      <c r="P6" s="25"/>
    </row>
    <row r="7" spans="1:16" ht="45" x14ac:dyDescent="0.25">
      <c r="A7" s="12">
        <v>1</v>
      </c>
      <c r="B7" s="6" t="s">
        <v>3</v>
      </c>
      <c r="C7" s="15">
        <v>1</v>
      </c>
      <c r="D7" s="17" t="s">
        <v>4</v>
      </c>
      <c r="E7" s="16">
        <v>12032</v>
      </c>
      <c r="F7" s="11" t="s">
        <v>40</v>
      </c>
      <c r="G7" s="6" t="s">
        <v>58</v>
      </c>
      <c r="H7" s="7">
        <v>20</v>
      </c>
      <c r="I7" s="20">
        <f>E7/H7</f>
        <v>601.6</v>
      </c>
      <c r="J7" s="20">
        <v>2</v>
      </c>
      <c r="K7" s="20">
        <f>I7/J7</f>
        <v>300.8</v>
      </c>
      <c r="L7" s="20">
        <f>K7</f>
        <v>300.8</v>
      </c>
      <c r="M7" s="20">
        <v>49.3</v>
      </c>
      <c r="N7" s="19">
        <v>0</v>
      </c>
      <c r="O7" s="70">
        <f>AL39</f>
        <v>-4865.8793595649367</v>
      </c>
    </row>
    <row r="8" spans="1:16" x14ac:dyDescent="0.25">
      <c r="A8" s="390">
        <v>2</v>
      </c>
      <c r="B8" s="393" t="s">
        <v>5</v>
      </c>
      <c r="C8" s="15">
        <v>2</v>
      </c>
      <c r="D8" s="17" t="s">
        <v>6</v>
      </c>
      <c r="E8" s="12">
        <v>2148</v>
      </c>
      <c r="F8" s="11" t="s">
        <v>41</v>
      </c>
      <c r="G8" s="6" t="s">
        <v>59</v>
      </c>
      <c r="H8" s="7">
        <v>50</v>
      </c>
      <c r="I8" s="20">
        <f t="shared" ref="I8:I27" si="0">E8/H8</f>
        <v>42.96</v>
      </c>
      <c r="J8" s="20">
        <v>2</v>
      </c>
      <c r="K8" s="20">
        <f t="shared" ref="K8:K27" si="1">I8/J8</f>
        <v>21.48</v>
      </c>
      <c r="L8" s="387">
        <f>SUM(K8:K9)</f>
        <v>139.1</v>
      </c>
      <c r="M8" s="20">
        <v>16.600000000000001</v>
      </c>
      <c r="N8" s="68">
        <f>AL52</f>
        <v>152.28757754275495</v>
      </c>
    </row>
    <row r="9" spans="1:16" ht="75" x14ac:dyDescent="0.25">
      <c r="A9" s="391"/>
      <c r="B9" s="394"/>
      <c r="C9" s="15">
        <v>3</v>
      </c>
      <c r="D9" s="17" t="s">
        <v>7</v>
      </c>
      <c r="E9" s="12">
        <v>17643</v>
      </c>
      <c r="F9" s="11" t="s">
        <v>40</v>
      </c>
      <c r="G9" s="6" t="s">
        <v>60</v>
      </c>
      <c r="H9" s="7">
        <v>75</v>
      </c>
      <c r="I9" s="20">
        <f t="shared" si="0"/>
        <v>235.24</v>
      </c>
      <c r="J9" s="20">
        <v>2</v>
      </c>
      <c r="K9" s="20">
        <f t="shared" si="1"/>
        <v>117.62</v>
      </c>
      <c r="L9" s="388"/>
      <c r="M9" s="20">
        <v>30.2</v>
      </c>
      <c r="N9" s="68">
        <f>AL63</f>
        <v>3752.6023200815744</v>
      </c>
    </row>
    <row r="10" spans="1:16" ht="30" x14ac:dyDescent="0.25">
      <c r="A10" s="390">
        <v>3</v>
      </c>
      <c r="B10" s="393" t="s">
        <v>8</v>
      </c>
      <c r="C10" s="15">
        <v>4</v>
      </c>
      <c r="D10" s="17" t="s">
        <v>9</v>
      </c>
      <c r="E10" s="12">
        <v>3126</v>
      </c>
      <c r="F10" s="11" t="s">
        <v>42</v>
      </c>
      <c r="G10" s="6" t="s">
        <v>59</v>
      </c>
      <c r="H10" s="7">
        <v>75</v>
      </c>
      <c r="I10" s="20">
        <f t="shared" si="0"/>
        <v>41.68</v>
      </c>
      <c r="J10" s="20">
        <v>2</v>
      </c>
      <c r="K10" s="20">
        <f t="shared" si="1"/>
        <v>20.84</v>
      </c>
      <c r="L10" s="387">
        <f>SUM(K10:K12)</f>
        <v>62.519999999999996</v>
      </c>
      <c r="M10" s="20">
        <v>23.8</v>
      </c>
      <c r="N10" s="68">
        <f>AL75</f>
        <v>523.98529160071575</v>
      </c>
    </row>
    <row r="11" spans="1:16" x14ac:dyDescent="0.25">
      <c r="A11" s="392"/>
      <c r="B11" s="395"/>
      <c r="C11" s="15">
        <v>5</v>
      </c>
      <c r="D11" s="17" t="s">
        <v>10</v>
      </c>
      <c r="E11" s="12">
        <v>3126</v>
      </c>
      <c r="F11" s="11" t="s">
        <v>42</v>
      </c>
      <c r="G11" s="6" t="s">
        <v>59</v>
      </c>
      <c r="H11" s="7">
        <v>75</v>
      </c>
      <c r="I11" s="20">
        <f t="shared" si="0"/>
        <v>41.68</v>
      </c>
      <c r="J11" s="20">
        <v>2</v>
      </c>
      <c r="K11" s="20">
        <f t="shared" si="1"/>
        <v>20.84</v>
      </c>
      <c r="L11" s="389"/>
      <c r="M11" s="20">
        <v>12.6</v>
      </c>
      <c r="N11" s="68">
        <f>AL86</f>
        <v>277.40397790626128</v>
      </c>
    </row>
    <row r="12" spans="1:16" ht="30" x14ac:dyDescent="0.25">
      <c r="A12" s="391"/>
      <c r="B12" s="394"/>
      <c r="C12" s="15">
        <v>6</v>
      </c>
      <c r="D12" s="17" t="s">
        <v>11</v>
      </c>
      <c r="E12" s="12">
        <v>3126</v>
      </c>
      <c r="F12" s="11" t="s">
        <v>42</v>
      </c>
      <c r="G12" s="6" t="s">
        <v>59</v>
      </c>
      <c r="H12" s="7">
        <v>75</v>
      </c>
      <c r="I12" s="20">
        <f t="shared" si="0"/>
        <v>41.68</v>
      </c>
      <c r="J12" s="20">
        <v>2</v>
      </c>
      <c r="K12" s="20">
        <f t="shared" si="1"/>
        <v>20.84</v>
      </c>
      <c r="L12" s="388"/>
      <c r="M12" s="20">
        <v>19.3</v>
      </c>
      <c r="N12" s="68">
        <f>AL97</f>
        <v>424.9124423484796</v>
      </c>
    </row>
    <row r="13" spans="1:16" ht="75" x14ac:dyDescent="0.25">
      <c r="A13" s="390">
        <v>4</v>
      </c>
      <c r="B13" s="393" t="s">
        <v>12</v>
      </c>
      <c r="C13" s="15">
        <v>7</v>
      </c>
      <c r="D13" s="17" t="s">
        <v>13</v>
      </c>
      <c r="E13" s="12">
        <v>12335</v>
      </c>
      <c r="F13" s="11" t="s">
        <v>43</v>
      </c>
      <c r="G13" s="6" t="s">
        <v>60</v>
      </c>
      <c r="H13" s="7">
        <v>75</v>
      </c>
      <c r="I13" s="20">
        <f t="shared" si="0"/>
        <v>164.46666666666667</v>
      </c>
      <c r="J13" s="20">
        <v>2</v>
      </c>
      <c r="K13" s="20">
        <f t="shared" si="1"/>
        <v>82.233333333333334</v>
      </c>
      <c r="L13" s="387">
        <f>SUM(K13:K14)</f>
        <v>131.29333333333335</v>
      </c>
      <c r="M13" s="20">
        <v>37.700000000000003</v>
      </c>
      <c r="N13" s="68">
        <f>AL109</f>
        <v>3275.1686607906995</v>
      </c>
    </row>
    <row r="14" spans="1:16" ht="75" x14ac:dyDescent="0.25">
      <c r="A14" s="391"/>
      <c r="B14" s="394"/>
      <c r="C14" s="15">
        <v>8</v>
      </c>
      <c r="D14" s="17" t="s">
        <v>14</v>
      </c>
      <c r="E14" s="12">
        <v>7359</v>
      </c>
      <c r="F14" s="11" t="s">
        <v>42</v>
      </c>
      <c r="G14" s="6" t="s">
        <v>60</v>
      </c>
      <c r="H14" s="7">
        <v>75</v>
      </c>
      <c r="I14" s="20">
        <f t="shared" si="0"/>
        <v>98.12</v>
      </c>
      <c r="J14" s="20">
        <v>2</v>
      </c>
      <c r="K14" s="20">
        <f t="shared" si="1"/>
        <v>49.06</v>
      </c>
      <c r="L14" s="388"/>
      <c r="M14" s="20">
        <v>13.6</v>
      </c>
      <c r="N14" s="68">
        <f>AL120</f>
        <v>704.87300263041163</v>
      </c>
    </row>
    <row r="15" spans="1:16" ht="75" x14ac:dyDescent="0.25">
      <c r="A15" s="12">
        <v>5</v>
      </c>
      <c r="B15" s="6" t="s">
        <v>15</v>
      </c>
      <c r="C15" s="15">
        <v>9</v>
      </c>
      <c r="D15" s="17" t="s">
        <v>16</v>
      </c>
      <c r="E15" s="12">
        <v>16086</v>
      </c>
      <c r="F15" s="11" t="s">
        <v>43</v>
      </c>
      <c r="G15" s="6" t="s">
        <v>60</v>
      </c>
      <c r="H15" s="7">
        <v>75</v>
      </c>
      <c r="I15" s="20">
        <f t="shared" si="0"/>
        <v>214.48</v>
      </c>
      <c r="J15" s="20">
        <v>2</v>
      </c>
      <c r="K15" s="20">
        <f t="shared" si="1"/>
        <v>107.24</v>
      </c>
      <c r="L15" s="20">
        <f>K15</f>
        <v>107.24</v>
      </c>
      <c r="M15" s="20">
        <v>29.2</v>
      </c>
      <c r="N15" s="68">
        <f>AL132</f>
        <v>3308.1415305101987</v>
      </c>
    </row>
    <row r="16" spans="1:16" x14ac:dyDescent="0.25">
      <c r="A16" s="12">
        <v>6</v>
      </c>
      <c r="B16" s="6" t="s">
        <v>17</v>
      </c>
      <c r="C16" s="15">
        <v>10</v>
      </c>
      <c r="D16" s="17" t="s">
        <v>18</v>
      </c>
      <c r="E16" s="12">
        <v>3902</v>
      </c>
      <c r="F16" s="11" t="s">
        <v>43</v>
      </c>
      <c r="G16" s="6" t="s">
        <v>59</v>
      </c>
      <c r="H16" s="7">
        <v>75</v>
      </c>
      <c r="I16" s="20">
        <f t="shared" si="0"/>
        <v>52.026666666666664</v>
      </c>
      <c r="J16" s="20">
        <v>2</v>
      </c>
      <c r="K16" s="20">
        <f t="shared" si="1"/>
        <v>26.013333333333332</v>
      </c>
      <c r="L16" s="20">
        <f>K16</f>
        <v>26.013333333333332</v>
      </c>
      <c r="M16" s="20">
        <v>17.8</v>
      </c>
      <c r="N16" s="68">
        <f>AL144</f>
        <v>489.17069656100182</v>
      </c>
    </row>
    <row r="17" spans="1:17" ht="75" x14ac:dyDescent="0.25">
      <c r="A17" s="12">
        <v>7</v>
      </c>
      <c r="B17" s="6" t="s">
        <v>19</v>
      </c>
      <c r="C17" s="15">
        <v>11</v>
      </c>
      <c r="D17" s="17" t="s">
        <v>20</v>
      </c>
      <c r="E17" s="12">
        <v>7191</v>
      </c>
      <c r="F17" s="11" t="s">
        <v>43</v>
      </c>
      <c r="G17" s="6" t="s">
        <v>60</v>
      </c>
      <c r="H17" s="7">
        <v>75</v>
      </c>
      <c r="I17" s="20">
        <f t="shared" si="0"/>
        <v>95.88</v>
      </c>
      <c r="J17" s="20">
        <v>2</v>
      </c>
      <c r="K17" s="20">
        <f t="shared" si="1"/>
        <v>47.94</v>
      </c>
      <c r="L17" s="20">
        <f t="shared" ref="L17:L18" si="2">K17</f>
        <v>47.94</v>
      </c>
      <c r="M17" s="20">
        <v>20.399999999999999</v>
      </c>
      <c r="N17" s="68">
        <f>AL156</f>
        <v>1033.1719857144901</v>
      </c>
    </row>
    <row r="18" spans="1:17" ht="30" x14ac:dyDescent="0.25">
      <c r="A18" s="12">
        <v>8</v>
      </c>
      <c r="B18" s="6" t="s">
        <v>21</v>
      </c>
      <c r="C18" s="15">
        <v>12</v>
      </c>
      <c r="D18" s="17" t="s">
        <v>22</v>
      </c>
      <c r="E18" s="12">
        <v>2148</v>
      </c>
      <c r="F18" s="11" t="s">
        <v>42</v>
      </c>
      <c r="G18" s="6" t="s">
        <v>59</v>
      </c>
      <c r="H18" s="7">
        <v>75</v>
      </c>
      <c r="I18" s="20">
        <f t="shared" si="0"/>
        <v>28.64</v>
      </c>
      <c r="J18" s="20">
        <v>2</v>
      </c>
      <c r="K18" s="20">
        <f t="shared" si="1"/>
        <v>14.32</v>
      </c>
      <c r="L18" s="20">
        <f t="shared" si="2"/>
        <v>14.32</v>
      </c>
      <c r="M18" s="20">
        <v>16.8</v>
      </c>
      <c r="N18" s="68">
        <f>AL168</f>
        <v>254.15386843363152</v>
      </c>
    </row>
    <row r="19" spans="1:17" ht="15" customHeight="1" x14ac:dyDescent="0.25">
      <c r="A19" s="11" t="s">
        <v>49</v>
      </c>
      <c r="B19" s="185" t="s">
        <v>24</v>
      </c>
      <c r="C19" s="186"/>
      <c r="D19" s="186"/>
      <c r="E19" s="186"/>
      <c r="F19" s="187"/>
      <c r="G19" s="8"/>
      <c r="H19" s="8"/>
      <c r="I19" s="20"/>
      <c r="J19" s="20"/>
      <c r="K19" s="20"/>
      <c r="L19" s="20"/>
      <c r="M19" s="20"/>
      <c r="N19" s="12"/>
    </row>
    <row r="20" spans="1:17" ht="30" x14ac:dyDescent="0.25">
      <c r="A20" s="390">
        <v>9</v>
      </c>
      <c r="B20" s="393" t="s">
        <v>26</v>
      </c>
      <c r="C20" s="18">
        <v>13</v>
      </c>
      <c r="D20" s="17" t="s">
        <v>27</v>
      </c>
      <c r="E20" s="12">
        <v>1057</v>
      </c>
      <c r="F20" s="11" t="s">
        <v>44</v>
      </c>
      <c r="G20" s="6" t="s">
        <v>58</v>
      </c>
      <c r="H20" s="8">
        <v>20</v>
      </c>
      <c r="I20" s="20">
        <f t="shared" si="0"/>
        <v>52.85</v>
      </c>
      <c r="J20" s="20">
        <v>3</v>
      </c>
      <c r="K20" s="20">
        <f t="shared" si="1"/>
        <v>17.616666666666667</v>
      </c>
      <c r="L20" s="387">
        <f>SUM(K20:K21)</f>
        <v>46.45</v>
      </c>
      <c r="M20" s="20">
        <v>6.8</v>
      </c>
      <c r="N20" s="12">
        <v>0</v>
      </c>
      <c r="O20" s="70">
        <f>AL180</f>
        <v>-39.306939984257603</v>
      </c>
    </row>
    <row r="21" spans="1:17" ht="30" x14ac:dyDescent="0.25">
      <c r="A21" s="391"/>
      <c r="B21" s="394"/>
      <c r="C21" s="18">
        <v>14</v>
      </c>
      <c r="D21" s="17" t="s">
        <v>28</v>
      </c>
      <c r="E21" s="12">
        <v>865</v>
      </c>
      <c r="F21" s="11" t="s">
        <v>44</v>
      </c>
      <c r="G21" s="6" t="s">
        <v>61</v>
      </c>
      <c r="H21" s="8">
        <v>10</v>
      </c>
      <c r="I21" s="20">
        <f t="shared" si="0"/>
        <v>86.5</v>
      </c>
      <c r="J21" s="20">
        <v>3</v>
      </c>
      <c r="K21" s="20">
        <f t="shared" si="1"/>
        <v>28.833333333333332</v>
      </c>
      <c r="L21" s="388"/>
      <c r="M21" s="20">
        <v>6.6</v>
      </c>
      <c r="N21" s="12">
        <v>0</v>
      </c>
      <c r="O21" s="70">
        <f>AL192</f>
        <v>-110.34763715205722</v>
      </c>
    </row>
    <row r="22" spans="1:17" ht="30" x14ac:dyDescent="0.25">
      <c r="A22" s="12">
        <v>10</v>
      </c>
      <c r="B22" s="6" t="s">
        <v>29</v>
      </c>
      <c r="C22" s="18">
        <v>15</v>
      </c>
      <c r="D22" s="17" t="s">
        <v>30</v>
      </c>
      <c r="E22" s="12">
        <v>3902</v>
      </c>
      <c r="F22" s="11" t="s">
        <v>44</v>
      </c>
      <c r="G22" s="6" t="s">
        <v>59</v>
      </c>
      <c r="H22" s="8">
        <v>50</v>
      </c>
      <c r="I22" s="20">
        <f t="shared" si="0"/>
        <v>78.040000000000006</v>
      </c>
      <c r="J22" s="20">
        <v>3</v>
      </c>
      <c r="K22" s="20">
        <f t="shared" si="1"/>
        <v>26.013333333333335</v>
      </c>
      <c r="L22" s="20">
        <f>K22</f>
        <v>26.013333333333335</v>
      </c>
      <c r="M22" s="20">
        <v>5.0999999999999996</v>
      </c>
      <c r="N22" s="68">
        <f>AL203</f>
        <v>56.661529743112695</v>
      </c>
    </row>
    <row r="23" spans="1:17" ht="30" x14ac:dyDescent="0.25">
      <c r="A23" s="390">
        <v>11</v>
      </c>
      <c r="B23" s="393" t="s">
        <v>31</v>
      </c>
      <c r="C23" s="18">
        <v>16</v>
      </c>
      <c r="D23" s="17" t="s">
        <v>32</v>
      </c>
      <c r="E23" s="12">
        <v>4095</v>
      </c>
      <c r="F23" s="11" t="s">
        <v>44</v>
      </c>
      <c r="G23" s="6" t="s">
        <v>59</v>
      </c>
      <c r="H23" s="8">
        <v>5</v>
      </c>
      <c r="I23" s="20">
        <f t="shared" si="0"/>
        <v>819</v>
      </c>
      <c r="J23" s="20">
        <v>3</v>
      </c>
      <c r="K23" s="20">
        <f t="shared" si="1"/>
        <v>273</v>
      </c>
      <c r="L23" s="387">
        <f>SUM(K23:K24)</f>
        <v>287.01714285714286</v>
      </c>
      <c r="M23" s="20">
        <v>14.4</v>
      </c>
      <c r="N23" s="19"/>
      <c r="O23" s="70">
        <f>AL215</f>
        <v>-2774.3686593488374</v>
      </c>
    </row>
    <row r="24" spans="1:17" ht="75" x14ac:dyDescent="0.25">
      <c r="A24" s="391"/>
      <c r="B24" s="394"/>
      <c r="C24" s="18">
        <v>17</v>
      </c>
      <c r="D24" s="17" t="s">
        <v>33</v>
      </c>
      <c r="E24" s="12">
        <v>7359</v>
      </c>
      <c r="F24" s="11" t="s">
        <v>43</v>
      </c>
      <c r="G24" s="6" t="s">
        <v>60</v>
      </c>
      <c r="H24" s="8">
        <v>75</v>
      </c>
      <c r="I24" s="20">
        <f t="shared" si="0"/>
        <v>98.12</v>
      </c>
      <c r="J24" s="20">
        <v>7</v>
      </c>
      <c r="K24" s="20">
        <f t="shared" si="1"/>
        <v>14.017142857142858</v>
      </c>
      <c r="L24" s="388"/>
      <c r="M24" s="20">
        <v>19.3</v>
      </c>
      <c r="N24" s="68">
        <f>AL226</f>
        <v>285.79934770518798</v>
      </c>
    </row>
    <row r="25" spans="1:17" ht="75" x14ac:dyDescent="0.25">
      <c r="A25" s="390">
        <v>12</v>
      </c>
      <c r="B25" s="393" t="s">
        <v>8</v>
      </c>
      <c r="C25" s="18">
        <v>18</v>
      </c>
      <c r="D25" s="17" t="s">
        <v>34</v>
      </c>
      <c r="E25" s="12">
        <v>7359</v>
      </c>
      <c r="F25" s="11" t="s">
        <v>45</v>
      </c>
      <c r="G25" s="6" t="s">
        <v>60</v>
      </c>
      <c r="H25" s="8">
        <v>75</v>
      </c>
      <c r="I25" s="20">
        <f t="shared" si="0"/>
        <v>98.12</v>
      </c>
      <c r="J25" s="20">
        <v>7</v>
      </c>
      <c r="K25" s="20">
        <f t="shared" si="1"/>
        <v>14.017142857142858</v>
      </c>
      <c r="L25" s="387">
        <f>SUM(K25:K26)</f>
        <v>29.822857142857146</v>
      </c>
      <c r="M25" s="20">
        <v>16.8</v>
      </c>
      <c r="N25" s="68">
        <f>AL238</f>
        <v>248.7787068107335</v>
      </c>
    </row>
    <row r="26" spans="1:17" ht="75" x14ac:dyDescent="0.25">
      <c r="A26" s="391"/>
      <c r="B26" s="394"/>
      <c r="C26" s="18">
        <v>19</v>
      </c>
      <c r="D26" s="17" t="s">
        <v>35</v>
      </c>
      <c r="E26" s="12">
        <v>8298</v>
      </c>
      <c r="F26" s="11" t="s">
        <v>45</v>
      </c>
      <c r="G26" s="6" t="s">
        <v>60</v>
      </c>
      <c r="H26" s="8">
        <v>75</v>
      </c>
      <c r="I26" s="20">
        <f t="shared" si="0"/>
        <v>110.64</v>
      </c>
      <c r="J26" s="20">
        <v>7</v>
      </c>
      <c r="K26" s="20">
        <f t="shared" si="1"/>
        <v>15.805714285714286</v>
      </c>
      <c r="L26" s="388"/>
      <c r="M26" s="20">
        <v>19.2</v>
      </c>
      <c r="N26" s="68">
        <f>AL249</f>
        <v>320.59724094740608</v>
      </c>
    </row>
    <row r="27" spans="1:17" ht="30" x14ac:dyDescent="0.25">
      <c r="A27" s="12">
        <v>13</v>
      </c>
      <c r="B27" s="6" t="s">
        <v>36</v>
      </c>
      <c r="C27" s="18">
        <v>20</v>
      </c>
      <c r="D27" s="17" t="s">
        <v>37</v>
      </c>
      <c r="E27" s="12">
        <v>865</v>
      </c>
      <c r="F27" s="11" t="s">
        <v>44</v>
      </c>
      <c r="G27" s="6" t="s">
        <v>61</v>
      </c>
      <c r="H27" s="8">
        <v>15</v>
      </c>
      <c r="I27" s="20">
        <f t="shared" si="0"/>
        <v>57.666666666666664</v>
      </c>
      <c r="J27" s="20">
        <v>7</v>
      </c>
      <c r="K27" s="20">
        <f t="shared" si="1"/>
        <v>8.2380952380952372</v>
      </c>
      <c r="L27" s="20">
        <f>K27</f>
        <v>8.2380952380952372</v>
      </c>
      <c r="M27" s="20">
        <v>4.3</v>
      </c>
      <c r="N27" s="12">
        <v>0</v>
      </c>
      <c r="O27" s="70">
        <f>AL261</f>
        <v>-16.08213323076923</v>
      </c>
    </row>
    <row r="28" spans="1:17" ht="26.25" x14ac:dyDescent="0.4">
      <c r="A28" s="351" t="s">
        <v>98</v>
      </c>
      <c r="B28" s="352"/>
      <c r="C28" s="352"/>
      <c r="D28" s="352"/>
      <c r="E28" s="352"/>
      <c r="F28" s="352"/>
      <c r="G28" s="352"/>
      <c r="H28" s="352"/>
      <c r="I28" s="352"/>
      <c r="J28" s="352"/>
      <c r="K28" s="352"/>
      <c r="L28" s="352"/>
      <c r="M28" s="353"/>
      <c r="N28" s="69">
        <f>SUM(N7:N27)</f>
        <v>15107.708179326659</v>
      </c>
    </row>
    <row r="30" spans="1:17" ht="46.5" x14ac:dyDescent="0.7">
      <c r="Q30" s="21" t="s">
        <v>92</v>
      </c>
    </row>
    <row r="31" spans="1:17" ht="36" x14ac:dyDescent="0.55000000000000004">
      <c r="Q31" s="22" t="s">
        <v>93</v>
      </c>
    </row>
    <row r="33" spans="15:38" x14ac:dyDescent="0.25">
      <c r="O33" s="25">
        <v>1</v>
      </c>
      <c r="P33" s="25" t="s">
        <v>95</v>
      </c>
      <c r="Q33" s="23" t="s">
        <v>96</v>
      </c>
    </row>
    <row r="34" spans="15:38" x14ac:dyDescent="0.25">
      <c r="P34" s="25">
        <v>1</v>
      </c>
      <c r="Q34" s="23" t="s">
        <v>94</v>
      </c>
      <c r="R34" s="23" t="s">
        <v>4</v>
      </c>
    </row>
    <row r="36" spans="15:38" ht="15.75" x14ac:dyDescent="0.25">
      <c r="Q36" s="384" t="s">
        <v>62</v>
      </c>
      <c r="R36" s="385"/>
      <c r="S36" s="386"/>
      <c r="T36" s="380" t="s">
        <v>63</v>
      </c>
      <c r="U36" s="382" t="s">
        <v>64</v>
      </c>
      <c r="V36" s="382" t="s">
        <v>65</v>
      </c>
      <c r="W36" s="382" t="s">
        <v>66</v>
      </c>
      <c r="X36" s="354" t="s">
        <v>67</v>
      </c>
      <c r="Y36" s="380" t="s">
        <v>68</v>
      </c>
      <c r="Z36" s="382" t="s">
        <v>69</v>
      </c>
      <c r="AA36" s="382" t="s">
        <v>70</v>
      </c>
      <c r="AB36" s="380" t="s">
        <v>71</v>
      </c>
      <c r="AC36" s="354" t="s">
        <v>72</v>
      </c>
      <c r="AD36" s="380" t="s">
        <v>73</v>
      </c>
      <c r="AE36" s="354" t="s">
        <v>74</v>
      </c>
      <c r="AF36" s="382" t="s">
        <v>75</v>
      </c>
      <c r="AG36" s="382" t="s">
        <v>76</v>
      </c>
      <c r="AH36" s="380" t="s">
        <v>71</v>
      </c>
      <c r="AI36" s="354" t="s">
        <v>77</v>
      </c>
      <c r="AJ36" s="380" t="s">
        <v>78</v>
      </c>
      <c r="AK36" s="354" t="s">
        <v>79</v>
      </c>
      <c r="AL36" s="356" t="s">
        <v>80</v>
      </c>
    </row>
    <row r="37" spans="15:38" ht="78.75" x14ac:dyDescent="0.25">
      <c r="Q37" s="34" t="s">
        <v>81</v>
      </c>
      <c r="R37" s="34" t="s">
        <v>82</v>
      </c>
      <c r="S37" s="34" t="s">
        <v>83</v>
      </c>
      <c r="T37" s="381"/>
      <c r="U37" s="383"/>
      <c r="V37" s="383"/>
      <c r="W37" s="383"/>
      <c r="X37" s="355"/>
      <c r="Y37" s="381"/>
      <c r="Z37" s="383"/>
      <c r="AA37" s="383"/>
      <c r="AB37" s="381"/>
      <c r="AC37" s="355"/>
      <c r="AD37" s="381"/>
      <c r="AE37" s="355"/>
      <c r="AF37" s="383"/>
      <c r="AG37" s="383"/>
      <c r="AH37" s="381"/>
      <c r="AI37" s="355"/>
      <c r="AJ37" s="381"/>
      <c r="AK37" s="355"/>
      <c r="AL37" s="357"/>
    </row>
    <row r="38" spans="15:38" ht="15.75" x14ac:dyDescent="0.25">
      <c r="Q38" s="42">
        <v>1</v>
      </c>
      <c r="R38" s="43">
        <v>2</v>
      </c>
      <c r="S38" s="43">
        <v>3</v>
      </c>
      <c r="T38" s="44">
        <v>4</v>
      </c>
      <c r="U38" s="45">
        <v>5</v>
      </c>
      <c r="V38" s="46">
        <v>6</v>
      </c>
      <c r="W38" s="46">
        <v>7</v>
      </c>
      <c r="X38" s="47">
        <v>8</v>
      </c>
      <c r="Y38" s="48">
        <v>9</v>
      </c>
      <c r="Z38" s="46">
        <v>10</v>
      </c>
      <c r="AA38" s="46">
        <v>11</v>
      </c>
      <c r="AB38" s="48">
        <v>12</v>
      </c>
      <c r="AC38" s="29">
        <v>13</v>
      </c>
      <c r="AD38" s="31">
        <v>14</v>
      </c>
      <c r="AE38" s="29">
        <v>15</v>
      </c>
      <c r="AF38" s="27">
        <v>16</v>
      </c>
      <c r="AG38" s="27">
        <v>17</v>
      </c>
      <c r="AH38" s="33">
        <v>18</v>
      </c>
      <c r="AI38" s="35">
        <v>19</v>
      </c>
      <c r="AJ38" s="28">
        <v>20</v>
      </c>
      <c r="AK38" s="35">
        <v>21</v>
      </c>
      <c r="AL38" s="35">
        <v>22</v>
      </c>
    </row>
    <row r="39" spans="15:38" ht="47.25" x14ac:dyDescent="0.25">
      <c r="Q39" s="358">
        <f>K7</f>
        <v>300.8</v>
      </c>
      <c r="R39" s="361">
        <f>H7</f>
        <v>20</v>
      </c>
      <c r="S39" s="364">
        <v>7</v>
      </c>
      <c r="T39" s="49" t="s">
        <v>84</v>
      </c>
      <c r="U39" s="50" t="s">
        <v>85</v>
      </c>
      <c r="V39" s="63">
        <v>11</v>
      </c>
      <c r="W39" s="52">
        <v>70</v>
      </c>
      <c r="X39" s="51">
        <f>(V39/100)*Q39*R39*S39/W39</f>
        <v>66.176000000000002</v>
      </c>
      <c r="Y39" s="367">
        <v>300</v>
      </c>
      <c r="Z39" s="56">
        <v>7</v>
      </c>
      <c r="AA39" s="64">
        <f>M7</f>
        <v>49.3</v>
      </c>
      <c r="AB39" s="53">
        <v>0.12820512820512822</v>
      </c>
      <c r="AC39" s="51">
        <f>X39*Y39*Z39*AA39*AB39</f>
        <v>878359.13846153859</v>
      </c>
      <c r="AD39" s="65">
        <v>2.16</v>
      </c>
      <c r="AE39" s="66">
        <f>AC39*AD39/1000</f>
        <v>1897.2557390769236</v>
      </c>
      <c r="AF39" s="368">
        <f>M7</f>
        <v>49.3</v>
      </c>
      <c r="AG39" s="368" t="s">
        <v>86</v>
      </c>
      <c r="AH39" s="371">
        <v>0.18</v>
      </c>
      <c r="AI39" s="374">
        <f>(Q39*S39*Y39*AF39)*AH39</f>
        <v>5605528.3199999994</v>
      </c>
      <c r="AJ39" s="371">
        <v>2.2000000000000002</v>
      </c>
      <c r="AK39" s="374">
        <f>(AI39*AJ39)/1000</f>
        <v>12332.162303999999</v>
      </c>
      <c r="AL39" s="377">
        <f>(AE43)-AK39</f>
        <v>-4865.8793595649367</v>
      </c>
    </row>
    <row r="40" spans="15:38" ht="31.5" x14ac:dyDescent="0.25">
      <c r="Q40" s="359"/>
      <c r="R40" s="362"/>
      <c r="S40" s="365"/>
      <c r="T40" s="49" t="s">
        <v>87</v>
      </c>
      <c r="U40" s="54" t="s">
        <v>85</v>
      </c>
      <c r="V40" s="63">
        <v>89</v>
      </c>
      <c r="W40" s="63">
        <v>70</v>
      </c>
      <c r="X40" s="51">
        <f>(V40/100)*Q39*R39*S39/W40</f>
        <v>535.42399999999998</v>
      </c>
      <c r="Y40" s="359"/>
      <c r="Z40" s="59">
        <v>7</v>
      </c>
      <c r="AA40" s="64">
        <f>M7</f>
        <v>49.3</v>
      </c>
      <c r="AB40" s="55">
        <v>4.6511627906976744E-2</v>
      </c>
      <c r="AC40" s="51">
        <f>X40*Y39*Z40*AA40*AB40</f>
        <v>2578253.3358139531</v>
      </c>
      <c r="AD40" s="65">
        <v>2.16</v>
      </c>
      <c r="AE40" s="66">
        <f>AC40*AD40/1000</f>
        <v>5569.0272053581393</v>
      </c>
      <c r="AF40" s="369"/>
      <c r="AG40" s="369"/>
      <c r="AH40" s="372"/>
      <c r="AI40" s="375"/>
      <c r="AJ40" s="372"/>
      <c r="AK40" s="375"/>
      <c r="AL40" s="378"/>
    </row>
    <row r="41" spans="15:38" ht="31.5" x14ac:dyDescent="0.25">
      <c r="Q41" s="359"/>
      <c r="R41" s="362"/>
      <c r="S41" s="365"/>
      <c r="T41" s="49" t="s">
        <v>88</v>
      </c>
      <c r="U41" s="54" t="s">
        <v>89</v>
      </c>
      <c r="V41" s="50">
        <v>0</v>
      </c>
      <c r="W41" s="52">
        <v>0</v>
      </c>
      <c r="X41" s="51">
        <v>0</v>
      </c>
      <c r="Y41" s="359"/>
      <c r="Z41" s="56">
        <v>0</v>
      </c>
      <c r="AA41" s="50">
        <v>0</v>
      </c>
      <c r="AB41" s="55">
        <v>0.18181818181818182</v>
      </c>
      <c r="AC41" s="30">
        <v>0</v>
      </c>
      <c r="AD41" s="65">
        <v>0</v>
      </c>
      <c r="AE41" s="66">
        <v>0</v>
      </c>
      <c r="AF41" s="369"/>
      <c r="AG41" s="369"/>
      <c r="AH41" s="372"/>
      <c r="AI41" s="375"/>
      <c r="AJ41" s="372"/>
      <c r="AK41" s="375"/>
      <c r="AL41" s="378"/>
    </row>
    <row r="42" spans="15:38" ht="63" x14ac:dyDescent="0.25">
      <c r="Q42" s="360"/>
      <c r="R42" s="363"/>
      <c r="S42" s="366"/>
      <c r="T42" s="57" t="s">
        <v>90</v>
      </c>
      <c r="U42" s="54" t="s">
        <v>89</v>
      </c>
      <c r="V42" s="50">
        <v>0</v>
      </c>
      <c r="W42" s="52">
        <v>0</v>
      </c>
      <c r="X42" s="58"/>
      <c r="Y42" s="360"/>
      <c r="Z42" s="59">
        <v>0</v>
      </c>
      <c r="AA42" s="52">
        <v>0</v>
      </c>
      <c r="AB42" s="55"/>
      <c r="AC42" s="39"/>
      <c r="AD42" s="26"/>
      <c r="AE42" s="40"/>
      <c r="AF42" s="370"/>
      <c r="AG42" s="370"/>
      <c r="AH42" s="373"/>
      <c r="AI42" s="376"/>
      <c r="AJ42" s="373"/>
      <c r="AK42" s="376"/>
      <c r="AL42" s="379"/>
    </row>
    <row r="43" spans="15:38" ht="15.75" x14ac:dyDescent="0.25">
      <c r="Q43" s="60" t="s">
        <v>91</v>
      </c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2"/>
      <c r="AC43" s="38"/>
      <c r="AD43" s="38"/>
      <c r="AE43" s="37">
        <f>SUM(AE39:AE42)</f>
        <v>7466.2829444350627</v>
      </c>
      <c r="AF43" s="38"/>
      <c r="AG43" s="38"/>
      <c r="AH43" s="38"/>
      <c r="AI43" s="36">
        <f>AI39</f>
        <v>5605528.3199999994</v>
      </c>
      <c r="AJ43" s="32"/>
      <c r="AK43" s="32"/>
      <c r="AL43" s="41"/>
    </row>
    <row r="46" spans="15:38" x14ac:dyDescent="0.25">
      <c r="O46" s="25">
        <v>2</v>
      </c>
      <c r="P46" s="25" t="s">
        <v>95</v>
      </c>
      <c r="Q46" s="25" t="s">
        <v>5</v>
      </c>
    </row>
    <row r="47" spans="15:38" x14ac:dyDescent="0.25">
      <c r="P47" s="25">
        <v>2</v>
      </c>
      <c r="Q47" s="25" t="s">
        <v>94</v>
      </c>
      <c r="R47" s="25" t="s">
        <v>6</v>
      </c>
    </row>
    <row r="49" spans="15:38" ht="15.75" x14ac:dyDescent="0.25">
      <c r="Q49" s="384" t="s">
        <v>62</v>
      </c>
      <c r="R49" s="385"/>
      <c r="S49" s="386"/>
      <c r="T49" s="380" t="s">
        <v>63</v>
      </c>
      <c r="U49" s="382" t="s">
        <v>64</v>
      </c>
      <c r="V49" s="382" t="s">
        <v>65</v>
      </c>
      <c r="W49" s="382" t="s">
        <v>66</v>
      </c>
      <c r="X49" s="354" t="s">
        <v>67</v>
      </c>
      <c r="Y49" s="380" t="s">
        <v>68</v>
      </c>
      <c r="Z49" s="382" t="s">
        <v>69</v>
      </c>
      <c r="AA49" s="382" t="s">
        <v>70</v>
      </c>
      <c r="AB49" s="380" t="s">
        <v>71</v>
      </c>
      <c r="AC49" s="354" t="s">
        <v>72</v>
      </c>
      <c r="AD49" s="380" t="s">
        <v>73</v>
      </c>
      <c r="AE49" s="354" t="s">
        <v>74</v>
      </c>
      <c r="AF49" s="382" t="s">
        <v>75</v>
      </c>
      <c r="AG49" s="382" t="s">
        <v>76</v>
      </c>
      <c r="AH49" s="380" t="s">
        <v>71</v>
      </c>
      <c r="AI49" s="354" t="s">
        <v>77</v>
      </c>
      <c r="AJ49" s="380" t="s">
        <v>78</v>
      </c>
      <c r="AK49" s="354" t="s">
        <v>79</v>
      </c>
      <c r="AL49" s="356" t="s">
        <v>80</v>
      </c>
    </row>
    <row r="50" spans="15:38" ht="78.75" x14ac:dyDescent="0.25">
      <c r="Q50" s="34" t="s">
        <v>81</v>
      </c>
      <c r="R50" s="34" t="s">
        <v>82</v>
      </c>
      <c r="S50" s="34" t="s">
        <v>83</v>
      </c>
      <c r="T50" s="381"/>
      <c r="U50" s="383"/>
      <c r="V50" s="383"/>
      <c r="W50" s="383"/>
      <c r="X50" s="355"/>
      <c r="Y50" s="381"/>
      <c r="Z50" s="383"/>
      <c r="AA50" s="383"/>
      <c r="AB50" s="381"/>
      <c r="AC50" s="355"/>
      <c r="AD50" s="381"/>
      <c r="AE50" s="355"/>
      <c r="AF50" s="383"/>
      <c r="AG50" s="383"/>
      <c r="AH50" s="381"/>
      <c r="AI50" s="355"/>
      <c r="AJ50" s="381"/>
      <c r="AK50" s="355"/>
      <c r="AL50" s="357"/>
    </row>
    <row r="51" spans="15:38" ht="15.75" x14ac:dyDescent="0.25">
      <c r="Q51" s="42">
        <v>1</v>
      </c>
      <c r="R51" s="43">
        <v>2</v>
      </c>
      <c r="S51" s="43">
        <v>3</v>
      </c>
      <c r="T51" s="44">
        <v>4</v>
      </c>
      <c r="U51" s="45">
        <v>5</v>
      </c>
      <c r="V51" s="46">
        <v>6</v>
      </c>
      <c r="W51" s="46">
        <v>7</v>
      </c>
      <c r="X51" s="47">
        <v>8</v>
      </c>
      <c r="Y51" s="48">
        <v>9</v>
      </c>
      <c r="Z51" s="46">
        <v>10</v>
      </c>
      <c r="AA51" s="46">
        <v>11</v>
      </c>
      <c r="AB51" s="48">
        <v>12</v>
      </c>
      <c r="AC51" s="29">
        <v>13</v>
      </c>
      <c r="AD51" s="31">
        <v>14</v>
      </c>
      <c r="AE51" s="29">
        <v>15</v>
      </c>
      <c r="AF51" s="27">
        <v>16</v>
      </c>
      <c r="AG51" s="27">
        <v>17</v>
      </c>
      <c r="AH51" s="33">
        <v>18</v>
      </c>
      <c r="AI51" s="35">
        <v>19</v>
      </c>
      <c r="AJ51" s="28">
        <v>20</v>
      </c>
      <c r="AK51" s="35">
        <v>21</v>
      </c>
      <c r="AL51" s="35">
        <v>22</v>
      </c>
    </row>
    <row r="52" spans="15:38" ht="47.25" x14ac:dyDescent="0.25">
      <c r="Q52" s="358">
        <f>K8</f>
        <v>21.48</v>
      </c>
      <c r="R52" s="361">
        <f>H8</f>
        <v>50</v>
      </c>
      <c r="S52" s="364">
        <v>7</v>
      </c>
      <c r="T52" s="49" t="s">
        <v>84</v>
      </c>
      <c r="U52" s="50" t="s">
        <v>85</v>
      </c>
      <c r="V52" s="63">
        <v>11</v>
      </c>
      <c r="W52" s="52">
        <v>70</v>
      </c>
      <c r="X52" s="51">
        <f>(V52/100)*Q52*R52*S52/W52</f>
        <v>11.814</v>
      </c>
      <c r="Y52" s="367">
        <v>300</v>
      </c>
      <c r="Z52" s="56">
        <v>7</v>
      </c>
      <c r="AA52" s="64">
        <f>M8</f>
        <v>16.600000000000001</v>
      </c>
      <c r="AB52" s="53">
        <v>0.12820512820512822</v>
      </c>
      <c r="AC52" s="51">
        <f>X52*Y52*Z52*AA52*AB52</f>
        <v>52799.492307692315</v>
      </c>
      <c r="AD52" s="65">
        <v>2.16</v>
      </c>
      <c r="AE52" s="66">
        <f>AC52*AD52/1000</f>
        <v>114.0469033846154</v>
      </c>
      <c r="AF52" s="368">
        <f>M8</f>
        <v>16.600000000000001</v>
      </c>
      <c r="AG52" s="368" t="s">
        <v>86</v>
      </c>
      <c r="AH52" s="371">
        <v>0.18</v>
      </c>
      <c r="AI52" s="374">
        <f>(Q52*S52*Y52*AF52)*AH52</f>
        <v>134782.70400000003</v>
      </c>
      <c r="AJ52" s="371">
        <v>2.2000000000000002</v>
      </c>
      <c r="AK52" s="374">
        <f>(AI52*AJ52)/1000</f>
        <v>296.52194880000008</v>
      </c>
      <c r="AL52" s="377">
        <f>(AE56)-AK52</f>
        <v>152.28757754275495</v>
      </c>
    </row>
    <row r="53" spans="15:38" ht="31.5" x14ac:dyDescent="0.25">
      <c r="Q53" s="359"/>
      <c r="R53" s="362"/>
      <c r="S53" s="365"/>
      <c r="T53" s="49" t="s">
        <v>87</v>
      </c>
      <c r="U53" s="54" t="s">
        <v>85</v>
      </c>
      <c r="V53" s="63">
        <v>89</v>
      </c>
      <c r="W53" s="63">
        <v>70</v>
      </c>
      <c r="X53" s="51">
        <f>(V53/100)*Q52*R52*S52/W53</f>
        <v>95.586000000000013</v>
      </c>
      <c r="Y53" s="359"/>
      <c r="Z53" s="59">
        <v>7</v>
      </c>
      <c r="AA53" s="64">
        <f>M8</f>
        <v>16.600000000000001</v>
      </c>
      <c r="AB53" s="55">
        <v>4.6511627906976744E-2</v>
      </c>
      <c r="AC53" s="51">
        <f>X53*Y52*Z53*AA53*AB53</f>
        <v>154982.69581395353</v>
      </c>
      <c r="AD53" s="65">
        <v>2.16</v>
      </c>
      <c r="AE53" s="66">
        <f>AC53*AD53/1000</f>
        <v>334.76262295813962</v>
      </c>
      <c r="AF53" s="369"/>
      <c r="AG53" s="369"/>
      <c r="AH53" s="372"/>
      <c r="AI53" s="375"/>
      <c r="AJ53" s="372"/>
      <c r="AK53" s="375"/>
      <c r="AL53" s="378"/>
    </row>
    <row r="54" spans="15:38" ht="31.5" x14ac:dyDescent="0.25">
      <c r="Q54" s="359"/>
      <c r="R54" s="362"/>
      <c r="S54" s="365"/>
      <c r="T54" s="49" t="s">
        <v>88</v>
      </c>
      <c r="U54" s="54" t="s">
        <v>89</v>
      </c>
      <c r="V54" s="50">
        <v>0</v>
      </c>
      <c r="W54" s="52">
        <v>0</v>
      </c>
      <c r="X54" s="51">
        <v>0</v>
      </c>
      <c r="Y54" s="359"/>
      <c r="Z54" s="56">
        <v>0</v>
      </c>
      <c r="AA54" s="50">
        <v>0</v>
      </c>
      <c r="AB54" s="55">
        <v>0.18181818181818182</v>
      </c>
      <c r="AC54" s="30">
        <v>0</v>
      </c>
      <c r="AD54" s="65">
        <v>0</v>
      </c>
      <c r="AE54" s="66">
        <v>0</v>
      </c>
      <c r="AF54" s="369"/>
      <c r="AG54" s="369"/>
      <c r="AH54" s="372"/>
      <c r="AI54" s="375"/>
      <c r="AJ54" s="372"/>
      <c r="AK54" s="375"/>
      <c r="AL54" s="378"/>
    </row>
    <row r="55" spans="15:38" ht="63" x14ac:dyDescent="0.25">
      <c r="Q55" s="360"/>
      <c r="R55" s="363"/>
      <c r="S55" s="366"/>
      <c r="T55" s="57" t="s">
        <v>90</v>
      </c>
      <c r="U55" s="54" t="s">
        <v>89</v>
      </c>
      <c r="V55" s="50">
        <v>0</v>
      </c>
      <c r="W55" s="52">
        <v>0</v>
      </c>
      <c r="X55" s="58"/>
      <c r="Y55" s="360"/>
      <c r="Z55" s="59">
        <v>0</v>
      </c>
      <c r="AA55" s="52">
        <v>0</v>
      </c>
      <c r="AB55" s="55"/>
      <c r="AC55" s="39"/>
      <c r="AD55" s="26"/>
      <c r="AE55" s="40"/>
      <c r="AF55" s="370"/>
      <c r="AG55" s="370"/>
      <c r="AH55" s="373"/>
      <c r="AI55" s="376"/>
      <c r="AJ55" s="373"/>
      <c r="AK55" s="376"/>
      <c r="AL55" s="379"/>
    </row>
    <row r="56" spans="15:38" ht="15.75" x14ac:dyDescent="0.25">
      <c r="Q56" s="60" t="s">
        <v>91</v>
      </c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2"/>
      <c r="AC56" s="38"/>
      <c r="AD56" s="38"/>
      <c r="AE56" s="37">
        <f>SUM(AE52:AE55)</f>
        <v>448.80952634275502</v>
      </c>
      <c r="AF56" s="38"/>
      <c r="AG56" s="38"/>
      <c r="AH56" s="38"/>
      <c r="AI56" s="36">
        <f>AI52</f>
        <v>134782.70400000003</v>
      </c>
      <c r="AJ56" s="32"/>
      <c r="AK56" s="32"/>
      <c r="AL56" s="41"/>
    </row>
    <row r="57" spans="15:38" x14ac:dyDescent="0.25">
      <c r="Q57" s="25"/>
      <c r="R57" s="25"/>
    </row>
    <row r="58" spans="15:38" x14ac:dyDescent="0.25">
      <c r="P58" s="25">
        <v>3</v>
      </c>
      <c r="Q58" s="25" t="s">
        <v>94</v>
      </c>
      <c r="R58" s="25" t="s">
        <v>7</v>
      </c>
    </row>
    <row r="60" spans="15:38" ht="15.75" x14ac:dyDescent="0.25">
      <c r="Q60" s="384" t="s">
        <v>62</v>
      </c>
      <c r="R60" s="385"/>
      <c r="S60" s="386"/>
      <c r="T60" s="380" t="s">
        <v>63</v>
      </c>
      <c r="U60" s="382" t="s">
        <v>64</v>
      </c>
      <c r="V60" s="382" t="s">
        <v>65</v>
      </c>
      <c r="W60" s="382" t="s">
        <v>66</v>
      </c>
      <c r="X60" s="354" t="s">
        <v>67</v>
      </c>
      <c r="Y60" s="380" t="s">
        <v>68</v>
      </c>
      <c r="Z60" s="382" t="s">
        <v>69</v>
      </c>
      <c r="AA60" s="382" t="s">
        <v>70</v>
      </c>
      <c r="AB60" s="380" t="s">
        <v>71</v>
      </c>
      <c r="AC60" s="354" t="s">
        <v>72</v>
      </c>
      <c r="AD60" s="380" t="s">
        <v>73</v>
      </c>
      <c r="AE60" s="354" t="s">
        <v>74</v>
      </c>
      <c r="AF60" s="382" t="s">
        <v>75</v>
      </c>
      <c r="AG60" s="382" t="s">
        <v>76</v>
      </c>
      <c r="AH60" s="380" t="s">
        <v>71</v>
      </c>
      <c r="AI60" s="354" t="s">
        <v>77</v>
      </c>
      <c r="AJ60" s="380" t="s">
        <v>78</v>
      </c>
      <c r="AK60" s="354" t="s">
        <v>79</v>
      </c>
      <c r="AL60" s="356" t="s">
        <v>80</v>
      </c>
    </row>
    <row r="61" spans="15:38" s="24" customFormat="1" ht="78.75" x14ac:dyDescent="0.25">
      <c r="O61" s="25"/>
      <c r="P61" s="25"/>
      <c r="Q61" s="34" t="s">
        <v>81</v>
      </c>
      <c r="R61" s="34" t="s">
        <v>82</v>
      </c>
      <c r="S61" s="34" t="s">
        <v>83</v>
      </c>
      <c r="T61" s="381"/>
      <c r="U61" s="383"/>
      <c r="V61" s="383"/>
      <c r="W61" s="383"/>
      <c r="X61" s="355"/>
      <c r="Y61" s="381"/>
      <c r="Z61" s="383"/>
      <c r="AA61" s="383"/>
      <c r="AB61" s="381"/>
      <c r="AC61" s="355"/>
      <c r="AD61" s="381"/>
      <c r="AE61" s="355"/>
      <c r="AF61" s="383"/>
      <c r="AG61" s="383"/>
      <c r="AH61" s="381"/>
      <c r="AI61" s="355"/>
      <c r="AJ61" s="381"/>
      <c r="AK61" s="355"/>
      <c r="AL61" s="357"/>
    </row>
    <row r="62" spans="15:38" s="24" customFormat="1" ht="15.75" x14ac:dyDescent="0.25">
      <c r="O62" s="25"/>
      <c r="P62" s="25"/>
      <c r="Q62" s="42">
        <v>1</v>
      </c>
      <c r="R62" s="43">
        <v>2</v>
      </c>
      <c r="S62" s="43">
        <v>3</v>
      </c>
      <c r="T62" s="44">
        <v>4</v>
      </c>
      <c r="U62" s="45">
        <v>5</v>
      </c>
      <c r="V62" s="46">
        <v>6</v>
      </c>
      <c r="W62" s="46">
        <v>7</v>
      </c>
      <c r="X62" s="47">
        <v>8</v>
      </c>
      <c r="Y62" s="48">
        <v>9</v>
      </c>
      <c r="Z62" s="46">
        <v>10</v>
      </c>
      <c r="AA62" s="46">
        <v>11</v>
      </c>
      <c r="AB62" s="48">
        <v>12</v>
      </c>
      <c r="AC62" s="29">
        <v>13</v>
      </c>
      <c r="AD62" s="31">
        <v>14</v>
      </c>
      <c r="AE62" s="29">
        <v>15</v>
      </c>
      <c r="AF62" s="27">
        <v>16</v>
      </c>
      <c r="AG62" s="27">
        <v>17</v>
      </c>
      <c r="AH62" s="33">
        <v>18</v>
      </c>
      <c r="AI62" s="35">
        <v>19</v>
      </c>
      <c r="AJ62" s="28">
        <v>20</v>
      </c>
      <c r="AK62" s="35">
        <v>21</v>
      </c>
      <c r="AL62" s="35">
        <v>22</v>
      </c>
    </row>
    <row r="63" spans="15:38" s="24" customFormat="1" ht="47.25" x14ac:dyDescent="0.25">
      <c r="O63" s="25"/>
      <c r="P63" s="25"/>
      <c r="Q63" s="358">
        <f>K9</f>
        <v>117.62</v>
      </c>
      <c r="R63" s="361">
        <f>H9</f>
        <v>75</v>
      </c>
      <c r="S63" s="364">
        <v>7</v>
      </c>
      <c r="T63" s="49" t="s">
        <v>84</v>
      </c>
      <c r="U63" s="50" t="s">
        <v>85</v>
      </c>
      <c r="V63" s="63">
        <v>11</v>
      </c>
      <c r="W63" s="52">
        <v>70</v>
      </c>
      <c r="X63" s="51">
        <f>(V63/100)*Q63*R63*S63/W63</f>
        <v>97.036500000000004</v>
      </c>
      <c r="Y63" s="367">
        <v>300</v>
      </c>
      <c r="Z63" s="56">
        <v>7</v>
      </c>
      <c r="AA63" s="64">
        <f>M9</f>
        <v>30.2</v>
      </c>
      <c r="AB63" s="53">
        <v>0.12820512820512822</v>
      </c>
      <c r="AC63" s="51">
        <f>X63*Y63*Z63*AA63*AB63</f>
        <v>788981.38846153859</v>
      </c>
      <c r="AD63" s="65">
        <v>2.16</v>
      </c>
      <c r="AE63" s="66">
        <f>AC63*AD63/1000</f>
        <v>1704.1997990769235</v>
      </c>
      <c r="AF63" s="368">
        <f>M9</f>
        <v>30.2</v>
      </c>
      <c r="AG63" s="368" t="s">
        <v>86</v>
      </c>
      <c r="AH63" s="371">
        <v>0.18</v>
      </c>
      <c r="AI63" s="374">
        <f>(Q63*S63*Y63*AF63)*AH63</f>
        <v>1342702.8719999997</v>
      </c>
      <c r="AJ63" s="371">
        <v>2.2000000000000002</v>
      </c>
      <c r="AK63" s="374">
        <f>(AI63*AJ63)/1000</f>
        <v>2953.9463183999997</v>
      </c>
      <c r="AL63" s="377">
        <f>(AE67)-AK63</f>
        <v>3752.6023200815744</v>
      </c>
    </row>
    <row r="64" spans="15:38" s="24" customFormat="1" ht="31.5" x14ac:dyDescent="0.25">
      <c r="O64" s="25"/>
      <c r="P64" s="25"/>
      <c r="Q64" s="359"/>
      <c r="R64" s="362"/>
      <c r="S64" s="365"/>
      <c r="T64" s="49" t="s">
        <v>87</v>
      </c>
      <c r="U64" s="54" t="s">
        <v>85</v>
      </c>
      <c r="V64" s="63">
        <v>89</v>
      </c>
      <c r="W64" s="63">
        <v>70</v>
      </c>
      <c r="X64" s="51">
        <f>(V64/100)*Q63*R63*S63/W64</f>
        <v>785.11350000000004</v>
      </c>
      <c r="Y64" s="359"/>
      <c r="Z64" s="59">
        <v>7</v>
      </c>
      <c r="AA64" s="64">
        <f>M9</f>
        <v>30.2</v>
      </c>
      <c r="AB64" s="55">
        <v>4.6511627906976744E-2</v>
      </c>
      <c r="AC64" s="51">
        <f>X64*Y63*Z64*AA64*AB64</f>
        <v>2315902.2404651162</v>
      </c>
      <c r="AD64" s="65">
        <v>2.16</v>
      </c>
      <c r="AE64" s="66">
        <f>AC64*AD64/1000</f>
        <v>5002.3488394046508</v>
      </c>
      <c r="AF64" s="369"/>
      <c r="AG64" s="369"/>
      <c r="AH64" s="372"/>
      <c r="AI64" s="375"/>
      <c r="AJ64" s="372"/>
      <c r="AK64" s="375"/>
      <c r="AL64" s="378"/>
    </row>
    <row r="65" spans="15:38" s="24" customFormat="1" ht="31.5" x14ac:dyDescent="0.25">
      <c r="O65" s="25"/>
      <c r="P65" s="25"/>
      <c r="Q65" s="359"/>
      <c r="R65" s="362"/>
      <c r="S65" s="365"/>
      <c r="T65" s="49" t="s">
        <v>88</v>
      </c>
      <c r="U65" s="54" t="s">
        <v>89</v>
      </c>
      <c r="V65" s="50">
        <v>0</v>
      </c>
      <c r="W65" s="52">
        <v>0</v>
      </c>
      <c r="X65" s="51">
        <v>0</v>
      </c>
      <c r="Y65" s="359"/>
      <c r="Z65" s="56">
        <v>0</v>
      </c>
      <c r="AA65" s="50">
        <v>0</v>
      </c>
      <c r="AB65" s="55">
        <v>0.18181818181818182</v>
      </c>
      <c r="AC65" s="30">
        <v>0</v>
      </c>
      <c r="AD65" s="65">
        <v>0</v>
      </c>
      <c r="AE65" s="66">
        <v>0</v>
      </c>
      <c r="AF65" s="369"/>
      <c r="AG65" s="369"/>
      <c r="AH65" s="372"/>
      <c r="AI65" s="375"/>
      <c r="AJ65" s="372"/>
      <c r="AK65" s="375"/>
      <c r="AL65" s="378"/>
    </row>
    <row r="66" spans="15:38" s="24" customFormat="1" ht="63" x14ac:dyDescent="0.25">
      <c r="O66" s="25"/>
      <c r="P66" s="25"/>
      <c r="Q66" s="360"/>
      <c r="R66" s="363"/>
      <c r="S66" s="366"/>
      <c r="T66" s="57" t="s">
        <v>90</v>
      </c>
      <c r="U66" s="54" t="s">
        <v>89</v>
      </c>
      <c r="V66" s="50">
        <v>0</v>
      </c>
      <c r="W66" s="52">
        <v>0</v>
      </c>
      <c r="X66" s="58"/>
      <c r="Y66" s="360"/>
      <c r="Z66" s="59">
        <v>0</v>
      </c>
      <c r="AA66" s="52">
        <v>0</v>
      </c>
      <c r="AB66" s="55"/>
      <c r="AC66" s="39"/>
      <c r="AD66" s="26"/>
      <c r="AE66" s="40"/>
      <c r="AF66" s="370"/>
      <c r="AG66" s="370"/>
      <c r="AH66" s="373"/>
      <c r="AI66" s="376"/>
      <c r="AJ66" s="373"/>
      <c r="AK66" s="376"/>
      <c r="AL66" s="379"/>
    </row>
    <row r="67" spans="15:38" s="24" customFormat="1" ht="15.75" x14ac:dyDescent="0.25">
      <c r="O67" s="25"/>
      <c r="P67" s="25"/>
      <c r="Q67" s="60" t="s">
        <v>91</v>
      </c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2"/>
      <c r="AC67" s="38"/>
      <c r="AD67" s="38"/>
      <c r="AE67" s="37">
        <f>SUM(AE63:AE66)</f>
        <v>6706.548638481574</v>
      </c>
      <c r="AF67" s="38"/>
      <c r="AG67" s="38"/>
      <c r="AH67" s="38"/>
      <c r="AI67" s="36">
        <f>AI63</f>
        <v>1342702.8719999997</v>
      </c>
      <c r="AJ67" s="32"/>
      <c r="AK67" s="32"/>
      <c r="AL67" s="41"/>
    </row>
    <row r="68" spans="15:38" s="24" customFormat="1" x14ac:dyDescent="0.25">
      <c r="O68" s="25"/>
      <c r="P68" s="25"/>
    </row>
    <row r="69" spans="15:38" s="24" customFormat="1" x14ac:dyDescent="0.25">
      <c r="O69" s="25">
        <v>3</v>
      </c>
      <c r="P69" s="25" t="s">
        <v>95</v>
      </c>
      <c r="Q69" s="25" t="s">
        <v>8</v>
      </c>
      <c r="R69" s="25"/>
    </row>
    <row r="70" spans="15:38" x14ac:dyDescent="0.25">
      <c r="P70" s="25">
        <v>4</v>
      </c>
      <c r="Q70" s="25" t="s">
        <v>97</v>
      </c>
      <c r="R70" s="25" t="s">
        <v>9</v>
      </c>
    </row>
    <row r="72" spans="15:38" ht="15.75" x14ac:dyDescent="0.25">
      <c r="Q72" s="384" t="s">
        <v>62</v>
      </c>
      <c r="R72" s="385"/>
      <c r="S72" s="386"/>
      <c r="T72" s="380" t="s">
        <v>63</v>
      </c>
      <c r="U72" s="382" t="s">
        <v>64</v>
      </c>
      <c r="V72" s="382" t="s">
        <v>65</v>
      </c>
      <c r="W72" s="382" t="s">
        <v>66</v>
      </c>
      <c r="X72" s="354" t="s">
        <v>67</v>
      </c>
      <c r="Y72" s="380" t="s">
        <v>68</v>
      </c>
      <c r="Z72" s="382" t="s">
        <v>69</v>
      </c>
      <c r="AA72" s="382" t="s">
        <v>70</v>
      </c>
      <c r="AB72" s="380" t="s">
        <v>71</v>
      </c>
      <c r="AC72" s="354" t="s">
        <v>72</v>
      </c>
      <c r="AD72" s="380" t="s">
        <v>73</v>
      </c>
      <c r="AE72" s="354" t="s">
        <v>74</v>
      </c>
      <c r="AF72" s="382" t="s">
        <v>75</v>
      </c>
      <c r="AG72" s="382" t="s">
        <v>76</v>
      </c>
      <c r="AH72" s="380" t="s">
        <v>71</v>
      </c>
      <c r="AI72" s="354" t="s">
        <v>77</v>
      </c>
      <c r="AJ72" s="380" t="s">
        <v>78</v>
      </c>
      <c r="AK72" s="354" t="s">
        <v>79</v>
      </c>
      <c r="AL72" s="356" t="s">
        <v>80</v>
      </c>
    </row>
    <row r="73" spans="15:38" ht="78.75" x14ac:dyDescent="0.25">
      <c r="Q73" s="34" t="s">
        <v>81</v>
      </c>
      <c r="R73" s="34" t="s">
        <v>82</v>
      </c>
      <c r="S73" s="34" t="s">
        <v>83</v>
      </c>
      <c r="T73" s="381"/>
      <c r="U73" s="383"/>
      <c r="V73" s="383"/>
      <c r="W73" s="383"/>
      <c r="X73" s="355"/>
      <c r="Y73" s="381"/>
      <c r="Z73" s="383"/>
      <c r="AA73" s="383"/>
      <c r="AB73" s="381"/>
      <c r="AC73" s="355"/>
      <c r="AD73" s="381"/>
      <c r="AE73" s="355"/>
      <c r="AF73" s="383"/>
      <c r="AG73" s="383"/>
      <c r="AH73" s="381"/>
      <c r="AI73" s="355"/>
      <c r="AJ73" s="381"/>
      <c r="AK73" s="355"/>
      <c r="AL73" s="357"/>
    </row>
    <row r="74" spans="15:38" ht="15.75" x14ac:dyDescent="0.25">
      <c r="Q74" s="42">
        <v>1</v>
      </c>
      <c r="R74" s="43">
        <v>2</v>
      </c>
      <c r="S74" s="43">
        <v>3</v>
      </c>
      <c r="T74" s="44">
        <v>4</v>
      </c>
      <c r="U74" s="45">
        <v>5</v>
      </c>
      <c r="V74" s="46">
        <v>6</v>
      </c>
      <c r="W74" s="46">
        <v>7</v>
      </c>
      <c r="X74" s="47">
        <v>8</v>
      </c>
      <c r="Y74" s="48">
        <v>9</v>
      </c>
      <c r="Z74" s="46">
        <v>10</v>
      </c>
      <c r="AA74" s="46">
        <v>11</v>
      </c>
      <c r="AB74" s="48">
        <v>12</v>
      </c>
      <c r="AC74" s="29">
        <v>13</v>
      </c>
      <c r="AD74" s="31">
        <v>14</v>
      </c>
      <c r="AE74" s="29">
        <v>15</v>
      </c>
      <c r="AF74" s="27">
        <v>16</v>
      </c>
      <c r="AG74" s="27">
        <v>17</v>
      </c>
      <c r="AH74" s="33">
        <v>18</v>
      </c>
      <c r="AI74" s="35">
        <v>19</v>
      </c>
      <c r="AJ74" s="28">
        <v>20</v>
      </c>
      <c r="AK74" s="35">
        <v>21</v>
      </c>
      <c r="AL74" s="35">
        <v>22</v>
      </c>
    </row>
    <row r="75" spans="15:38" ht="47.25" x14ac:dyDescent="0.25">
      <c r="Q75" s="358">
        <f>K10</f>
        <v>20.84</v>
      </c>
      <c r="R75" s="361">
        <f>H10</f>
        <v>75</v>
      </c>
      <c r="S75" s="364">
        <v>7</v>
      </c>
      <c r="T75" s="49" t="s">
        <v>84</v>
      </c>
      <c r="U75" s="50" t="s">
        <v>85</v>
      </c>
      <c r="V75" s="63">
        <v>11</v>
      </c>
      <c r="W75" s="52">
        <v>70</v>
      </c>
      <c r="X75" s="51">
        <f>(V75/100)*Q75*R75*S75/W75</f>
        <v>17.193000000000001</v>
      </c>
      <c r="Y75" s="367">
        <v>300</v>
      </c>
      <c r="Z75" s="56">
        <v>7</v>
      </c>
      <c r="AA75" s="64">
        <f>M10</f>
        <v>23.8</v>
      </c>
      <c r="AB75" s="53">
        <v>0.12820512820512822</v>
      </c>
      <c r="AC75" s="51">
        <f>X75*Y75*Z75*AA75*AB75</f>
        <v>110167.45384615388</v>
      </c>
      <c r="AD75" s="65">
        <v>2.16</v>
      </c>
      <c r="AE75" s="66">
        <f>AC75*AD75/1000</f>
        <v>237.96170030769241</v>
      </c>
      <c r="AF75" s="368">
        <f>M10</f>
        <v>23.8</v>
      </c>
      <c r="AG75" s="368" t="s">
        <v>86</v>
      </c>
      <c r="AH75" s="371">
        <v>0.18</v>
      </c>
      <c r="AI75" s="374">
        <f>(Q75*S75*Y75*AF75)*AH75</f>
        <v>187484.976</v>
      </c>
      <c r="AJ75" s="371">
        <v>2.2000000000000002</v>
      </c>
      <c r="AK75" s="374">
        <f>(AI75*AJ75)/1000</f>
        <v>412.46694719999999</v>
      </c>
      <c r="AL75" s="377">
        <f>(AE79)-AK75</f>
        <v>523.98529160071575</v>
      </c>
    </row>
    <row r="76" spans="15:38" ht="31.5" x14ac:dyDescent="0.25">
      <c r="Q76" s="359"/>
      <c r="R76" s="362"/>
      <c r="S76" s="365"/>
      <c r="T76" s="49" t="s">
        <v>87</v>
      </c>
      <c r="U76" s="54" t="s">
        <v>85</v>
      </c>
      <c r="V76" s="63">
        <v>89</v>
      </c>
      <c r="W76" s="63">
        <v>70</v>
      </c>
      <c r="X76" s="51">
        <f>(V76/100)*Q75*R75*S75/W76</f>
        <v>139.107</v>
      </c>
      <c r="Y76" s="359"/>
      <c r="Z76" s="59">
        <v>7</v>
      </c>
      <c r="AA76" s="64">
        <f>M10</f>
        <v>23.8</v>
      </c>
      <c r="AB76" s="55">
        <v>4.6511627906976744E-2</v>
      </c>
      <c r="AC76" s="51">
        <f>X76*Y75*Z76*AA76*AB76</f>
        <v>323375.2493023256</v>
      </c>
      <c r="AD76" s="65">
        <v>2.16</v>
      </c>
      <c r="AE76" s="66">
        <f>AC76*AD76/1000</f>
        <v>698.49053849302334</v>
      </c>
      <c r="AF76" s="369"/>
      <c r="AG76" s="369"/>
      <c r="AH76" s="372"/>
      <c r="AI76" s="375"/>
      <c r="AJ76" s="372"/>
      <c r="AK76" s="375"/>
      <c r="AL76" s="378"/>
    </row>
    <row r="77" spans="15:38" ht="31.5" x14ac:dyDescent="0.25">
      <c r="Q77" s="359"/>
      <c r="R77" s="362"/>
      <c r="S77" s="365"/>
      <c r="T77" s="49" t="s">
        <v>88</v>
      </c>
      <c r="U77" s="54" t="s">
        <v>89</v>
      </c>
      <c r="V77" s="50">
        <v>0</v>
      </c>
      <c r="W77" s="52">
        <v>0</v>
      </c>
      <c r="X77" s="51">
        <v>0</v>
      </c>
      <c r="Y77" s="359"/>
      <c r="Z77" s="56">
        <v>0</v>
      </c>
      <c r="AA77" s="50">
        <v>0</v>
      </c>
      <c r="AB77" s="55">
        <v>0.18181818181818182</v>
      </c>
      <c r="AC77" s="30">
        <v>0</v>
      </c>
      <c r="AD77" s="65">
        <v>0</v>
      </c>
      <c r="AE77" s="66">
        <v>0</v>
      </c>
      <c r="AF77" s="369"/>
      <c r="AG77" s="369"/>
      <c r="AH77" s="372"/>
      <c r="AI77" s="375"/>
      <c r="AJ77" s="372"/>
      <c r="AK77" s="375"/>
      <c r="AL77" s="378"/>
    </row>
    <row r="78" spans="15:38" ht="63" x14ac:dyDescent="0.25">
      <c r="Q78" s="360"/>
      <c r="R78" s="363"/>
      <c r="S78" s="366"/>
      <c r="T78" s="57" t="s">
        <v>90</v>
      </c>
      <c r="U78" s="54" t="s">
        <v>89</v>
      </c>
      <c r="V78" s="50">
        <v>0</v>
      </c>
      <c r="W78" s="52">
        <v>0</v>
      </c>
      <c r="X78" s="58"/>
      <c r="Y78" s="360"/>
      <c r="Z78" s="59">
        <v>0</v>
      </c>
      <c r="AA78" s="52">
        <v>0</v>
      </c>
      <c r="AB78" s="55"/>
      <c r="AC78" s="39"/>
      <c r="AD78" s="26"/>
      <c r="AE78" s="40"/>
      <c r="AF78" s="370"/>
      <c r="AG78" s="370"/>
      <c r="AH78" s="373"/>
      <c r="AI78" s="376"/>
      <c r="AJ78" s="373"/>
      <c r="AK78" s="376"/>
      <c r="AL78" s="379"/>
    </row>
    <row r="79" spans="15:38" ht="15.75" x14ac:dyDescent="0.25">
      <c r="Q79" s="60" t="s">
        <v>91</v>
      </c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2"/>
      <c r="AC79" s="38"/>
      <c r="AD79" s="38"/>
      <c r="AE79" s="37">
        <f>SUM(AE75:AE78)</f>
        <v>936.4522388007158</v>
      </c>
      <c r="AF79" s="38"/>
      <c r="AG79" s="38"/>
      <c r="AH79" s="38"/>
      <c r="AI79" s="36">
        <f>AI75</f>
        <v>187484.976</v>
      </c>
      <c r="AJ79" s="32"/>
      <c r="AK79" s="32"/>
      <c r="AL79" s="41"/>
    </row>
    <row r="81" spans="15:38" x14ac:dyDescent="0.25">
      <c r="P81" s="25">
        <v>5</v>
      </c>
      <c r="Q81" s="25" t="s">
        <v>97</v>
      </c>
      <c r="R81" s="25" t="s">
        <v>10</v>
      </c>
    </row>
    <row r="83" spans="15:38" ht="15.75" x14ac:dyDescent="0.25">
      <c r="Q83" s="384" t="s">
        <v>62</v>
      </c>
      <c r="R83" s="385"/>
      <c r="S83" s="386"/>
      <c r="T83" s="380" t="s">
        <v>63</v>
      </c>
      <c r="U83" s="382" t="s">
        <v>64</v>
      </c>
      <c r="V83" s="382" t="s">
        <v>65</v>
      </c>
      <c r="W83" s="382" t="s">
        <v>66</v>
      </c>
      <c r="X83" s="354" t="s">
        <v>67</v>
      </c>
      <c r="Y83" s="380" t="s">
        <v>68</v>
      </c>
      <c r="Z83" s="382" t="s">
        <v>69</v>
      </c>
      <c r="AA83" s="382" t="s">
        <v>70</v>
      </c>
      <c r="AB83" s="380" t="s">
        <v>71</v>
      </c>
      <c r="AC83" s="354" t="s">
        <v>72</v>
      </c>
      <c r="AD83" s="380" t="s">
        <v>73</v>
      </c>
      <c r="AE83" s="354" t="s">
        <v>74</v>
      </c>
      <c r="AF83" s="382" t="s">
        <v>75</v>
      </c>
      <c r="AG83" s="382" t="s">
        <v>76</v>
      </c>
      <c r="AH83" s="380" t="s">
        <v>71</v>
      </c>
      <c r="AI83" s="354" t="s">
        <v>77</v>
      </c>
      <c r="AJ83" s="380" t="s">
        <v>78</v>
      </c>
      <c r="AK83" s="354" t="s">
        <v>79</v>
      </c>
      <c r="AL83" s="356" t="s">
        <v>80</v>
      </c>
    </row>
    <row r="84" spans="15:38" s="24" customFormat="1" ht="78.75" x14ac:dyDescent="0.25">
      <c r="O84" s="25"/>
      <c r="P84" s="25"/>
      <c r="Q84" s="34" t="s">
        <v>81</v>
      </c>
      <c r="R84" s="34" t="s">
        <v>82</v>
      </c>
      <c r="S84" s="34" t="s">
        <v>83</v>
      </c>
      <c r="T84" s="381"/>
      <c r="U84" s="383"/>
      <c r="V84" s="383"/>
      <c r="W84" s="383"/>
      <c r="X84" s="355"/>
      <c r="Y84" s="381"/>
      <c r="Z84" s="383"/>
      <c r="AA84" s="383"/>
      <c r="AB84" s="381"/>
      <c r="AC84" s="355"/>
      <c r="AD84" s="381"/>
      <c r="AE84" s="355"/>
      <c r="AF84" s="383"/>
      <c r="AG84" s="383"/>
      <c r="AH84" s="381"/>
      <c r="AI84" s="355"/>
      <c r="AJ84" s="381"/>
      <c r="AK84" s="355"/>
      <c r="AL84" s="357"/>
    </row>
    <row r="85" spans="15:38" s="24" customFormat="1" ht="15.75" x14ac:dyDescent="0.25">
      <c r="O85" s="25"/>
      <c r="P85" s="25"/>
      <c r="Q85" s="42">
        <v>1</v>
      </c>
      <c r="R85" s="43">
        <v>2</v>
      </c>
      <c r="S85" s="43">
        <v>3</v>
      </c>
      <c r="T85" s="44">
        <v>4</v>
      </c>
      <c r="U85" s="45">
        <v>5</v>
      </c>
      <c r="V85" s="46">
        <v>6</v>
      </c>
      <c r="W85" s="46">
        <v>7</v>
      </c>
      <c r="X85" s="47">
        <v>8</v>
      </c>
      <c r="Y85" s="48">
        <v>9</v>
      </c>
      <c r="Z85" s="46">
        <v>10</v>
      </c>
      <c r="AA85" s="46">
        <v>11</v>
      </c>
      <c r="AB85" s="48">
        <v>12</v>
      </c>
      <c r="AC85" s="29">
        <v>13</v>
      </c>
      <c r="AD85" s="31">
        <v>14</v>
      </c>
      <c r="AE85" s="29">
        <v>15</v>
      </c>
      <c r="AF85" s="27">
        <v>16</v>
      </c>
      <c r="AG85" s="27">
        <v>17</v>
      </c>
      <c r="AH85" s="33">
        <v>18</v>
      </c>
      <c r="AI85" s="35">
        <v>19</v>
      </c>
      <c r="AJ85" s="28">
        <v>20</v>
      </c>
      <c r="AK85" s="35">
        <v>21</v>
      </c>
      <c r="AL85" s="35">
        <v>22</v>
      </c>
    </row>
    <row r="86" spans="15:38" s="24" customFormat="1" ht="47.25" x14ac:dyDescent="0.25">
      <c r="O86" s="25"/>
      <c r="P86" s="25"/>
      <c r="Q86" s="358">
        <f>K11</f>
        <v>20.84</v>
      </c>
      <c r="R86" s="361">
        <f>H11</f>
        <v>75</v>
      </c>
      <c r="S86" s="364">
        <v>7</v>
      </c>
      <c r="T86" s="49" t="s">
        <v>84</v>
      </c>
      <c r="U86" s="50" t="s">
        <v>85</v>
      </c>
      <c r="V86" s="63">
        <v>11</v>
      </c>
      <c r="W86" s="52">
        <v>70</v>
      </c>
      <c r="X86" s="51">
        <f>(V86/100)*Q86*R86*S86/W86</f>
        <v>17.193000000000001</v>
      </c>
      <c r="Y86" s="367">
        <v>300</v>
      </c>
      <c r="Z86" s="56">
        <v>7</v>
      </c>
      <c r="AA86" s="64">
        <f>M11</f>
        <v>12.6</v>
      </c>
      <c r="AB86" s="53">
        <v>0.12820512820512822</v>
      </c>
      <c r="AC86" s="51">
        <f>X86*Y86*Z86*AA86*AB86</f>
        <v>58323.946153846162</v>
      </c>
      <c r="AD86" s="65">
        <v>2.16</v>
      </c>
      <c r="AE86" s="66">
        <f>AC86*AD86/1000</f>
        <v>125.97972369230772</v>
      </c>
      <c r="AF86" s="368">
        <f>M11</f>
        <v>12.6</v>
      </c>
      <c r="AG86" s="368" t="s">
        <v>86</v>
      </c>
      <c r="AH86" s="371">
        <v>0.18</v>
      </c>
      <c r="AI86" s="374">
        <f>(Q86*S86*Y86*AF86)*AH86</f>
        <v>99256.752000000008</v>
      </c>
      <c r="AJ86" s="371">
        <v>2.2000000000000002</v>
      </c>
      <c r="AK86" s="374">
        <f>(AI86*AJ86)/1000</f>
        <v>218.36485440000004</v>
      </c>
      <c r="AL86" s="377">
        <f>(AE90)-AK86</f>
        <v>277.40397790626128</v>
      </c>
    </row>
    <row r="87" spans="15:38" s="24" customFormat="1" ht="31.5" x14ac:dyDescent="0.25">
      <c r="O87" s="25"/>
      <c r="P87" s="25"/>
      <c r="Q87" s="359"/>
      <c r="R87" s="362"/>
      <c r="S87" s="365"/>
      <c r="T87" s="49" t="s">
        <v>87</v>
      </c>
      <c r="U87" s="54" t="s">
        <v>85</v>
      </c>
      <c r="V87" s="63">
        <v>89</v>
      </c>
      <c r="W87" s="63">
        <v>70</v>
      </c>
      <c r="X87" s="51">
        <f>(V87/100)*Q86*R86*S86/W87</f>
        <v>139.107</v>
      </c>
      <c r="Y87" s="359"/>
      <c r="Z87" s="59">
        <v>7</v>
      </c>
      <c r="AA87" s="64">
        <f>M11</f>
        <v>12.6</v>
      </c>
      <c r="AB87" s="55">
        <v>4.6511627906976744E-2</v>
      </c>
      <c r="AC87" s="51">
        <f>X87*Y86*Z87*AA87*AB87</f>
        <v>171198.66139534884</v>
      </c>
      <c r="AD87" s="65">
        <v>2.16</v>
      </c>
      <c r="AE87" s="66">
        <f>AC87*AD87/1000</f>
        <v>369.78910861395354</v>
      </c>
      <c r="AF87" s="369"/>
      <c r="AG87" s="369"/>
      <c r="AH87" s="372"/>
      <c r="AI87" s="375"/>
      <c r="AJ87" s="372"/>
      <c r="AK87" s="375"/>
      <c r="AL87" s="378"/>
    </row>
    <row r="88" spans="15:38" s="24" customFormat="1" ht="31.5" x14ac:dyDescent="0.25">
      <c r="O88" s="25"/>
      <c r="P88" s="25"/>
      <c r="Q88" s="359"/>
      <c r="R88" s="362"/>
      <c r="S88" s="365"/>
      <c r="T88" s="49" t="s">
        <v>88</v>
      </c>
      <c r="U88" s="54" t="s">
        <v>89</v>
      </c>
      <c r="V88" s="50">
        <v>0</v>
      </c>
      <c r="W88" s="52">
        <v>0</v>
      </c>
      <c r="X88" s="51">
        <v>0</v>
      </c>
      <c r="Y88" s="359"/>
      <c r="Z88" s="56">
        <v>0</v>
      </c>
      <c r="AA88" s="50">
        <v>0</v>
      </c>
      <c r="AB88" s="55">
        <v>0.18181818181818182</v>
      </c>
      <c r="AC88" s="30">
        <v>0</v>
      </c>
      <c r="AD88" s="65">
        <v>0</v>
      </c>
      <c r="AE88" s="66">
        <v>0</v>
      </c>
      <c r="AF88" s="369"/>
      <c r="AG88" s="369"/>
      <c r="AH88" s="372"/>
      <c r="AI88" s="375"/>
      <c r="AJ88" s="372"/>
      <c r="AK88" s="375"/>
      <c r="AL88" s="378"/>
    </row>
    <row r="89" spans="15:38" s="24" customFormat="1" ht="63" x14ac:dyDescent="0.25">
      <c r="O89" s="25"/>
      <c r="P89" s="25"/>
      <c r="Q89" s="360"/>
      <c r="R89" s="363"/>
      <c r="S89" s="366"/>
      <c r="T89" s="57" t="s">
        <v>90</v>
      </c>
      <c r="U89" s="54" t="s">
        <v>89</v>
      </c>
      <c r="V89" s="50">
        <v>0</v>
      </c>
      <c r="W89" s="52">
        <v>0</v>
      </c>
      <c r="X89" s="58"/>
      <c r="Y89" s="360"/>
      <c r="Z89" s="59">
        <v>0</v>
      </c>
      <c r="AA89" s="52">
        <v>0</v>
      </c>
      <c r="AB89" s="55"/>
      <c r="AC89" s="39"/>
      <c r="AD89" s="26"/>
      <c r="AE89" s="40"/>
      <c r="AF89" s="370"/>
      <c r="AG89" s="370"/>
      <c r="AH89" s="373"/>
      <c r="AI89" s="376"/>
      <c r="AJ89" s="373"/>
      <c r="AK89" s="376"/>
      <c r="AL89" s="379"/>
    </row>
    <row r="90" spans="15:38" ht="15.75" x14ac:dyDescent="0.25">
      <c r="Q90" s="60" t="s">
        <v>91</v>
      </c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2"/>
      <c r="AC90" s="38"/>
      <c r="AD90" s="38"/>
      <c r="AE90" s="37">
        <f>SUM(AE86:AE89)</f>
        <v>495.76883230626129</v>
      </c>
      <c r="AF90" s="38"/>
      <c r="AG90" s="38"/>
      <c r="AH90" s="38"/>
      <c r="AI90" s="36">
        <f>AI86</f>
        <v>99256.752000000008</v>
      </c>
      <c r="AJ90" s="32"/>
      <c r="AK90" s="32"/>
      <c r="AL90" s="41"/>
    </row>
    <row r="92" spans="15:38" x14ac:dyDescent="0.25">
      <c r="P92" s="25">
        <v>6</v>
      </c>
      <c r="Q92" s="25" t="s">
        <v>97</v>
      </c>
      <c r="R92" s="25" t="s">
        <v>11</v>
      </c>
    </row>
    <row r="94" spans="15:38" s="24" customFormat="1" ht="15.75" x14ac:dyDescent="0.25">
      <c r="O94" s="25"/>
      <c r="P94" s="25"/>
      <c r="Q94" s="384" t="s">
        <v>62</v>
      </c>
      <c r="R94" s="385"/>
      <c r="S94" s="386"/>
      <c r="T94" s="380" t="s">
        <v>63</v>
      </c>
      <c r="U94" s="382" t="s">
        <v>64</v>
      </c>
      <c r="V94" s="382" t="s">
        <v>65</v>
      </c>
      <c r="W94" s="382" t="s">
        <v>66</v>
      </c>
      <c r="X94" s="354" t="s">
        <v>67</v>
      </c>
      <c r="Y94" s="380" t="s">
        <v>68</v>
      </c>
      <c r="Z94" s="382" t="s">
        <v>69</v>
      </c>
      <c r="AA94" s="382" t="s">
        <v>70</v>
      </c>
      <c r="AB94" s="380" t="s">
        <v>71</v>
      </c>
      <c r="AC94" s="354" t="s">
        <v>72</v>
      </c>
      <c r="AD94" s="380" t="s">
        <v>73</v>
      </c>
      <c r="AE94" s="354" t="s">
        <v>74</v>
      </c>
      <c r="AF94" s="382" t="s">
        <v>75</v>
      </c>
      <c r="AG94" s="382" t="s">
        <v>76</v>
      </c>
      <c r="AH94" s="380" t="s">
        <v>71</v>
      </c>
      <c r="AI94" s="354" t="s">
        <v>77</v>
      </c>
      <c r="AJ94" s="380" t="s">
        <v>78</v>
      </c>
      <c r="AK94" s="354" t="s">
        <v>79</v>
      </c>
      <c r="AL94" s="356" t="s">
        <v>80</v>
      </c>
    </row>
    <row r="95" spans="15:38" s="24" customFormat="1" ht="78.75" x14ac:dyDescent="0.25">
      <c r="O95" s="25"/>
      <c r="P95" s="25"/>
      <c r="Q95" s="34" t="s">
        <v>81</v>
      </c>
      <c r="R95" s="34" t="s">
        <v>82</v>
      </c>
      <c r="S95" s="34" t="s">
        <v>83</v>
      </c>
      <c r="T95" s="381"/>
      <c r="U95" s="383"/>
      <c r="V95" s="383"/>
      <c r="W95" s="383"/>
      <c r="X95" s="355"/>
      <c r="Y95" s="381"/>
      <c r="Z95" s="383"/>
      <c r="AA95" s="383"/>
      <c r="AB95" s="381"/>
      <c r="AC95" s="355"/>
      <c r="AD95" s="381"/>
      <c r="AE95" s="355"/>
      <c r="AF95" s="383"/>
      <c r="AG95" s="383"/>
      <c r="AH95" s="381"/>
      <c r="AI95" s="355"/>
      <c r="AJ95" s="381"/>
      <c r="AK95" s="355"/>
      <c r="AL95" s="357"/>
    </row>
    <row r="96" spans="15:38" s="24" customFormat="1" ht="15.75" x14ac:dyDescent="0.25">
      <c r="O96" s="25"/>
      <c r="P96" s="25"/>
      <c r="Q96" s="42">
        <v>1</v>
      </c>
      <c r="R96" s="43">
        <v>2</v>
      </c>
      <c r="S96" s="43">
        <v>3</v>
      </c>
      <c r="T96" s="44">
        <v>4</v>
      </c>
      <c r="U96" s="45">
        <v>5</v>
      </c>
      <c r="V96" s="46">
        <v>6</v>
      </c>
      <c r="W96" s="46">
        <v>7</v>
      </c>
      <c r="X96" s="47">
        <v>8</v>
      </c>
      <c r="Y96" s="48">
        <v>9</v>
      </c>
      <c r="Z96" s="46">
        <v>10</v>
      </c>
      <c r="AA96" s="46">
        <v>11</v>
      </c>
      <c r="AB96" s="48">
        <v>12</v>
      </c>
      <c r="AC96" s="29">
        <v>13</v>
      </c>
      <c r="AD96" s="31">
        <v>14</v>
      </c>
      <c r="AE96" s="29">
        <v>15</v>
      </c>
      <c r="AF96" s="27">
        <v>16</v>
      </c>
      <c r="AG96" s="27">
        <v>17</v>
      </c>
      <c r="AH96" s="33">
        <v>18</v>
      </c>
      <c r="AI96" s="35">
        <v>19</v>
      </c>
      <c r="AJ96" s="28">
        <v>20</v>
      </c>
      <c r="AK96" s="35">
        <v>21</v>
      </c>
      <c r="AL96" s="35">
        <v>22</v>
      </c>
    </row>
    <row r="97" spans="15:38" s="24" customFormat="1" ht="47.25" x14ac:dyDescent="0.25">
      <c r="O97" s="25"/>
      <c r="P97" s="25"/>
      <c r="Q97" s="358">
        <f>K12</f>
        <v>20.84</v>
      </c>
      <c r="R97" s="361">
        <f>H12</f>
        <v>75</v>
      </c>
      <c r="S97" s="364">
        <v>7</v>
      </c>
      <c r="T97" s="49" t="s">
        <v>84</v>
      </c>
      <c r="U97" s="50" t="s">
        <v>85</v>
      </c>
      <c r="V97" s="63">
        <v>11</v>
      </c>
      <c r="W97" s="52">
        <v>70</v>
      </c>
      <c r="X97" s="51">
        <f>(V97/100)*Q97*R97*S97/W97</f>
        <v>17.193000000000001</v>
      </c>
      <c r="Y97" s="367">
        <v>300</v>
      </c>
      <c r="Z97" s="56">
        <v>7</v>
      </c>
      <c r="AA97" s="64">
        <f>M12</f>
        <v>19.3</v>
      </c>
      <c r="AB97" s="53">
        <v>0.12820512820512822</v>
      </c>
      <c r="AC97" s="51">
        <f>X97*Y97*Z97*AA97*AB97</f>
        <v>89337.473076923096</v>
      </c>
      <c r="AD97" s="65">
        <v>2.16</v>
      </c>
      <c r="AE97" s="66">
        <f>AC97*AD97/1000</f>
        <v>192.96894184615391</v>
      </c>
      <c r="AF97" s="368">
        <f>M12</f>
        <v>19.3</v>
      </c>
      <c r="AG97" s="368" t="s">
        <v>86</v>
      </c>
      <c r="AH97" s="371">
        <v>0.18</v>
      </c>
      <c r="AI97" s="374">
        <f>(Q97*S97*Y97*AF97)*AH97</f>
        <v>152036.136</v>
      </c>
      <c r="AJ97" s="371">
        <v>2.2000000000000002</v>
      </c>
      <c r="AK97" s="374">
        <f>(AI97*AJ97)/1000</f>
        <v>334.47949920000002</v>
      </c>
      <c r="AL97" s="377">
        <f>(AE101)-AK97</f>
        <v>424.9124423484796</v>
      </c>
    </row>
    <row r="98" spans="15:38" s="24" customFormat="1" ht="31.5" x14ac:dyDescent="0.25">
      <c r="O98" s="25"/>
      <c r="P98" s="25"/>
      <c r="Q98" s="359"/>
      <c r="R98" s="362"/>
      <c r="S98" s="365"/>
      <c r="T98" s="49" t="s">
        <v>87</v>
      </c>
      <c r="U98" s="54" t="s">
        <v>85</v>
      </c>
      <c r="V98" s="63">
        <v>89</v>
      </c>
      <c r="W98" s="63">
        <v>70</v>
      </c>
      <c r="X98" s="51">
        <f>(V98/100)*Q97*R97*S97/W98</f>
        <v>139.107</v>
      </c>
      <c r="Y98" s="359"/>
      <c r="Z98" s="59">
        <v>7</v>
      </c>
      <c r="AA98" s="64">
        <f>M12</f>
        <v>19.3</v>
      </c>
      <c r="AB98" s="55">
        <v>4.6511627906976744E-2</v>
      </c>
      <c r="AC98" s="51">
        <f>X98*Y97*Z98*AA98*AB98</f>
        <v>262232.87023255817</v>
      </c>
      <c r="AD98" s="65">
        <v>2.16</v>
      </c>
      <c r="AE98" s="66">
        <f>AC98*AD98/1000</f>
        <v>566.42299970232568</v>
      </c>
      <c r="AF98" s="369"/>
      <c r="AG98" s="369"/>
      <c r="AH98" s="372"/>
      <c r="AI98" s="375"/>
      <c r="AJ98" s="372"/>
      <c r="AK98" s="375"/>
      <c r="AL98" s="378"/>
    </row>
    <row r="99" spans="15:38" s="24" customFormat="1" ht="31.5" x14ac:dyDescent="0.25">
      <c r="O99" s="25"/>
      <c r="P99" s="25"/>
      <c r="Q99" s="359"/>
      <c r="R99" s="362"/>
      <c r="S99" s="365"/>
      <c r="T99" s="49" t="s">
        <v>88</v>
      </c>
      <c r="U99" s="54" t="s">
        <v>89</v>
      </c>
      <c r="V99" s="50">
        <v>0</v>
      </c>
      <c r="W99" s="52">
        <v>0</v>
      </c>
      <c r="X99" s="51">
        <v>0</v>
      </c>
      <c r="Y99" s="359"/>
      <c r="Z99" s="56">
        <v>0</v>
      </c>
      <c r="AA99" s="50">
        <v>0</v>
      </c>
      <c r="AB99" s="55">
        <v>0.18181818181818182</v>
      </c>
      <c r="AC99" s="30">
        <v>0</v>
      </c>
      <c r="AD99" s="65">
        <v>0</v>
      </c>
      <c r="AE99" s="66">
        <v>0</v>
      </c>
      <c r="AF99" s="369"/>
      <c r="AG99" s="369"/>
      <c r="AH99" s="372"/>
      <c r="AI99" s="375"/>
      <c r="AJ99" s="372"/>
      <c r="AK99" s="375"/>
      <c r="AL99" s="378"/>
    </row>
    <row r="100" spans="15:38" s="24" customFormat="1" ht="63" x14ac:dyDescent="0.25">
      <c r="O100" s="25"/>
      <c r="P100" s="25"/>
      <c r="Q100" s="360"/>
      <c r="R100" s="363"/>
      <c r="S100" s="366"/>
      <c r="T100" s="57" t="s">
        <v>90</v>
      </c>
      <c r="U100" s="54" t="s">
        <v>89</v>
      </c>
      <c r="V100" s="50">
        <v>0</v>
      </c>
      <c r="W100" s="52">
        <v>0</v>
      </c>
      <c r="X100" s="58"/>
      <c r="Y100" s="360"/>
      <c r="Z100" s="59">
        <v>0</v>
      </c>
      <c r="AA100" s="52">
        <v>0</v>
      </c>
      <c r="AB100" s="55"/>
      <c r="AC100" s="39"/>
      <c r="AD100" s="26"/>
      <c r="AE100" s="40"/>
      <c r="AF100" s="370"/>
      <c r="AG100" s="370"/>
      <c r="AH100" s="373"/>
      <c r="AI100" s="376"/>
      <c r="AJ100" s="373"/>
      <c r="AK100" s="376"/>
      <c r="AL100" s="379"/>
    </row>
    <row r="101" spans="15:38" s="24" customFormat="1" ht="15.75" x14ac:dyDescent="0.25">
      <c r="O101" s="25"/>
      <c r="P101" s="25"/>
      <c r="Q101" s="60" t="s">
        <v>91</v>
      </c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2"/>
      <c r="AC101" s="38"/>
      <c r="AD101" s="38"/>
      <c r="AE101" s="37">
        <f>SUM(AE97:AE100)</f>
        <v>759.39194154847962</v>
      </c>
      <c r="AF101" s="38"/>
      <c r="AG101" s="38"/>
      <c r="AH101" s="38"/>
      <c r="AI101" s="36">
        <f>AI97</f>
        <v>152036.136</v>
      </c>
      <c r="AJ101" s="32"/>
      <c r="AK101" s="32"/>
      <c r="AL101" s="41"/>
    </row>
    <row r="102" spans="15:38" s="24" customFormat="1" x14ac:dyDescent="0.25">
      <c r="O102" s="25"/>
      <c r="P102" s="25"/>
    </row>
    <row r="103" spans="15:38" s="24" customFormat="1" x14ac:dyDescent="0.25">
      <c r="O103" s="25">
        <v>4</v>
      </c>
      <c r="P103" s="25" t="s">
        <v>95</v>
      </c>
      <c r="Q103" s="25" t="s">
        <v>12</v>
      </c>
      <c r="R103" s="25"/>
    </row>
    <row r="104" spans="15:38" s="24" customFormat="1" x14ac:dyDescent="0.25">
      <c r="O104" s="25"/>
      <c r="P104" s="25">
        <v>7</v>
      </c>
      <c r="Q104" s="25" t="s">
        <v>97</v>
      </c>
      <c r="R104" s="25" t="s">
        <v>13</v>
      </c>
    </row>
    <row r="105" spans="15:38" s="24" customFormat="1" x14ac:dyDescent="0.25">
      <c r="O105" s="25"/>
      <c r="P105" s="25"/>
    </row>
    <row r="106" spans="15:38" s="24" customFormat="1" ht="15.75" x14ac:dyDescent="0.25">
      <c r="O106" s="25"/>
      <c r="P106" s="25"/>
      <c r="Q106" s="384" t="s">
        <v>62</v>
      </c>
      <c r="R106" s="385"/>
      <c r="S106" s="386"/>
      <c r="T106" s="380" t="s">
        <v>63</v>
      </c>
      <c r="U106" s="382" t="s">
        <v>64</v>
      </c>
      <c r="V106" s="382" t="s">
        <v>65</v>
      </c>
      <c r="W106" s="382" t="s">
        <v>66</v>
      </c>
      <c r="X106" s="354" t="s">
        <v>67</v>
      </c>
      <c r="Y106" s="380" t="s">
        <v>68</v>
      </c>
      <c r="Z106" s="382" t="s">
        <v>69</v>
      </c>
      <c r="AA106" s="382" t="s">
        <v>70</v>
      </c>
      <c r="AB106" s="380" t="s">
        <v>71</v>
      </c>
      <c r="AC106" s="354" t="s">
        <v>72</v>
      </c>
      <c r="AD106" s="380" t="s">
        <v>73</v>
      </c>
      <c r="AE106" s="354" t="s">
        <v>74</v>
      </c>
      <c r="AF106" s="382" t="s">
        <v>75</v>
      </c>
      <c r="AG106" s="382" t="s">
        <v>76</v>
      </c>
      <c r="AH106" s="380" t="s">
        <v>71</v>
      </c>
      <c r="AI106" s="354" t="s">
        <v>77</v>
      </c>
      <c r="AJ106" s="380" t="s">
        <v>78</v>
      </c>
      <c r="AK106" s="354" t="s">
        <v>79</v>
      </c>
      <c r="AL106" s="356" t="s">
        <v>80</v>
      </c>
    </row>
    <row r="107" spans="15:38" s="24" customFormat="1" ht="78.75" x14ac:dyDescent="0.25">
      <c r="O107" s="25"/>
      <c r="P107" s="25"/>
      <c r="Q107" s="34" t="s">
        <v>81</v>
      </c>
      <c r="R107" s="34" t="s">
        <v>82</v>
      </c>
      <c r="S107" s="34" t="s">
        <v>83</v>
      </c>
      <c r="T107" s="381"/>
      <c r="U107" s="383"/>
      <c r="V107" s="383"/>
      <c r="W107" s="383"/>
      <c r="X107" s="355"/>
      <c r="Y107" s="381"/>
      <c r="Z107" s="383"/>
      <c r="AA107" s="383"/>
      <c r="AB107" s="381"/>
      <c r="AC107" s="355"/>
      <c r="AD107" s="381"/>
      <c r="AE107" s="355"/>
      <c r="AF107" s="383"/>
      <c r="AG107" s="383"/>
      <c r="AH107" s="381"/>
      <c r="AI107" s="355"/>
      <c r="AJ107" s="381"/>
      <c r="AK107" s="355"/>
      <c r="AL107" s="357"/>
    </row>
    <row r="108" spans="15:38" ht="15.75" x14ac:dyDescent="0.25">
      <c r="Q108" s="42">
        <v>1</v>
      </c>
      <c r="R108" s="43">
        <v>2</v>
      </c>
      <c r="S108" s="43">
        <v>3</v>
      </c>
      <c r="T108" s="44">
        <v>4</v>
      </c>
      <c r="U108" s="45">
        <v>5</v>
      </c>
      <c r="V108" s="46">
        <v>6</v>
      </c>
      <c r="W108" s="46">
        <v>7</v>
      </c>
      <c r="X108" s="47">
        <v>8</v>
      </c>
      <c r="Y108" s="48">
        <v>9</v>
      </c>
      <c r="Z108" s="46">
        <v>10</v>
      </c>
      <c r="AA108" s="46">
        <v>11</v>
      </c>
      <c r="AB108" s="48">
        <v>12</v>
      </c>
      <c r="AC108" s="29">
        <v>13</v>
      </c>
      <c r="AD108" s="31">
        <v>14</v>
      </c>
      <c r="AE108" s="29">
        <v>15</v>
      </c>
      <c r="AF108" s="27">
        <v>16</v>
      </c>
      <c r="AG108" s="27">
        <v>17</v>
      </c>
      <c r="AH108" s="33">
        <v>18</v>
      </c>
      <c r="AI108" s="35">
        <v>19</v>
      </c>
      <c r="AJ108" s="28">
        <v>20</v>
      </c>
      <c r="AK108" s="35">
        <v>21</v>
      </c>
      <c r="AL108" s="35">
        <v>22</v>
      </c>
    </row>
    <row r="109" spans="15:38" s="24" customFormat="1" ht="47.25" x14ac:dyDescent="0.25">
      <c r="O109" s="25"/>
      <c r="P109" s="25"/>
      <c r="Q109" s="358">
        <f>K13</f>
        <v>82.233333333333334</v>
      </c>
      <c r="R109" s="361">
        <f>H13</f>
        <v>75</v>
      </c>
      <c r="S109" s="364">
        <v>7</v>
      </c>
      <c r="T109" s="49" t="s">
        <v>84</v>
      </c>
      <c r="U109" s="50" t="s">
        <v>85</v>
      </c>
      <c r="V109" s="63">
        <v>11</v>
      </c>
      <c r="W109" s="52">
        <v>70</v>
      </c>
      <c r="X109" s="51">
        <f>(V109/100)*Q109*R109*S109/W109</f>
        <v>67.842500000000001</v>
      </c>
      <c r="Y109" s="367">
        <v>300</v>
      </c>
      <c r="Z109" s="56">
        <v>7</v>
      </c>
      <c r="AA109" s="64">
        <f>M13</f>
        <v>37.700000000000003</v>
      </c>
      <c r="AB109" s="53">
        <v>0.12820512820512822</v>
      </c>
      <c r="AC109" s="51">
        <f>X109*Y109*Z109*AA109*AB109</f>
        <v>688601.37500000012</v>
      </c>
      <c r="AD109" s="65">
        <v>2.16</v>
      </c>
      <c r="AE109" s="66">
        <f>AC109*AD109/1000</f>
        <v>1487.3789700000004</v>
      </c>
      <c r="AF109" s="368">
        <f>M13</f>
        <v>37.700000000000003</v>
      </c>
      <c r="AG109" s="368" t="s">
        <v>86</v>
      </c>
      <c r="AH109" s="371">
        <v>0.18</v>
      </c>
      <c r="AI109" s="374">
        <f>(Q109*S109*Y109*AF109)*AH109</f>
        <v>1171874.3400000001</v>
      </c>
      <c r="AJ109" s="371">
        <v>2.2000000000000002</v>
      </c>
      <c r="AK109" s="374">
        <f>(AI109*AJ109)/1000</f>
        <v>2578.1235480000005</v>
      </c>
      <c r="AL109" s="377">
        <f>(AE113)-AK109</f>
        <v>3275.1686607906995</v>
      </c>
    </row>
    <row r="110" spans="15:38" s="24" customFormat="1" ht="31.5" x14ac:dyDescent="0.25">
      <c r="O110" s="25"/>
      <c r="P110" s="25"/>
      <c r="Q110" s="359"/>
      <c r="R110" s="362"/>
      <c r="S110" s="365"/>
      <c r="T110" s="49" t="s">
        <v>87</v>
      </c>
      <c r="U110" s="54" t="s">
        <v>85</v>
      </c>
      <c r="V110" s="63">
        <v>89</v>
      </c>
      <c r="W110" s="63">
        <v>70</v>
      </c>
      <c r="X110" s="51">
        <f>(V110/100)*Q109*R109*S109/W110</f>
        <v>548.90750000000014</v>
      </c>
      <c r="Y110" s="359"/>
      <c r="Z110" s="59">
        <v>7</v>
      </c>
      <c r="AA110" s="64">
        <f>M13</f>
        <v>37.700000000000003</v>
      </c>
      <c r="AB110" s="55">
        <v>4.6511627906976744E-2</v>
      </c>
      <c r="AC110" s="51">
        <f>X110*Y109*Z110*AA110*AB110</f>
        <v>2021256.1290697681</v>
      </c>
      <c r="AD110" s="65">
        <v>2.16</v>
      </c>
      <c r="AE110" s="66">
        <f>AC110*AD110/1000</f>
        <v>4365.9132387906993</v>
      </c>
      <c r="AF110" s="369"/>
      <c r="AG110" s="369"/>
      <c r="AH110" s="372"/>
      <c r="AI110" s="375"/>
      <c r="AJ110" s="372"/>
      <c r="AK110" s="375"/>
      <c r="AL110" s="378"/>
    </row>
    <row r="111" spans="15:38" s="24" customFormat="1" ht="31.5" x14ac:dyDescent="0.25">
      <c r="O111" s="25"/>
      <c r="P111" s="25"/>
      <c r="Q111" s="359"/>
      <c r="R111" s="362"/>
      <c r="S111" s="365"/>
      <c r="T111" s="49" t="s">
        <v>88</v>
      </c>
      <c r="U111" s="54" t="s">
        <v>89</v>
      </c>
      <c r="V111" s="50">
        <v>0</v>
      </c>
      <c r="W111" s="52">
        <v>0</v>
      </c>
      <c r="X111" s="51">
        <v>0</v>
      </c>
      <c r="Y111" s="359"/>
      <c r="Z111" s="56">
        <v>0</v>
      </c>
      <c r="AA111" s="50">
        <v>0</v>
      </c>
      <c r="AB111" s="55">
        <v>0.18181818181818182</v>
      </c>
      <c r="AC111" s="30">
        <v>0</v>
      </c>
      <c r="AD111" s="65">
        <v>0</v>
      </c>
      <c r="AE111" s="66">
        <v>0</v>
      </c>
      <c r="AF111" s="369"/>
      <c r="AG111" s="369"/>
      <c r="AH111" s="372"/>
      <c r="AI111" s="375"/>
      <c r="AJ111" s="372"/>
      <c r="AK111" s="375"/>
      <c r="AL111" s="378"/>
    </row>
    <row r="112" spans="15:38" s="24" customFormat="1" ht="63" x14ac:dyDescent="0.25">
      <c r="O112" s="25"/>
      <c r="P112" s="25"/>
      <c r="Q112" s="360"/>
      <c r="R112" s="363"/>
      <c r="S112" s="366"/>
      <c r="T112" s="57" t="s">
        <v>90</v>
      </c>
      <c r="U112" s="54" t="s">
        <v>89</v>
      </c>
      <c r="V112" s="50">
        <v>0</v>
      </c>
      <c r="W112" s="52">
        <v>0</v>
      </c>
      <c r="X112" s="58"/>
      <c r="Y112" s="360"/>
      <c r="Z112" s="59">
        <v>0</v>
      </c>
      <c r="AA112" s="52">
        <v>0</v>
      </c>
      <c r="AB112" s="55"/>
      <c r="AC112" s="39"/>
      <c r="AD112" s="26"/>
      <c r="AE112" s="40"/>
      <c r="AF112" s="370"/>
      <c r="AG112" s="370"/>
      <c r="AH112" s="373"/>
      <c r="AI112" s="376"/>
      <c r="AJ112" s="373"/>
      <c r="AK112" s="376"/>
      <c r="AL112" s="379"/>
    </row>
    <row r="113" spans="15:38" s="24" customFormat="1" ht="15.75" x14ac:dyDescent="0.25">
      <c r="O113" s="25"/>
      <c r="P113" s="25"/>
      <c r="Q113" s="60" t="s">
        <v>91</v>
      </c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2"/>
      <c r="AC113" s="38"/>
      <c r="AD113" s="38"/>
      <c r="AE113" s="37">
        <f>SUM(AE109:AE112)</f>
        <v>5853.2922087907</v>
      </c>
      <c r="AF113" s="38"/>
      <c r="AG113" s="38"/>
      <c r="AH113" s="38"/>
      <c r="AI113" s="36">
        <f>AI109</f>
        <v>1171874.3400000001</v>
      </c>
      <c r="AJ113" s="32"/>
      <c r="AK113" s="32"/>
      <c r="AL113" s="41"/>
    </row>
    <row r="115" spans="15:38" x14ac:dyDescent="0.25">
      <c r="P115" s="25">
        <v>8</v>
      </c>
      <c r="Q115" s="25" t="s">
        <v>97</v>
      </c>
      <c r="R115" s="25" t="s">
        <v>14</v>
      </c>
    </row>
    <row r="117" spans="15:38" ht="15.75" x14ac:dyDescent="0.25">
      <c r="Q117" s="384" t="s">
        <v>62</v>
      </c>
      <c r="R117" s="385"/>
      <c r="S117" s="386"/>
      <c r="T117" s="380" t="s">
        <v>63</v>
      </c>
      <c r="U117" s="382" t="s">
        <v>64</v>
      </c>
      <c r="V117" s="382" t="s">
        <v>65</v>
      </c>
      <c r="W117" s="382" t="s">
        <v>66</v>
      </c>
      <c r="X117" s="354" t="s">
        <v>67</v>
      </c>
      <c r="Y117" s="380" t="s">
        <v>68</v>
      </c>
      <c r="Z117" s="382" t="s">
        <v>69</v>
      </c>
      <c r="AA117" s="382" t="s">
        <v>70</v>
      </c>
      <c r="AB117" s="380" t="s">
        <v>71</v>
      </c>
      <c r="AC117" s="354" t="s">
        <v>72</v>
      </c>
      <c r="AD117" s="380" t="s">
        <v>73</v>
      </c>
      <c r="AE117" s="354" t="s">
        <v>74</v>
      </c>
      <c r="AF117" s="382" t="s">
        <v>75</v>
      </c>
      <c r="AG117" s="382" t="s">
        <v>76</v>
      </c>
      <c r="AH117" s="380" t="s">
        <v>71</v>
      </c>
      <c r="AI117" s="354" t="s">
        <v>77</v>
      </c>
      <c r="AJ117" s="380" t="s">
        <v>78</v>
      </c>
      <c r="AK117" s="354" t="s">
        <v>79</v>
      </c>
      <c r="AL117" s="356" t="s">
        <v>80</v>
      </c>
    </row>
    <row r="118" spans="15:38" ht="78.75" x14ac:dyDescent="0.25">
      <c r="Q118" s="34" t="s">
        <v>81</v>
      </c>
      <c r="R118" s="34" t="s">
        <v>82</v>
      </c>
      <c r="S118" s="34" t="s">
        <v>83</v>
      </c>
      <c r="T118" s="381"/>
      <c r="U118" s="383"/>
      <c r="V118" s="383"/>
      <c r="W118" s="383"/>
      <c r="X118" s="355"/>
      <c r="Y118" s="381"/>
      <c r="Z118" s="383"/>
      <c r="AA118" s="383"/>
      <c r="AB118" s="381"/>
      <c r="AC118" s="355"/>
      <c r="AD118" s="381"/>
      <c r="AE118" s="355"/>
      <c r="AF118" s="383"/>
      <c r="AG118" s="383"/>
      <c r="AH118" s="381"/>
      <c r="AI118" s="355"/>
      <c r="AJ118" s="381"/>
      <c r="AK118" s="355"/>
      <c r="AL118" s="357"/>
    </row>
    <row r="119" spans="15:38" ht="15.75" x14ac:dyDescent="0.25">
      <c r="Q119" s="42">
        <v>1</v>
      </c>
      <c r="R119" s="43">
        <v>2</v>
      </c>
      <c r="S119" s="43">
        <v>3</v>
      </c>
      <c r="T119" s="44">
        <v>4</v>
      </c>
      <c r="U119" s="45">
        <v>5</v>
      </c>
      <c r="V119" s="46">
        <v>6</v>
      </c>
      <c r="W119" s="46">
        <v>7</v>
      </c>
      <c r="X119" s="47">
        <v>8</v>
      </c>
      <c r="Y119" s="48">
        <v>9</v>
      </c>
      <c r="Z119" s="46">
        <v>10</v>
      </c>
      <c r="AA119" s="46">
        <v>11</v>
      </c>
      <c r="AB119" s="48">
        <v>12</v>
      </c>
      <c r="AC119" s="29">
        <v>13</v>
      </c>
      <c r="AD119" s="31">
        <v>14</v>
      </c>
      <c r="AE119" s="29">
        <v>15</v>
      </c>
      <c r="AF119" s="27">
        <v>16</v>
      </c>
      <c r="AG119" s="27">
        <v>17</v>
      </c>
      <c r="AH119" s="33">
        <v>18</v>
      </c>
      <c r="AI119" s="35">
        <v>19</v>
      </c>
      <c r="AJ119" s="28">
        <v>20</v>
      </c>
      <c r="AK119" s="35">
        <v>21</v>
      </c>
      <c r="AL119" s="35">
        <v>22</v>
      </c>
    </row>
    <row r="120" spans="15:38" ht="47.25" x14ac:dyDescent="0.25">
      <c r="Q120" s="358">
        <f>K14</f>
        <v>49.06</v>
      </c>
      <c r="R120" s="361">
        <f>H14</f>
        <v>75</v>
      </c>
      <c r="S120" s="364">
        <v>7</v>
      </c>
      <c r="T120" s="49" t="s">
        <v>84</v>
      </c>
      <c r="U120" s="50" t="s">
        <v>85</v>
      </c>
      <c r="V120" s="63">
        <v>11</v>
      </c>
      <c r="W120" s="52">
        <v>70</v>
      </c>
      <c r="X120" s="51">
        <f>(V120/100)*Q120*R120*S120/W120</f>
        <v>40.474499999999999</v>
      </c>
      <c r="Y120" s="367">
        <v>300</v>
      </c>
      <c r="Z120" s="56">
        <v>7</v>
      </c>
      <c r="AA120" s="64">
        <f>M14</f>
        <v>13.6</v>
      </c>
      <c r="AB120" s="53">
        <v>0.12820512820512822</v>
      </c>
      <c r="AC120" s="51">
        <f>X120*Y120*Z120*AA120*AB120</f>
        <v>148198.93846153846</v>
      </c>
      <c r="AD120" s="65">
        <v>2.16</v>
      </c>
      <c r="AE120" s="66">
        <f>AC120*AD120/1000</f>
        <v>320.10970707692309</v>
      </c>
      <c r="AF120" s="368">
        <f>M14</f>
        <v>13.6</v>
      </c>
      <c r="AG120" s="368" t="s">
        <v>86</v>
      </c>
      <c r="AH120" s="371">
        <v>0.18</v>
      </c>
      <c r="AI120" s="374">
        <f>(Q120*S120*Y120*AF120)*AH120</f>
        <v>252207.64799999996</v>
      </c>
      <c r="AJ120" s="371">
        <v>2.2000000000000002</v>
      </c>
      <c r="AK120" s="374">
        <f>(AI120*AJ120)/1000</f>
        <v>554.85682559999998</v>
      </c>
      <c r="AL120" s="377">
        <f>(AE124)-AK120</f>
        <v>704.87300263041163</v>
      </c>
    </row>
    <row r="121" spans="15:38" ht="31.5" x14ac:dyDescent="0.25">
      <c r="Q121" s="359"/>
      <c r="R121" s="362"/>
      <c r="S121" s="365"/>
      <c r="T121" s="49" t="s">
        <v>87</v>
      </c>
      <c r="U121" s="54" t="s">
        <v>85</v>
      </c>
      <c r="V121" s="63">
        <v>89</v>
      </c>
      <c r="W121" s="63">
        <v>70</v>
      </c>
      <c r="X121" s="51">
        <f>(V121/100)*Q120*R120*S120/W121</f>
        <v>327.47550000000001</v>
      </c>
      <c r="Y121" s="359"/>
      <c r="Z121" s="59">
        <v>7</v>
      </c>
      <c r="AA121" s="64">
        <f>M14</f>
        <v>13.6</v>
      </c>
      <c r="AB121" s="55">
        <v>4.6511627906976744E-2</v>
      </c>
      <c r="AC121" s="51">
        <f>X121*Y120*Z121*AA121*AB121</f>
        <v>435009.31534883723</v>
      </c>
      <c r="AD121" s="65">
        <v>2.16</v>
      </c>
      <c r="AE121" s="66">
        <f>AC121*AD121/1000</f>
        <v>939.62012115348853</v>
      </c>
      <c r="AF121" s="369"/>
      <c r="AG121" s="369"/>
      <c r="AH121" s="372"/>
      <c r="AI121" s="375"/>
      <c r="AJ121" s="372"/>
      <c r="AK121" s="375"/>
      <c r="AL121" s="378"/>
    </row>
    <row r="122" spans="15:38" s="24" customFormat="1" ht="31.5" x14ac:dyDescent="0.25">
      <c r="O122" s="25"/>
      <c r="P122" s="25"/>
      <c r="Q122" s="359"/>
      <c r="R122" s="362"/>
      <c r="S122" s="365"/>
      <c r="T122" s="49" t="s">
        <v>88</v>
      </c>
      <c r="U122" s="54" t="s">
        <v>89</v>
      </c>
      <c r="V122" s="50">
        <v>0</v>
      </c>
      <c r="W122" s="52">
        <v>0</v>
      </c>
      <c r="X122" s="51">
        <v>0</v>
      </c>
      <c r="Y122" s="359"/>
      <c r="Z122" s="56">
        <v>0</v>
      </c>
      <c r="AA122" s="50">
        <v>0</v>
      </c>
      <c r="AB122" s="55">
        <v>0.18181818181818182</v>
      </c>
      <c r="AC122" s="30">
        <v>0</v>
      </c>
      <c r="AD122" s="65">
        <v>0</v>
      </c>
      <c r="AE122" s="66">
        <v>0</v>
      </c>
      <c r="AF122" s="369"/>
      <c r="AG122" s="369"/>
      <c r="AH122" s="372"/>
      <c r="AI122" s="375"/>
      <c r="AJ122" s="372"/>
      <c r="AK122" s="375"/>
      <c r="AL122" s="378"/>
    </row>
    <row r="123" spans="15:38" s="24" customFormat="1" ht="63" x14ac:dyDescent="0.25">
      <c r="O123" s="25"/>
      <c r="P123" s="25"/>
      <c r="Q123" s="360"/>
      <c r="R123" s="363"/>
      <c r="S123" s="366"/>
      <c r="T123" s="57" t="s">
        <v>90</v>
      </c>
      <c r="U123" s="54" t="s">
        <v>89</v>
      </c>
      <c r="V123" s="50">
        <v>0</v>
      </c>
      <c r="W123" s="52">
        <v>0</v>
      </c>
      <c r="X123" s="58"/>
      <c r="Y123" s="360"/>
      <c r="Z123" s="59">
        <v>0</v>
      </c>
      <c r="AA123" s="52">
        <v>0</v>
      </c>
      <c r="AB123" s="55"/>
      <c r="AC123" s="39"/>
      <c r="AD123" s="26"/>
      <c r="AE123" s="40"/>
      <c r="AF123" s="370"/>
      <c r="AG123" s="370"/>
      <c r="AH123" s="373"/>
      <c r="AI123" s="376"/>
      <c r="AJ123" s="373"/>
      <c r="AK123" s="376"/>
      <c r="AL123" s="379"/>
    </row>
    <row r="124" spans="15:38" s="24" customFormat="1" ht="15.75" x14ac:dyDescent="0.25">
      <c r="O124" s="25"/>
      <c r="P124" s="25"/>
      <c r="Q124" s="60" t="s">
        <v>91</v>
      </c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2"/>
      <c r="AC124" s="38"/>
      <c r="AD124" s="38"/>
      <c r="AE124" s="37">
        <f>SUM(AE120:AE123)</f>
        <v>1259.7298282304116</v>
      </c>
      <c r="AF124" s="38"/>
      <c r="AG124" s="38"/>
      <c r="AH124" s="38"/>
      <c r="AI124" s="36">
        <f>AI120</f>
        <v>252207.64799999996</v>
      </c>
      <c r="AJ124" s="32"/>
      <c r="AK124" s="32"/>
      <c r="AL124" s="41"/>
    </row>
    <row r="126" spans="15:38" x14ac:dyDescent="0.25">
      <c r="O126" s="25">
        <v>5</v>
      </c>
      <c r="P126" s="25" t="s">
        <v>95</v>
      </c>
      <c r="Q126" s="25" t="s">
        <v>15</v>
      </c>
      <c r="R126" s="25"/>
    </row>
    <row r="127" spans="15:38" x14ac:dyDescent="0.25">
      <c r="P127" s="25">
        <v>9</v>
      </c>
      <c r="Q127" s="25" t="s">
        <v>97</v>
      </c>
      <c r="R127" s="25" t="s">
        <v>16</v>
      </c>
    </row>
    <row r="129" spans="15:38" s="24" customFormat="1" ht="15.75" x14ac:dyDescent="0.25">
      <c r="O129" s="25"/>
      <c r="P129" s="25"/>
      <c r="Q129" s="384" t="s">
        <v>62</v>
      </c>
      <c r="R129" s="385"/>
      <c r="S129" s="386"/>
      <c r="T129" s="380" t="s">
        <v>63</v>
      </c>
      <c r="U129" s="382" t="s">
        <v>64</v>
      </c>
      <c r="V129" s="382" t="s">
        <v>65</v>
      </c>
      <c r="W129" s="382" t="s">
        <v>66</v>
      </c>
      <c r="X129" s="354" t="s">
        <v>67</v>
      </c>
      <c r="Y129" s="380" t="s">
        <v>68</v>
      </c>
      <c r="Z129" s="382" t="s">
        <v>69</v>
      </c>
      <c r="AA129" s="382" t="s">
        <v>70</v>
      </c>
      <c r="AB129" s="380" t="s">
        <v>71</v>
      </c>
      <c r="AC129" s="354" t="s">
        <v>72</v>
      </c>
      <c r="AD129" s="380" t="s">
        <v>73</v>
      </c>
      <c r="AE129" s="354" t="s">
        <v>74</v>
      </c>
      <c r="AF129" s="382" t="s">
        <v>75</v>
      </c>
      <c r="AG129" s="382" t="s">
        <v>76</v>
      </c>
      <c r="AH129" s="380" t="s">
        <v>71</v>
      </c>
      <c r="AI129" s="354" t="s">
        <v>77</v>
      </c>
      <c r="AJ129" s="380" t="s">
        <v>78</v>
      </c>
      <c r="AK129" s="354" t="s">
        <v>79</v>
      </c>
      <c r="AL129" s="356" t="s">
        <v>80</v>
      </c>
    </row>
    <row r="130" spans="15:38" s="24" customFormat="1" ht="102" customHeight="1" x14ac:dyDescent="0.25">
      <c r="O130" s="25"/>
      <c r="P130" s="25"/>
      <c r="Q130" s="34" t="s">
        <v>81</v>
      </c>
      <c r="R130" s="34" t="s">
        <v>82</v>
      </c>
      <c r="S130" s="34" t="s">
        <v>83</v>
      </c>
      <c r="T130" s="381"/>
      <c r="U130" s="383"/>
      <c r="V130" s="383"/>
      <c r="W130" s="383"/>
      <c r="X130" s="355"/>
      <c r="Y130" s="381"/>
      <c r="Z130" s="383"/>
      <c r="AA130" s="383"/>
      <c r="AB130" s="381"/>
      <c r="AC130" s="355"/>
      <c r="AD130" s="381"/>
      <c r="AE130" s="355"/>
      <c r="AF130" s="383"/>
      <c r="AG130" s="383"/>
      <c r="AH130" s="381"/>
      <c r="AI130" s="355"/>
      <c r="AJ130" s="381"/>
      <c r="AK130" s="355"/>
      <c r="AL130" s="357"/>
    </row>
    <row r="131" spans="15:38" ht="15.75" x14ac:dyDescent="0.25">
      <c r="Q131" s="42">
        <v>1</v>
      </c>
      <c r="R131" s="43">
        <v>2</v>
      </c>
      <c r="S131" s="43">
        <v>3</v>
      </c>
      <c r="T131" s="44">
        <v>4</v>
      </c>
      <c r="U131" s="45">
        <v>5</v>
      </c>
      <c r="V131" s="46">
        <v>6</v>
      </c>
      <c r="W131" s="46">
        <v>7</v>
      </c>
      <c r="X131" s="47">
        <v>8</v>
      </c>
      <c r="Y131" s="48">
        <v>9</v>
      </c>
      <c r="Z131" s="46">
        <v>10</v>
      </c>
      <c r="AA131" s="46">
        <v>11</v>
      </c>
      <c r="AB131" s="48">
        <v>12</v>
      </c>
      <c r="AC131" s="29">
        <v>13</v>
      </c>
      <c r="AD131" s="31">
        <v>14</v>
      </c>
      <c r="AE131" s="29">
        <v>15</v>
      </c>
      <c r="AF131" s="27">
        <v>16</v>
      </c>
      <c r="AG131" s="27">
        <v>17</v>
      </c>
      <c r="AH131" s="33">
        <v>18</v>
      </c>
      <c r="AI131" s="35">
        <v>19</v>
      </c>
      <c r="AJ131" s="28">
        <v>20</v>
      </c>
      <c r="AK131" s="35">
        <v>21</v>
      </c>
      <c r="AL131" s="35">
        <v>22</v>
      </c>
    </row>
    <row r="132" spans="15:38" ht="47.25" x14ac:dyDescent="0.25">
      <c r="Q132" s="358">
        <f>K15</f>
        <v>107.24</v>
      </c>
      <c r="R132" s="361">
        <f>H15</f>
        <v>75</v>
      </c>
      <c r="S132" s="364">
        <v>7</v>
      </c>
      <c r="T132" s="49" t="s">
        <v>84</v>
      </c>
      <c r="U132" s="50" t="s">
        <v>85</v>
      </c>
      <c r="V132" s="63">
        <v>11</v>
      </c>
      <c r="W132" s="52">
        <v>70</v>
      </c>
      <c r="X132" s="51">
        <f>(V132/100)*Q132*R132*S132/W132</f>
        <v>88.473000000000013</v>
      </c>
      <c r="Y132" s="367">
        <v>300</v>
      </c>
      <c r="Z132" s="56">
        <v>7</v>
      </c>
      <c r="AA132" s="64">
        <f>M15</f>
        <v>29.2</v>
      </c>
      <c r="AB132" s="53">
        <v>0.12820512820512822</v>
      </c>
      <c r="AC132" s="51">
        <f>X132*Y132*Z132*AA132*AB132</f>
        <v>695533.89230769256</v>
      </c>
      <c r="AD132" s="65">
        <v>2.16</v>
      </c>
      <c r="AE132" s="66">
        <f>AC132*AD132/1000</f>
        <v>1502.3532073846161</v>
      </c>
      <c r="AF132" s="368">
        <f>M15</f>
        <v>29.2</v>
      </c>
      <c r="AG132" s="368" t="s">
        <v>86</v>
      </c>
      <c r="AH132" s="371">
        <v>0.18</v>
      </c>
      <c r="AI132" s="374">
        <f>(Q132*S132*Y132*AF132)*AH132</f>
        <v>1183672.2239999997</v>
      </c>
      <c r="AJ132" s="371">
        <v>2.2000000000000002</v>
      </c>
      <c r="AK132" s="374">
        <f>(AI132*AJ132)/1000</f>
        <v>2604.0788927999997</v>
      </c>
      <c r="AL132" s="377">
        <f>(AE136)-AK132</f>
        <v>3308.1415305101987</v>
      </c>
    </row>
    <row r="133" spans="15:38" ht="31.5" x14ac:dyDescent="0.25">
      <c r="Q133" s="359"/>
      <c r="R133" s="362"/>
      <c r="S133" s="365"/>
      <c r="T133" s="49" t="s">
        <v>87</v>
      </c>
      <c r="U133" s="54" t="s">
        <v>85</v>
      </c>
      <c r="V133" s="63">
        <v>89</v>
      </c>
      <c r="W133" s="63">
        <v>70</v>
      </c>
      <c r="X133" s="51">
        <f>(V133/100)*Q132*R132*S132/W133</f>
        <v>715.827</v>
      </c>
      <c r="Y133" s="359"/>
      <c r="Z133" s="59">
        <v>7</v>
      </c>
      <c r="AA133" s="64">
        <f>M15</f>
        <v>29.2</v>
      </c>
      <c r="AB133" s="55">
        <v>4.6511627906976744E-2</v>
      </c>
      <c r="AC133" s="51">
        <f>X133*Y132*Z133*AA133*AB133</f>
        <v>2041605.1925581396</v>
      </c>
      <c r="AD133" s="65">
        <v>2.16</v>
      </c>
      <c r="AE133" s="66">
        <f>AC133*AD133/1000</f>
        <v>4409.8672159255821</v>
      </c>
      <c r="AF133" s="369"/>
      <c r="AG133" s="369"/>
      <c r="AH133" s="372"/>
      <c r="AI133" s="375"/>
      <c r="AJ133" s="372"/>
      <c r="AK133" s="375"/>
      <c r="AL133" s="378"/>
    </row>
    <row r="134" spans="15:38" ht="31.5" x14ac:dyDescent="0.25">
      <c r="Q134" s="359"/>
      <c r="R134" s="362"/>
      <c r="S134" s="365"/>
      <c r="T134" s="49" t="s">
        <v>88</v>
      </c>
      <c r="U134" s="54" t="s">
        <v>89</v>
      </c>
      <c r="V134" s="50">
        <v>0</v>
      </c>
      <c r="W134" s="52">
        <v>0</v>
      </c>
      <c r="X134" s="51">
        <v>0</v>
      </c>
      <c r="Y134" s="359"/>
      <c r="Z134" s="56">
        <v>0</v>
      </c>
      <c r="AA134" s="50">
        <v>0</v>
      </c>
      <c r="AB134" s="55">
        <v>0.18181818181818182</v>
      </c>
      <c r="AC134" s="30">
        <v>0</v>
      </c>
      <c r="AD134" s="65">
        <v>0</v>
      </c>
      <c r="AE134" s="66">
        <v>0</v>
      </c>
      <c r="AF134" s="369"/>
      <c r="AG134" s="369"/>
      <c r="AH134" s="372"/>
      <c r="AI134" s="375"/>
      <c r="AJ134" s="372"/>
      <c r="AK134" s="375"/>
      <c r="AL134" s="378"/>
    </row>
    <row r="135" spans="15:38" ht="63" x14ac:dyDescent="0.25">
      <c r="Q135" s="360"/>
      <c r="R135" s="363"/>
      <c r="S135" s="366"/>
      <c r="T135" s="57" t="s">
        <v>90</v>
      </c>
      <c r="U135" s="54" t="s">
        <v>89</v>
      </c>
      <c r="V135" s="50">
        <v>0</v>
      </c>
      <c r="W135" s="52">
        <v>0</v>
      </c>
      <c r="X135" s="58"/>
      <c r="Y135" s="360"/>
      <c r="Z135" s="59">
        <v>0</v>
      </c>
      <c r="AA135" s="52">
        <v>0</v>
      </c>
      <c r="AB135" s="55"/>
      <c r="AC135" s="39"/>
      <c r="AD135" s="26"/>
      <c r="AE135" s="40"/>
      <c r="AF135" s="370"/>
      <c r="AG135" s="370"/>
      <c r="AH135" s="373"/>
      <c r="AI135" s="376"/>
      <c r="AJ135" s="373"/>
      <c r="AK135" s="376"/>
      <c r="AL135" s="379"/>
    </row>
    <row r="136" spans="15:38" ht="15.75" x14ac:dyDescent="0.25">
      <c r="Q136" s="60" t="s">
        <v>91</v>
      </c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2"/>
      <c r="AC136" s="38"/>
      <c r="AD136" s="38"/>
      <c r="AE136" s="37">
        <f>SUM(AE132:AE135)</f>
        <v>5912.2204233101984</v>
      </c>
      <c r="AF136" s="38"/>
      <c r="AG136" s="38"/>
      <c r="AH136" s="38"/>
      <c r="AI136" s="36">
        <f>AI132</f>
        <v>1183672.2239999997</v>
      </c>
      <c r="AJ136" s="32"/>
      <c r="AK136" s="32"/>
      <c r="AL136" s="41"/>
    </row>
    <row r="138" spans="15:38" x14ac:dyDescent="0.25">
      <c r="O138" s="25">
        <v>6</v>
      </c>
      <c r="P138" s="25" t="s">
        <v>95</v>
      </c>
      <c r="Q138" s="25" t="s">
        <v>17</v>
      </c>
      <c r="R138" s="25"/>
    </row>
    <row r="139" spans="15:38" x14ac:dyDescent="0.25">
      <c r="P139" s="25">
        <v>10</v>
      </c>
      <c r="Q139" s="25" t="s">
        <v>97</v>
      </c>
      <c r="R139" s="25" t="s">
        <v>18</v>
      </c>
    </row>
    <row r="141" spans="15:38" s="24" customFormat="1" ht="15.75" x14ac:dyDescent="0.25">
      <c r="O141" s="25"/>
      <c r="P141" s="25"/>
      <c r="Q141" s="384" t="s">
        <v>62</v>
      </c>
      <c r="R141" s="385"/>
      <c r="S141" s="386"/>
      <c r="T141" s="380" t="s">
        <v>63</v>
      </c>
      <c r="U141" s="382" t="s">
        <v>64</v>
      </c>
      <c r="V141" s="382" t="s">
        <v>65</v>
      </c>
      <c r="W141" s="382" t="s">
        <v>66</v>
      </c>
      <c r="X141" s="354" t="s">
        <v>67</v>
      </c>
      <c r="Y141" s="380" t="s">
        <v>68</v>
      </c>
      <c r="Z141" s="382" t="s">
        <v>69</v>
      </c>
      <c r="AA141" s="382" t="s">
        <v>70</v>
      </c>
      <c r="AB141" s="380" t="s">
        <v>71</v>
      </c>
      <c r="AC141" s="354" t="s">
        <v>72</v>
      </c>
      <c r="AD141" s="380" t="s">
        <v>73</v>
      </c>
      <c r="AE141" s="354" t="s">
        <v>74</v>
      </c>
      <c r="AF141" s="382" t="s">
        <v>75</v>
      </c>
      <c r="AG141" s="382" t="s">
        <v>76</v>
      </c>
      <c r="AH141" s="380" t="s">
        <v>71</v>
      </c>
      <c r="AI141" s="354" t="s">
        <v>77</v>
      </c>
      <c r="AJ141" s="380" t="s">
        <v>78</v>
      </c>
      <c r="AK141" s="354" t="s">
        <v>79</v>
      </c>
      <c r="AL141" s="356" t="s">
        <v>80</v>
      </c>
    </row>
    <row r="142" spans="15:38" s="24" customFormat="1" ht="78.75" x14ac:dyDescent="0.25">
      <c r="O142" s="25"/>
      <c r="P142" s="25"/>
      <c r="Q142" s="34" t="s">
        <v>81</v>
      </c>
      <c r="R142" s="34" t="s">
        <v>82</v>
      </c>
      <c r="S142" s="34" t="s">
        <v>83</v>
      </c>
      <c r="T142" s="381"/>
      <c r="U142" s="383"/>
      <c r="V142" s="383"/>
      <c r="W142" s="383"/>
      <c r="X142" s="355"/>
      <c r="Y142" s="381"/>
      <c r="Z142" s="383"/>
      <c r="AA142" s="383"/>
      <c r="AB142" s="381"/>
      <c r="AC142" s="355"/>
      <c r="AD142" s="381"/>
      <c r="AE142" s="355"/>
      <c r="AF142" s="383"/>
      <c r="AG142" s="383"/>
      <c r="AH142" s="381"/>
      <c r="AI142" s="355"/>
      <c r="AJ142" s="381"/>
      <c r="AK142" s="355"/>
      <c r="AL142" s="357"/>
    </row>
    <row r="143" spans="15:38" s="24" customFormat="1" ht="15.75" x14ac:dyDescent="0.25">
      <c r="O143" s="25"/>
      <c r="P143" s="25"/>
      <c r="Q143" s="42">
        <v>1</v>
      </c>
      <c r="R143" s="43">
        <v>2</v>
      </c>
      <c r="S143" s="43">
        <v>3</v>
      </c>
      <c r="T143" s="44">
        <v>4</v>
      </c>
      <c r="U143" s="45">
        <v>5</v>
      </c>
      <c r="V143" s="46">
        <v>6</v>
      </c>
      <c r="W143" s="46">
        <v>7</v>
      </c>
      <c r="X143" s="47">
        <v>8</v>
      </c>
      <c r="Y143" s="48">
        <v>9</v>
      </c>
      <c r="Z143" s="46">
        <v>10</v>
      </c>
      <c r="AA143" s="46">
        <v>11</v>
      </c>
      <c r="AB143" s="48">
        <v>12</v>
      </c>
      <c r="AC143" s="29">
        <v>13</v>
      </c>
      <c r="AD143" s="31">
        <v>14</v>
      </c>
      <c r="AE143" s="29">
        <v>15</v>
      </c>
      <c r="AF143" s="27">
        <v>16</v>
      </c>
      <c r="AG143" s="27">
        <v>17</v>
      </c>
      <c r="AH143" s="33">
        <v>18</v>
      </c>
      <c r="AI143" s="35">
        <v>19</v>
      </c>
      <c r="AJ143" s="28">
        <v>20</v>
      </c>
      <c r="AK143" s="35">
        <v>21</v>
      </c>
      <c r="AL143" s="35">
        <v>22</v>
      </c>
    </row>
    <row r="144" spans="15:38" s="24" customFormat="1" ht="47.25" x14ac:dyDescent="0.25">
      <c r="O144" s="25"/>
      <c r="P144" s="25"/>
      <c r="Q144" s="358">
        <f>K16</f>
        <v>26.013333333333332</v>
      </c>
      <c r="R144" s="361">
        <f>H16</f>
        <v>75</v>
      </c>
      <c r="S144" s="364">
        <v>7</v>
      </c>
      <c r="T144" s="49" t="s">
        <v>84</v>
      </c>
      <c r="U144" s="50" t="s">
        <v>85</v>
      </c>
      <c r="V144" s="63">
        <v>11</v>
      </c>
      <c r="W144" s="52">
        <v>70</v>
      </c>
      <c r="X144" s="51">
        <f>(V144/100)*Q144*R144*S144/W144</f>
        <v>21.460999999999999</v>
      </c>
      <c r="Y144" s="367">
        <v>300</v>
      </c>
      <c r="Z144" s="56">
        <v>7</v>
      </c>
      <c r="AA144" s="64">
        <f>M16</f>
        <v>17.8</v>
      </c>
      <c r="AB144" s="53">
        <v>0.12820512820512822</v>
      </c>
      <c r="AC144" s="51">
        <f>X144*Y144*Z144*AA144*AB144</f>
        <v>102847.7153846154</v>
      </c>
      <c r="AD144" s="65">
        <v>2.16</v>
      </c>
      <c r="AE144" s="66">
        <f>AC144*AD144/1000</f>
        <v>222.15106523076929</v>
      </c>
      <c r="AF144" s="368">
        <f>M16</f>
        <v>17.8</v>
      </c>
      <c r="AG144" s="368" t="s">
        <v>86</v>
      </c>
      <c r="AH144" s="371">
        <v>0.18</v>
      </c>
      <c r="AI144" s="374">
        <f>(Q144*S144*Y144*AF144)*AH144</f>
        <v>175028.11199999999</v>
      </c>
      <c r="AJ144" s="371">
        <v>2.2000000000000002</v>
      </c>
      <c r="AK144" s="374">
        <f>(AI144*AJ144)/1000</f>
        <v>385.06184640000004</v>
      </c>
      <c r="AL144" s="377">
        <f>(AE148)-AK144</f>
        <v>489.17069656100182</v>
      </c>
    </row>
    <row r="145" spans="15:38" s="24" customFormat="1" ht="31.5" x14ac:dyDescent="0.25">
      <c r="O145" s="25"/>
      <c r="P145" s="25"/>
      <c r="Q145" s="359"/>
      <c r="R145" s="362"/>
      <c r="S145" s="365"/>
      <c r="T145" s="49" t="s">
        <v>87</v>
      </c>
      <c r="U145" s="54" t="s">
        <v>85</v>
      </c>
      <c r="V145" s="63">
        <v>89</v>
      </c>
      <c r="W145" s="63">
        <v>70</v>
      </c>
      <c r="X145" s="51">
        <f>(V145/100)*Q144*R144*S144/W145</f>
        <v>173.63900000000001</v>
      </c>
      <c r="Y145" s="359"/>
      <c r="Z145" s="59">
        <v>7</v>
      </c>
      <c r="AA145" s="64">
        <f>M16</f>
        <v>17.8</v>
      </c>
      <c r="AB145" s="55">
        <v>4.6511627906976744E-2</v>
      </c>
      <c r="AC145" s="51">
        <f>X145*Y144*Z145*AA145*AB145</f>
        <v>301889.5730232558</v>
      </c>
      <c r="AD145" s="65">
        <v>2.16</v>
      </c>
      <c r="AE145" s="66">
        <f>AC145*AD145/1000</f>
        <v>652.08147773023256</v>
      </c>
      <c r="AF145" s="369"/>
      <c r="AG145" s="369"/>
      <c r="AH145" s="372"/>
      <c r="AI145" s="375"/>
      <c r="AJ145" s="372"/>
      <c r="AK145" s="375"/>
      <c r="AL145" s="378"/>
    </row>
    <row r="146" spans="15:38" s="24" customFormat="1" ht="31.5" x14ac:dyDescent="0.25">
      <c r="O146" s="25"/>
      <c r="P146" s="25"/>
      <c r="Q146" s="359"/>
      <c r="R146" s="362"/>
      <c r="S146" s="365"/>
      <c r="T146" s="49" t="s">
        <v>88</v>
      </c>
      <c r="U146" s="54" t="s">
        <v>89</v>
      </c>
      <c r="V146" s="50">
        <v>0</v>
      </c>
      <c r="W146" s="52">
        <v>0</v>
      </c>
      <c r="X146" s="51">
        <v>0</v>
      </c>
      <c r="Y146" s="359"/>
      <c r="Z146" s="56">
        <v>0</v>
      </c>
      <c r="AA146" s="50">
        <v>0</v>
      </c>
      <c r="AB146" s="55">
        <v>0.18181818181818182</v>
      </c>
      <c r="AC146" s="30">
        <v>0</v>
      </c>
      <c r="AD146" s="65">
        <v>0</v>
      </c>
      <c r="AE146" s="66">
        <v>0</v>
      </c>
      <c r="AF146" s="369"/>
      <c r="AG146" s="369"/>
      <c r="AH146" s="372"/>
      <c r="AI146" s="375"/>
      <c r="AJ146" s="372"/>
      <c r="AK146" s="375"/>
      <c r="AL146" s="378"/>
    </row>
    <row r="147" spans="15:38" ht="63" x14ac:dyDescent="0.25">
      <c r="Q147" s="360"/>
      <c r="R147" s="363"/>
      <c r="S147" s="366"/>
      <c r="T147" s="57" t="s">
        <v>90</v>
      </c>
      <c r="U147" s="54" t="s">
        <v>89</v>
      </c>
      <c r="V147" s="50">
        <v>0</v>
      </c>
      <c r="W147" s="52">
        <v>0</v>
      </c>
      <c r="X147" s="58"/>
      <c r="Y147" s="360"/>
      <c r="Z147" s="59">
        <v>0</v>
      </c>
      <c r="AA147" s="52">
        <v>0</v>
      </c>
      <c r="AB147" s="55"/>
      <c r="AC147" s="39"/>
      <c r="AD147" s="26"/>
      <c r="AE147" s="40"/>
      <c r="AF147" s="370"/>
      <c r="AG147" s="370"/>
      <c r="AH147" s="373"/>
      <c r="AI147" s="376"/>
      <c r="AJ147" s="373"/>
      <c r="AK147" s="376"/>
      <c r="AL147" s="379"/>
    </row>
    <row r="148" spans="15:38" ht="15.75" x14ac:dyDescent="0.25">
      <c r="Q148" s="60" t="s">
        <v>91</v>
      </c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2"/>
      <c r="AC148" s="38"/>
      <c r="AD148" s="38"/>
      <c r="AE148" s="37">
        <f>SUM(AE144:AE147)</f>
        <v>874.23254296100185</v>
      </c>
      <c r="AF148" s="38"/>
      <c r="AG148" s="38"/>
      <c r="AH148" s="38"/>
      <c r="AI148" s="36">
        <f>AI144</f>
        <v>175028.11199999999</v>
      </c>
      <c r="AJ148" s="32"/>
      <c r="AK148" s="32"/>
      <c r="AL148" s="41"/>
    </row>
    <row r="150" spans="15:38" x14ac:dyDescent="0.25">
      <c r="O150" s="25">
        <v>7</v>
      </c>
      <c r="P150" s="25" t="s">
        <v>95</v>
      </c>
      <c r="Q150" s="25" t="s">
        <v>19</v>
      </c>
      <c r="R150" s="25"/>
    </row>
    <row r="151" spans="15:38" x14ac:dyDescent="0.25">
      <c r="P151" s="25">
        <v>11</v>
      </c>
      <c r="Q151" s="25" t="s">
        <v>97</v>
      </c>
      <c r="R151" s="25" t="s">
        <v>20</v>
      </c>
    </row>
    <row r="153" spans="15:38" s="24" customFormat="1" ht="15.75" x14ac:dyDescent="0.25">
      <c r="O153" s="25"/>
      <c r="P153" s="25"/>
      <c r="Q153" s="384" t="s">
        <v>62</v>
      </c>
      <c r="R153" s="385"/>
      <c r="S153" s="386"/>
      <c r="T153" s="380" t="s">
        <v>63</v>
      </c>
      <c r="U153" s="382" t="s">
        <v>64</v>
      </c>
      <c r="V153" s="382" t="s">
        <v>65</v>
      </c>
      <c r="W153" s="382" t="s">
        <v>66</v>
      </c>
      <c r="X153" s="354" t="s">
        <v>67</v>
      </c>
      <c r="Y153" s="380" t="s">
        <v>68</v>
      </c>
      <c r="Z153" s="382" t="s">
        <v>69</v>
      </c>
      <c r="AA153" s="382" t="s">
        <v>70</v>
      </c>
      <c r="AB153" s="380" t="s">
        <v>71</v>
      </c>
      <c r="AC153" s="354" t="s">
        <v>72</v>
      </c>
      <c r="AD153" s="380" t="s">
        <v>73</v>
      </c>
      <c r="AE153" s="354" t="s">
        <v>74</v>
      </c>
      <c r="AF153" s="382" t="s">
        <v>75</v>
      </c>
      <c r="AG153" s="382" t="s">
        <v>76</v>
      </c>
      <c r="AH153" s="380" t="s">
        <v>71</v>
      </c>
      <c r="AI153" s="354" t="s">
        <v>77</v>
      </c>
      <c r="AJ153" s="380" t="s">
        <v>78</v>
      </c>
      <c r="AK153" s="354" t="s">
        <v>79</v>
      </c>
      <c r="AL153" s="356" t="s">
        <v>80</v>
      </c>
    </row>
    <row r="154" spans="15:38" s="24" customFormat="1" ht="78.75" x14ac:dyDescent="0.25">
      <c r="O154" s="25"/>
      <c r="P154" s="25"/>
      <c r="Q154" s="34" t="s">
        <v>81</v>
      </c>
      <c r="R154" s="34" t="s">
        <v>82</v>
      </c>
      <c r="S154" s="34" t="s">
        <v>83</v>
      </c>
      <c r="T154" s="381"/>
      <c r="U154" s="383"/>
      <c r="V154" s="383"/>
      <c r="W154" s="383"/>
      <c r="X154" s="355"/>
      <c r="Y154" s="381"/>
      <c r="Z154" s="383"/>
      <c r="AA154" s="383"/>
      <c r="AB154" s="381"/>
      <c r="AC154" s="355"/>
      <c r="AD154" s="381"/>
      <c r="AE154" s="355"/>
      <c r="AF154" s="383"/>
      <c r="AG154" s="383"/>
      <c r="AH154" s="381"/>
      <c r="AI154" s="355"/>
      <c r="AJ154" s="381"/>
      <c r="AK154" s="355"/>
      <c r="AL154" s="357"/>
    </row>
    <row r="155" spans="15:38" s="24" customFormat="1" ht="15.75" x14ac:dyDescent="0.25">
      <c r="O155" s="25"/>
      <c r="P155" s="25"/>
      <c r="Q155" s="42">
        <v>1</v>
      </c>
      <c r="R155" s="43">
        <v>2</v>
      </c>
      <c r="S155" s="43">
        <v>3</v>
      </c>
      <c r="T155" s="44">
        <v>4</v>
      </c>
      <c r="U155" s="45">
        <v>5</v>
      </c>
      <c r="V155" s="46">
        <v>6</v>
      </c>
      <c r="W155" s="46">
        <v>7</v>
      </c>
      <c r="X155" s="47">
        <v>8</v>
      </c>
      <c r="Y155" s="48">
        <v>9</v>
      </c>
      <c r="Z155" s="46">
        <v>10</v>
      </c>
      <c r="AA155" s="46">
        <v>11</v>
      </c>
      <c r="AB155" s="48">
        <v>12</v>
      </c>
      <c r="AC155" s="29">
        <v>13</v>
      </c>
      <c r="AD155" s="31">
        <v>14</v>
      </c>
      <c r="AE155" s="29">
        <v>15</v>
      </c>
      <c r="AF155" s="27">
        <v>16</v>
      </c>
      <c r="AG155" s="27">
        <v>17</v>
      </c>
      <c r="AH155" s="33">
        <v>18</v>
      </c>
      <c r="AI155" s="35">
        <v>19</v>
      </c>
      <c r="AJ155" s="28">
        <v>20</v>
      </c>
      <c r="AK155" s="35">
        <v>21</v>
      </c>
      <c r="AL155" s="35">
        <v>22</v>
      </c>
    </row>
    <row r="156" spans="15:38" s="24" customFormat="1" ht="47.25" x14ac:dyDescent="0.25">
      <c r="O156" s="25"/>
      <c r="P156" s="25"/>
      <c r="Q156" s="358">
        <f>K17</f>
        <v>47.94</v>
      </c>
      <c r="R156" s="361">
        <f>H17</f>
        <v>75</v>
      </c>
      <c r="S156" s="364">
        <v>7</v>
      </c>
      <c r="T156" s="49" t="s">
        <v>84</v>
      </c>
      <c r="U156" s="50" t="s">
        <v>85</v>
      </c>
      <c r="V156" s="63">
        <v>11</v>
      </c>
      <c r="W156" s="52">
        <v>70</v>
      </c>
      <c r="X156" s="51">
        <f>(V156/100)*Q156*R156*S156/W156</f>
        <v>39.5505</v>
      </c>
      <c r="Y156" s="367">
        <v>300</v>
      </c>
      <c r="Z156" s="56">
        <v>7</v>
      </c>
      <c r="AA156" s="64">
        <f>M17</f>
        <v>20.399999999999999</v>
      </c>
      <c r="AB156" s="53">
        <v>0.12820512820512822</v>
      </c>
      <c r="AC156" s="51">
        <f>X156*Y156*Z156*AA156*AB156</f>
        <v>217223.5153846154</v>
      </c>
      <c r="AD156" s="65">
        <v>2.16</v>
      </c>
      <c r="AE156" s="66">
        <f>AC156*AD156/1000</f>
        <v>469.20279323076926</v>
      </c>
      <c r="AF156" s="368">
        <f>M17</f>
        <v>20.399999999999999</v>
      </c>
      <c r="AG156" s="368" t="s">
        <v>86</v>
      </c>
      <c r="AH156" s="371">
        <v>0.18</v>
      </c>
      <c r="AI156" s="374">
        <f>(Q156*S156*Y156*AF156)*AH156</f>
        <v>369674.92799999996</v>
      </c>
      <c r="AJ156" s="371">
        <v>2.2000000000000002</v>
      </c>
      <c r="AK156" s="374">
        <f>(AI156*AJ156)/1000</f>
        <v>813.28484159999994</v>
      </c>
      <c r="AL156" s="377">
        <f>(AE160)-AK156</f>
        <v>1033.1719857144901</v>
      </c>
    </row>
    <row r="157" spans="15:38" ht="31.5" x14ac:dyDescent="0.25">
      <c r="Q157" s="359"/>
      <c r="R157" s="362"/>
      <c r="S157" s="365"/>
      <c r="T157" s="49" t="s">
        <v>87</v>
      </c>
      <c r="U157" s="54" t="s">
        <v>85</v>
      </c>
      <c r="V157" s="63">
        <v>89</v>
      </c>
      <c r="W157" s="63">
        <v>70</v>
      </c>
      <c r="X157" s="51">
        <f>(V157/100)*Q156*R156*S156/W157</f>
        <v>319.99949999999995</v>
      </c>
      <c r="Y157" s="359"/>
      <c r="Z157" s="59">
        <v>7</v>
      </c>
      <c r="AA157" s="64">
        <f>M17</f>
        <v>20.399999999999999</v>
      </c>
      <c r="AB157" s="55">
        <v>4.6511627906976744E-2</v>
      </c>
      <c r="AC157" s="51">
        <f>X157*Y156*Z157*AA157*AB157</f>
        <v>637617.60837209295</v>
      </c>
      <c r="AD157" s="65">
        <v>2.16</v>
      </c>
      <c r="AE157" s="66">
        <f>AC157*AD157/1000</f>
        <v>1377.2540340837209</v>
      </c>
      <c r="AF157" s="369"/>
      <c r="AG157" s="369"/>
      <c r="AH157" s="372"/>
      <c r="AI157" s="375"/>
      <c r="AJ157" s="372"/>
      <c r="AK157" s="375"/>
      <c r="AL157" s="378"/>
    </row>
    <row r="158" spans="15:38" ht="31.5" x14ac:dyDescent="0.25">
      <c r="Q158" s="359"/>
      <c r="R158" s="362"/>
      <c r="S158" s="365"/>
      <c r="T158" s="49" t="s">
        <v>88</v>
      </c>
      <c r="U158" s="54" t="s">
        <v>89</v>
      </c>
      <c r="V158" s="50">
        <v>0</v>
      </c>
      <c r="W158" s="52">
        <v>0</v>
      </c>
      <c r="X158" s="51">
        <v>0</v>
      </c>
      <c r="Y158" s="359"/>
      <c r="Z158" s="56">
        <v>0</v>
      </c>
      <c r="AA158" s="50">
        <v>0</v>
      </c>
      <c r="AB158" s="55">
        <v>0.18181818181818182</v>
      </c>
      <c r="AC158" s="30">
        <v>0</v>
      </c>
      <c r="AD158" s="65">
        <v>0</v>
      </c>
      <c r="AE158" s="66">
        <v>0</v>
      </c>
      <c r="AF158" s="369"/>
      <c r="AG158" s="369"/>
      <c r="AH158" s="372"/>
      <c r="AI158" s="375"/>
      <c r="AJ158" s="372"/>
      <c r="AK158" s="375"/>
      <c r="AL158" s="378"/>
    </row>
    <row r="159" spans="15:38" ht="63" x14ac:dyDescent="0.25">
      <c r="Q159" s="360"/>
      <c r="R159" s="363"/>
      <c r="S159" s="366"/>
      <c r="T159" s="57" t="s">
        <v>90</v>
      </c>
      <c r="U159" s="54" t="s">
        <v>89</v>
      </c>
      <c r="V159" s="50">
        <v>0</v>
      </c>
      <c r="W159" s="52">
        <v>0</v>
      </c>
      <c r="X159" s="58"/>
      <c r="Y159" s="360"/>
      <c r="Z159" s="59">
        <v>0</v>
      </c>
      <c r="AA159" s="52">
        <v>0</v>
      </c>
      <c r="AB159" s="55"/>
      <c r="AC159" s="39"/>
      <c r="AD159" s="26"/>
      <c r="AE159" s="40"/>
      <c r="AF159" s="370"/>
      <c r="AG159" s="370"/>
      <c r="AH159" s="373"/>
      <c r="AI159" s="376"/>
      <c r="AJ159" s="373"/>
      <c r="AK159" s="376"/>
      <c r="AL159" s="379"/>
    </row>
    <row r="160" spans="15:38" ht="15.75" x14ac:dyDescent="0.25">
      <c r="Q160" s="60" t="s">
        <v>91</v>
      </c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2"/>
      <c r="AC160" s="38"/>
      <c r="AD160" s="38"/>
      <c r="AE160" s="37">
        <f>SUM(AE156:AE159)</f>
        <v>1846.4568273144901</v>
      </c>
      <c r="AF160" s="38"/>
      <c r="AG160" s="38"/>
      <c r="AH160" s="38"/>
      <c r="AI160" s="36">
        <f>AI156</f>
        <v>369674.92799999996</v>
      </c>
      <c r="AJ160" s="32"/>
      <c r="AK160" s="32"/>
      <c r="AL160" s="41"/>
    </row>
    <row r="162" spans="15:38" x14ac:dyDescent="0.25">
      <c r="O162" s="25">
        <v>8</v>
      </c>
      <c r="P162" s="25" t="s">
        <v>95</v>
      </c>
      <c r="Q162" s="25" t="s">
        <v>21</v>
      </c>
      <c r="R162" s="25"/>
    </row>
    <row r="163" spans="15:38" x14ac:dyDescent="0.25">
      <c r="P163" s="25">
        <v>12</v>
      </c>
      <c r="Q163" s="25" t="s">
        <v>97</v>
      </c>
      <c r="R163" s="25" t="s">
        <v>22</v>
      </c>
    </row>
    <row r="165" spans="15:38" ht="15.75" x14ac:dyDescent="0.25">
      <c r="Q165" s="384" t="s">
        <v>62</v>
      </c>
      <c r="R165" s="385"/>
      <c r="S165" s="386"/>
      <c r="T165" s="380" t="s">
        <v>63</v>
      </c>
      <c r="U165" s="382" t="s">
        <v>64</v>
      </c>
      <c r="V165" s="382" t="s">
        <v>65</v>
      </c>
      <c r="W165" s="382" t="s">
        <v>66</v>
      </c>
      <c r="X165" s="354" t="s">
        <v>67</v>
      </c>
      <c r="Y165" s="380" t="s">
        <v>68</v>
      </c>
      <c r="Z165" s="382" t="s">
        <v>69</v>
      </c>
      <c r="AA165" s="382" t="s">
        <v>70</v>
      </c>
      <c r="AB165" s="380" t="s">
        <v>71</v>
      </c>
      <c r="AC165" s="354" t="s">
        <v>72</v>
      </c>
      <c r="AD165" s="380" t="s">
        <v>73</v>
      </c>
      <c r="AE165" s="354" t="s">
        <v>74</v>
      </c>
      <c r="AF165" s="382" t="s">
        <v>75</v>
      </c>
      <c r="AG165" s="382" t="s">
        <v>76</v>
      </c>
      <c r="AH165" s="380" t="s">
        <v>71</v>
      </c>
      <c r="AI165" s="354" t="s">
        <v>77</v>
      </c>
      <c r="AJ165" s="380" t="s">
        <v>78</v>
      </c>
      <c r="AK165" s="354" t="s">
        <v>79</v>
      </c>
      <c r="AL165" s="356" t="s">
        <v>80</v>
      </c>
    </row>
    <row r="166" spans="15:38" ht="78.75" x14ac:dyDescent="0.25">
      <c r="Q166" s="34" t="s">
        <v>81</v>
      </c>
      <c r="R166" s="34" t="s">
        <v>82</v>
      </c>
      <c r="S166" s="34" t="s">
        <v>83</v>
      </c>
      <c r="T166" s="381"/>
      <c r="U166" s="383"/>
      <c r="V166" s="383"/>
      <c r="W166" s="383"/>
      <c r="X166" s="355"/>
      <c r="Y166" s="381"/>
      <c r="Z166" s="383"/>
      <c r="AA166" s="383"/>
      <c r="AB166" s="381"/>
      <c r="AC166" s="355"/>
      <c r="AD166" s="381"/>
      <c r="AE166" s="355"/>
      <c r="AF166" s="383"/>
      <c r="AG166" s="383"/>
      <c r="AH166" s="381"/>
      <c r="AI166" s="355"/>
      <c r="AJ166" s="381"/>
      <c r="AK166" s="355"/>
      <c r="AL166" s="357"/>
    </row>
    <row r="167" spans="15:38" ht="15.75" x14ac:dyDescent="0.25">
      <c r="Q167" s="42">
        <v>1</v>
      </c>
      <c r="R167" s="43">
        <v>2</v>
      </c>
      <c r="S167" s="43">
        <v>3</v>
      </c>
      <c r="T167" s="44">
        <v>4</v>
      </c>
      <c r="U167" s="45">
        <v>5</v>
      </c>
      <c r="V167" s="46">
        <v>6</v>
      </c>
      <c r="W167" s="46">
        <v>7</v>
      </c>
      <c r="X167" s="47">
        <v>8</v>
      </c>
      <c r="Y167" s="48">
        <v>9</v>
      </c>
      <c r="Z167" s="46">
        <v>10</v>
      </c>
      <c r="AA167" s="46">
        <v>11</v>
      </c>
      <c r="AB167" s="48">
        <v>12</v>
      </c>
      <c r="AC167" s="29">
        <v>13</v>
      </c>
      <c r="AD167" s="31">
        <v>14</v>
      </c>
      <c r="AE167" s="29">
        <v>15</v>
      </c>
      <c r="AF167" s="27">
        <v>16</v>
      </c>
      <c r="AG167" s="27">
        <v>17</v>
      </c>
      <c r="AH167" s="33">
        <v>18</v>
      </c>
      <c r="AI167" s="35">
        <v>19</v>
      </c>
      <c r="AJ167" s="28">
        <v>20</v>
      </c>
      <c r="AK167" s="35">
        <v>21</v>
      </c>
      <c r="AL167" s="35">
        <v>22</v>
      </c>
    </row>
    <row r="168" spans="15:38" ht="47.25" x14ac:dyDescent="0.25">
      <c r="Q168" s="358">
        <f>K18</f>
        <v>14.32</v>
      </c>
      <c r="R168" s="361">
        <f>H18</f>
        <v>75</v>
      </c>
      <c r="S168" s="364">
        <v>7</v>
      </c>
      <c r="T168" s="49" t="s">
        <v>84</v>
      </c>
      <c r="U168" s="50" t="s">
        <v>85</v>
      </c>
      <c r="V168" s="63">
        <v>11</v>
      </c>
      <c r="W168" s="52">
        <v>70</v>
      </c>
      <c r="X168" s="51">
        <f>(V168/100)*Q168*R168*S168/W168</f>
        <v>11.814</v>
      </c>
      <c r="Y168" s="367">
        <v>300</v>
      </c>
      <c r="Z168" s="56">
        <v>7</v>
      </c>
      <c r="AA168" s="64">
        <f>M18</f>
        <v>16.8</v>
      </c>
      <c r="AB168" s="53">
        <v>0.12820512820512822</v>
      </c>
      <c r="AC168" s="51">
        <f>X168*Y168*Z168*AA168*AB168</f>
        <v>53435.630769230775</v>
      </c>
      <c r="AD168" s="65">
        <v>2.16</v>
      </c>
      <c r="AE168" s="66">
        <f>AC168*AD168/1000</f>
        <v>115.42096246153848</v>
      </c>
      <c r="AF168" s="368">
        <f>M18</f>
        <v>16.8</v>
      </c>
      <c r="AG168" s="368" t="s">
        <v>86</v>
      </c>
      <c r="AH168" s="371">
        <v>0.18</v>
      </c>
      <c r="AI168" s="374">
        <f>(Q168*S168*Y168*AF168)*AH168</f>
        <v>90937.728000000017</v>
      </c>
      <c r="AJ168" s="371">
        <v>2.2000000000000002</v>
      </c>
      <c r="AK168" s="374">
        <f>(AI168*AJ168)/1000</f>
        <v>200.06300160000004</v>
      </c>
      <c r="AL168" s="377">
        <f>(AE172)-AK168</f>
        <v>254.15386843363152</v>
      </c>
    </row>
    <row r="169" spans="15:38" ht="31.5" x14ac:dyDescent="0.25">
      <c r="Q169" s="359"/>
      <c r="R169" s="362"/>
      <c r="S169" s="365"/>
      <c r="T169" s="49" t="s">
        <v>87</v>
      </c>
      <c r="U169" s="54" t="s">
        <v>85</v>
      </c>
      <c r="V169" s="63">
        <v>89</v>
      </c>
      <c r="W169" s="63">
        <v>70</v>
      </c>
      <c r="X169" s="51">
        <f>(V169/100)*Q168*R168*S168/W169</f>
        <v>95.586000000000013</v>
      </c>
      <c r="Y169" s="359"/>
      <c r="Z169" s="59">
        <v>7</v>
      </c>
      <c r="AA169" s="64">
        <f>M18</f>
        <v>16.8</v>
      </c>
      <c r="AB169" s="55">
        <v>4.6511627906976744E-2</v>
      </c>
      <c r="AC169" s="51">
        <f>X169*Y168*Z169*AA169*AB169</f>
        <v>156849.95720930235</v>
      </c>
      <c r="AD169" s="65">
        <v>2.16</v>
      </c>
      <c r="AE169" s="66">
        <f>AC169*AD169/1000</f>
        <v>338.79590757209309</v>
      </c>
      <c r="AF169" s="369"/>
      <c r="AG169" s="369"/>
      <c r="AH169" s="372"/>
      <c r="AI169" s="375"/>
      <c r="AJ169" s="372"/>
      <c r="AK169" s="375"/>
      <c r="AL169" s="378"/>
    </row>
    <row r="170" spans="15:38" ht="31.5" x14ac:dyDescent="0.25">
      <c r="Q170" s="359"/>
      <c r="R170" s="362"/>
      <c r="S170" s="365"/>
      <c r="T170" s="49" t="s">
        <v>88</v>
      </c>
      <c r="U170" s="54" t="s">
        <v>89</v>
      </c>
      <c r="V170" s="50">
        <v>0</v>
      </c>
      <c r="W170" s="52">
        <v>0</v>
      </c>
      <c r="X170" s="51">
        <v>0</v>
      </c>
      <c r="Y170" s="359"/>
      <c r="Z170" s="56">
        <v>0</v>
      </c>
      <c r="AA170" s="50">
        <v>0</v>
      </c>
      <c r="AB170" s="55">
        <v>0.18181818181818182</v>
      </c>
      <c r="AC170" s="30">
        <v>0</v>
      </c>
      <c r="AD170" s="65">
        <v>0</v>
      </c>
      <c r="AE170" s="66">
        <v>0</v>
      </c>
      <c r="AF170" s="369"/>
      <c r="AG170" s="369"/>
      <c r="AH170" s="372"/>
      <c r="AI170" s="375"/>
      <c r="AJ170" s="372"/>
      <c r="AK170" s="375"/>
      <c r="AL170" s="378"/>
    </row>
    <row r="171" spans="15:38" ht="63" x14ac:dyDescent="0.25">
      <c r="Q171" s="360"/>
      <c r="R171" s="363"/>
      <c r="S171" s="366"/>
      <c r="T171" s="57" t="s">
        <v>90</v>
      </c>
      <c r="U171" s="54" t="s">
        <v>89</v>
      </c>
      <c r="V171" s="50">
        <v>0</v>
      </c>
      <c r="W171" s="52">
        <v>0</v>
      </c>
      <c r="X171" s="58"/>
      <c r="Y171" s="360"/>
      <c r="Z171" s="59">
        <v>0</v>
      </c>
      <c r="AA171" s="52">
        <v>0</v>
      </c>
      <c r="AB171" s="55"/>
      <c r="AC171" s="39"/>
      <c r="AD171" s="26"/>
      <c r="AE171" s="40"/>
      <c r="AF171" s="370"/>
      <c r="AG171" s="370"/>
      <c r="AH171" s="373"/>
      <c r="AI171" s="376"/>
      <c r="AJ171" s="373"/>
      <c r="AK171" s="376"/>
      <c r="AL171" s="379"/>
    </row>
    <row r="172" spans="15:38" ht="15.75" x14ac:dyDescent="0.25">
      <c r="Q172" s="60" t="s">
        <v>91</v>
      </c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2"/>
      <c r="AC172" s="38"/>
      <c r="AD172" s="38"/>
      <c r="AE172" s="37">
        <f>SUM(AE168:AE171)</f>
        <v>454.21687003363155</v>
      </c>
      <c r="AF172" s="38"/>
      <c r="AG172" s="38"/>
      <c r="AH172" s="38"/>
      <c r="AI172" s="36">
        <f>AI168</f>
        <v>90937.728000000017</v>
      </c>
      <c r="AJ172" s="32"/>
      <c r="AK172" s="32"/>
      <c r="AL172" s="41"/>
    </row>
    <row r="174" spans="15:38" x14ac:dyDescent="0.25">
      <c r="O174" s="25">
        <v>9</v>
      </c>
      <c r="P174" s="25" t="s">
        <v>95</v>
      </c>
      <c r="Q174" s="25" t="s">
        <v>26</v>
      </c>
    </row>
    <row r="175" spans="15:38" x14ac:dyDescent="0.25">
      <c r="P175" s="25">
        <v>13</v>
      </c>
      <c r="Q175" s="25" t="s">
        <v>97</v>
      </c>
      <c r="R175" s="25" t="s">
        <v>27</v>
      </c>
    </row>
    <row r="176" spans="15:38" s="24" customFormat="1" x14ac:dyDescent="0.25">
      <c r="O176" s="25"/>
      <c r="P176" s="25"/>
      <c r="Q176" s="25"/>
      <c r="R176" s="25"/>
    </row>
    <row r="177" spans="15:38" ht="15.75" x14ac:dyDescent="0.25">
      <c r="Q177" s="384" t="s">
        <v>62</v>
      </c>
      <c r="R177" s="385"/>
      <c r="S177" s="386"/>
      <c r="T177" s="380" t="s">
        <v>63</v>
      </c>
      <c r="U177" s="382" t="s">
        <v>64</v>
      </c>
      <c r="V177" s="382" t="s">
        <v>65</v>
      </c>
      <c r="W177" s="382" t="s">
        <v>66</v>
      </c>
      <c r="X177" s="354" t="s">
        <v>67</v>
      </c>
      <c r="Y177" s="380" t="s">
        <v>68</v>
      </c>
      <c r="Z177" s="382" t="s">
        <v>69</v>
      </c>
      <c r="AA177" s="382" t="s">
        <v>70</v>
      </c>
      <c r="AB177" s="380" t="s">
        <v>71</v>
      </c>
      <c r="AC177" s="354" t="s">
        <v>72</v>
      </c>
      <c r="AD177" s="380" t="s">
        <v>73</v>
      </c>
      <c r="AE177" s="354" t="s">
        <v>74</v>
      </c>
      <c r="AF177" s="382" t="s">
        <v>75</v>
      </c>
      <c r="AG177" s="382" t="s">
        <v>76</v>
      </c>
      <c r="AH177" s="380" t="s">
        <v>71</v>
      </c>
      <c r="AI177" s="354" t="s">
        <v>77</v>
      </c>
      <c r="AJ177" s="380" t="s">
        <v>78</v>
      </c>
      <c r="AK177" s="354" t="s">
        <v>79</v>
      </c>
      <c r="AL177" s="356" t="s">
        <v>80</v>
      </c>
    </row>
    <row r="178" spans="15:38" ht="78.75" x14ac:dyDescent="0.25">
      <c r="Q178" s="34" t="s">
        <v>81</v>
      </c>
      <c r="R178" s="34" t="s">
        <v>82</v>
      </c>
      <c r="S178" s="34" t="s">
        <v>83</v>
      </c>
      <c r="T178" s="381"/>
      <c r="U178" s="383"/>
      <c r="V178" s="383"/>
      <c r="W178" s="383"/>
      <c r="X178" s="355"/>
      <c r="Y178" s="381"/>
      <c r="Z178" s="383"/>
      <c r="AA178" s="383"/>
      <c r="AB178" s="381"/>
      <c r="AC178" s="355"/>
      <c r="AD178" s="381"/>
      <c r="AE178" s="355"/>
      <c r="AF178" s="383"/>
      <c r="AG178" s="383"/>
      <c r="AH178" s="381"/>
      <c r="AI178" s="355"/>
      <c r="AJ178" s="381"/>
      <c r="AK178" s="355"/>
      <c r="AL178" s="357"/>
    </row>
    <row r="179" spans="15:38" ht="15.75" x14ac:dyDescent="0.25">
      <c r="Q179" s="42">
        <v>1</v>
      </c>
      <c r="R179" s="43">
        <v>2</v>
      </c>
      <c r="S179" s="43">
        <v>3</v>
      </c>
      <c r="T179" s="44">
        <v>4</v>
      </c>
      <c r="U179" s="45">
        <v>5</v>
      </c>
      <c r="V179" s="46">
        <v>6</v>
      </c>
      <c r="W179" s="46">
        <v>7</v>
      </c>
      <c r="X179" s="47">
        <v>8</v>
      </c>
      <c r="Y179" s="48">
        <v>9</v>
      </c>
      <c r="Z179" s="46">
        <v>10</v>
      </c>
      <c r="AA179" s="46">
        <v>11</v>
      </c>
      <c r="AB179" s="48">
        <v>12</v>
      </c>
      <c r="AC179" s="29">
        <v>13</v>
      </c>
      <c r="AD179" s="31">
        <v>14</v>
      </c>
      <c r="AE179" s="29">
        <v>15</v>
      </c>
      <c r="AF179" s="27">
        <v>16</v>
      </c>
      <c r="AG179" s="27">
        <v>17</v>
      </c>
      <c r="AH179" s="33">
        <v>18</v>
      </c>
      <c r="AI179" s="35">
        <v>19</v>
      </c>
      <c r="AJ179" s="28">
        <v>20</v>
      </c>
      <c r="AK179" s="35">
        <v>21</v>
      </c>
      <c r="AL179" s="35">
        <v>22</v>
      </c>
    </row>
    <row r="180" spans="15:38" ht="47.25" x14ac:dyDescent="0.25">
      <c r="Q180" s="358">
        <f>K20</f>
        <v>17.616666666666667</v>
      </c>
      <c r="R180" s="361">
        <f>H20</f>
        <v>20</v>
      </c>
      <c r="S180" s="364">
        <v>7</v>
      </c>
      <c r="T180" s="49" t="s">
        <v>84</v>
      </c>
      <c r="U180" s="50" t="s">
        <v>85</v>
      </c>
      <c r="V180" s="63">
        <v>11</v>
      </c>
      <c r="W180" s="52">
        <v>70</v>
      </c>
      <c r="X180" s="51">
        <f>(V180/100)*Q180*R180*S180/W180</f>
        <v>3.875666666666667</v>
      </c>
      <c r="Y180" s="367">
        <v>300</v>
      </c>
      <c r="Z180" s="56">
        <v>7</v>
      </c>
      <c r="AA180" s="64">
        <f>M20</f>
        <v>6.8</v>
      </c>
      <c r="AB180" s="53">
        <v>0.12820512820512822</v>
      </c>
      <c r="AC180" s="51">
        <f>X180*Y180*Z180*AA180*AB180</f>
        <v>7095.4512820512837</v>
      </c>
      <c r="AD180" s="65">
        <v>2.16</v>
      </c>
      <c r="AE180" s="66">
        <f>AC180*AD180/1000</f>
        <v>15.326174769230775</v>
      </c>
      <c r="AF180" s="368">
        <f>M20</f>
        <v>6.8</v>
      </c>
      <c r="AG180" s="368" t="s">
        <v>86</v>
      </c>
      <c r="AH180" s="371">
        <v>0.18</v>
      </c>
      <c r="AI180" s="374">
        <f>(Q180*S180*Y180*AF180)*AH180</f>
        <v>45281.88</v>
      </c>
      <c r="AJ180" s="371">
        <v>2.2000000000000002</v>
      </c>
      <c r="AK180" s="374">
        <f>(AI180*AJ180)/1000</f>
        <v>99.620136000000002</v>
      </c>
      <c r="AL180" s="377">
        <f>(AE184)-AK180</f>
        <v>-39.306939984257603</v>
      </c>
    </row>
    <row r="181" spans="15:38" ht="31.5" x14ac:dyDescent="0.25">
      <c r="Q181" s="359"/>
      <c r="R181" s="362"/>
      <c r="S181" s="365"/>
      <c r="T181" s="49" t="s">
        <v>87</v>
      </c>
      <c r="U181" s="54" t="s">
        <v>85</v>
      </c>
      <c r="V181" s="63">
        <v>89</v>
      </c>
      <c r="W181" s="63">
        <v>70</v>
      </c>
      <c r="X181" s="51">
        <f>(V181/100)*Q180*R180*S180/W181</f>
        <v>31.357666666666663</v>
      </c>
      <c r="Y181" s="359"/>
      <c r="Z181" s="59">
        <v>7</v>
      </c>
      <c r="AA181" s="64">
        <f>M20</f>
        <v>6.8</v>
      </c>
      <c r="AB181" s="55">
        <v>4.6511627906976744E-2</v>
      </c>
      <c r="AC181" s="51">
        <f>X181*Y180*Z181*AA181*AB181</f>
        <v>20827.324651162788</v>
      </c>
      <c r="AD181" s="65">
        <v>2.16</v>
      </c>
      <c r="AE181" s="66">
        <f>AC181*AD181/1000</f>
        <v>44.987021246511624</v>
      </c>
      <c r="AF181" s="369"/>
      <c r="AG181" s="369"/>
      <c r="AH181" s="372"/>
      <c r="AI181" s="375"/>
      <c r="AJ181" s="372"/>
      <c r="AK181" s="375"/>
      <c r="AL181" s="378"/>
    </row>
    <row r="182" spans="15:38" ht="31.5" x14ac:dyDescent="0.25">
      <c r="Q182" s="359"/>
      <c r="R182" s="362"/>
      <c r="S182" s="365"/>
      <c r="T182" s="49" t="s">
        <v>88</v>
      </c>
      <c r="U182" s="54" t="s">
        <v>89</v>
      </c>
      <c r="V182" s="50">
        <v>0</v>
      </c>
      <c r="W182" s="52">
        <v>0</v>
      </c>
      <c r="X182" s="51">
        <v>0</v>
      </c>
      <c r="Y182" s="359"/>
      <c r="Z182" s="56">
        <v>0</v>
      </c>
      <c r="AA182" s="50">
        <v>0</v>
      </c>
      <c r="AB182" s="55">
        <v>0.18181818181818182</v>
      </c>
      <c r="AC182" s="30">
        <v>0</v>
      </c>
      <c r="AD182" s="65">
        <v>0</v>
      </c>
      <c r="AE182" s="66">
        <v>0</v>
      </c>
      <c r="AF182" s="369"/>
      <c r="AG182" s="369"/>
      <c r="AH182" s="372"/>
      <c r="AI182" s="375"/>
      <c r="AJ182" s="372"/>
      <c r="AK182" s="375"/>
      <c r="AL182" s="378"/>
    </row>
    <row r="183" spans="15:38" ht="63" x14ac:dyDescent="0.25">
      <c r="Q183" s="360"/>
      <c r="R183" s="363"/>
      <c r="S183" s="366"/>
      <c r="T183" s="57" t="s">
        <v>90</v>
      </c>
      <c r="U183" s="54" t="s">
        <v>89</v>
      </c>
      <c r="V183" s="50">
        <v>0</v>
      </c>
      <c r="W183" s="52">
        <v>0</v>
      </c>
      <c r="X183" s="58"/>
      <c r="Y183" s="360"/>
      <c r="Z183" s="59">
        <v>0</v>
      </c>
      <c r="AA183" s="52">
        <v>0</v>
      </c>
      <c r="AB183" s="55"/>
      <c r="AC183" s="39"/>
      <c r="AD183" s="26"/>
      <c r="AE183" s="40"/>
      <c r="AF183" s="370"/>
      <c r="AG183" s="370"/>
      <c r="AH183" s="373"/>
      <c r="AI183" s="376"/>
      <c r="AJ183" s="373"/>
      <c r="AK183" s="376"/>
      <c r="AL183" s="379"/>
    </row>
    <row r="184" spans="15:38" ht="15.75" x14ac:dyDescent="0.25">
      <c r="Q184" s="60" t="s">
        <v>91</v>
      </c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2"/>
      <c r="AC184" s="38"/>
      <c r="AD184" s="38"/>
      <c r="AE184" s="37">
        <f>SUM(AE180:AE183)</f>
        <v>60.313196015742399</v>
      </c>
      <c r="AF184" s="38"/>
      <c r="AG184" s="38"/>
      <c r="AH184" s="38"/>
      <c r="AI184" s="36">
        <f>AI180</f>
        <v>45281.88</v>
      </c>
      <c r="AJ184" s="32"/>
      <c r="AK184" s="32"/>
      <c r="AL184" s="41"/>
    </row>
    <row r="186" spans="15:38" x14ac:dyDescent="0.25">
      <c r="O186" s="25">
        <v>10</v>
      </c>
      <c r="P186" s="25" t="s">
        <v>95</v>
      </c>
      <c r="Q186" s="25" t="s">
        <v>29</v>
      </c>
    </row>
    <row r="187" spans="15:38" x14ac:dyDescent="0.25">
      <c r="P187" s="25">
        <v>14</v>
      </c>
      <c r="Q187" s="25" t="s">
        <v>97</v>
      </c>
      <c r="R187" s="25" t="s">
        <v>28</v>
      </c>
    </row>
    <row r="188" spans="15:38" s="24" customFormat="1" x14ac:dyDescent="0.25">
      <c r="O188" s="25"/>
      <c r="P188" s="25"/>
      <c r="Q188" s="25"/>
      <c r="R188" s="25"/>
    </row>
    <row r="189" spans="15:38" s="24" customFormat="1" ht="15.75" x14ac:dyDescent="0.25">
      <c r="O189" s="25"/>
      <c r="P189" s="25"/>
      <c r="Q189" s="384" t="s">
        <v>62</v>
      </c>
      <c r="R189" s="385"/>
      <c r="S189" s="386"/>
      <c r="T189" s="380" t="s">
        <v>63</v>
      </c>
      <c r="U189" s="382" t="s">
        <v>64</v>
      </c>
      <c r="V189" s="382" t="s">
        <v>65</v>
      </c>
      <c r="W189" s="382" t="s">
        <v>66</v>
      </c>
      <c r="X189" s="354" t="s">
        <v>67</v>
      </c>
      <c r="Y189" s="380" t="s">
        <v>68</v>
      </c>
      <c r="Z189" s="382" t="s">
        <v>69</v>
      </c>
      <c r="AA189" s="382" t="s">
        <v>70</v>
      </c>
      <c r="AB189" s="380" t="s">
        <v>71</v>
      </c>
      <c r="AC189" s="354" t="s">
        <v>72</v>
      </c>
      <c r="AD189" s="380" t="s">
        <v>73</v>
      </c>
      <c r="AE189" s="354" t="s">
        <v>74</v>
      </c>
      <c r="AF189" s="382" t="s">
        <v>75</v>
      </c>
      <c r="AG189" s="382" t="s">
        <v>76</v>
      </c>
      <c r="AH189" s="380" t="s">
        <v>71</v>
      </c>
      <c r="AI189" s="354" t="s">
        <v>77</v>
      </c>
      <c r="AJ189" s="380" t="s">
        <v>78</v>
      </c>
      <c r="AK189" s="354" t="s">
        <v>79</v>
      </c>
      <c r="AL189" s="356" t="s">
        <v>80</v>
      </c>
    </row>
    <row r="190" spans="15:38" s="24" customFormat="1" ht="78.75" x14ac:dyDescent="0.25">
      <c r="O190" s="25"/>
      <c r="P190" s="25"/>
      <c r="Q190" s="34" t="s">
        <v>81</v>
      </c>
      <c r="R190" s="34" t="s">
        <v>82</v>
      </c>
      <c r="S190" s="34" t="s">
        <v>83</v>
      </c>
      <c r="T190" s="381"/>
      <c r="U190" s="383"/>
      <c r="V190" s="383"/>
      <c r="W190" s="383"/>
      <c r="X190" s="355"/>
      <c r="Y190" s="381"/>
      <c r="Z190" s="383"/>
      <c r="AA190" s="383"/>
      <c r="AB190" s="381"/>
      <c r="AC190" s="355"/>
      <c r="AD190" s="381"/>
      <c r="AE190" s="355"/>
      <c r="AF190" s="383"/>
      <c r="AG190" s="383"/>
      <c r="AH190" s="381"/>
      <c r="AI190" s="355"/>
      <c r="AJ190" s="381"/>
      <c r="AK190" s="355"/>
      <c r="AL190" s="357"/>
    </row>
    <row r="191" spans="15:38" s="24" customFormat="1" ht="15.75" x14ac:dyDescent="0.25">
      <c r="O191" s="25"/>
      <c r="P191" s="25"/>
      <c r="Q191" s="42">
        <v>1</v>
      </c>
      <c r="R191" s="43">
        <v>2</v>
      </c>
      <c r="S191" s="43">
        <v>3</v>
      </c>
      <c r="T191" s="44">
        <v>4</v>
      </c>
      <c r="U191" s="45">
        <v>5</v>
      </c>
      <c r="V191" s="46">
        <v>6</v>
      </c>
      <c r="W191" s="46">
        <v>7</v>
      </c>
      <c r="X191" s="47">
        <v>8</v>
      </c>
      <c r="Y191" s="48">
        <v>9</v>
      </c>
      <c r="Z191" s="46">
        <v>10</v>
      </c>
      <c r="AA191" s="46">
        <v>11</v>
      </c>
      <c r="AB191" s="48">
        <v>12</v>
      </c>
      <c r="AC191" s="29">
        <v>13</v>
      </c>
      <c r="AD191" s="31">
        <v>14</v>
      </c>
      <c r="AE191" s="29">
        <v>15</v>
      </c>
      <c r="AF191" s="27">
        <v>16</v>
      </c>
      <c r="AG191" s="27">
        <v>17</v>
      </c>
      <c r="AH191" s="33">
        <v>18</v>
      </c>
      <c r="AI191" s="35">
        <v>19</v>
      </c>
      <c r="AJ191" s="28">
        <v>20</v>
      </c>
      <c r="AK191" s="35">
        <v>21</v>
      </c>
      <c r="AL191" s="35">
        <v>22</v>
      </c>
    </row>
    <row r="192" spans="15:38" s="24" customFormat="1" ht="47.25" x14ac:dyDescent="0.25">
      <c r="O192" s="25"/>
      <c r="P192" s="25"/>
      <c r="Q192" s="358">
        <f>K21</f>
        <v>28.833333333333332</v>
      </c>
      <c r="R192" s="361">
        <f>H21</f>
        <v>10</v>
      </c>
      <c r="S192" s="364">
        <v>7</v>
      </c>
      <c r="T192" s="49" t="s">
        <v>84</v>
      </c>
      <c r="U192" s="50" t="s">
        <v>85</v>
      </c>
      <c r="V192" s="63">
        <v>11</v>
      </c>
      <c r="W192" s="52">
        <v>70</v>
      </c>
      <c r="X192" s="51">
        <f>(V192/100)*Q192*R192*S192/W192</f>
        <v>3.1716666666666664</v>
      </c>
      <c r="Y192" s="367">
        <v>300</v>
      </c>
      <c r="Z192" s="56">
        <v>7</v>
      </c>
      <c r="AA192" s="64">
        <f>M21</f>
        <v>6.6</v>
      </c>
      <c r="AB192" s="53">
        <v>0.12820512820512822</v>
      </c>
      <c r="AC192" s="51">
        <f>X192*Y192*Z192*AA192*AB192</f>
        <v>5635.8076923076915</v>
      </c>
      <c r="AD192" s="65">
        <v>2.16</v>
      </c>
      <c r="AE192" s="66">
        <f>AC192*AD192/1000</f>
        <v>12.173344615384615</v>
      </c>
      <c r="AF192" s="368">
        <f>M21</f>
        <v>6.6</v>
      </c>
      <c r="AG192" s="368" t="s">
        <v>86</v>
      </c>
      <c r="AH192" s="371">
        <v>0.18</v>
      </c>
      <c r="AI192" s="374">
        <f>(Q192*S192*Y192*AF192)*AH192</f>
        <v>71933.39999999998</v>
      </c>
      <c r="AJ192" s="371">
        <v>2.2000000000000002</v>
      </c>
      <c r="AK192" s="374">
        <f>(AI192*AJ192)/1000</f>
        <v>158.25347999999997</v>
      </c>
      <c r="AL192" s="377">
        <f>(AE196)-AK192</f>
        <v>-110.34763715205722</v>
      </c>
    </row>
    <row r="193" spans="15:38" s="24" customFormat="1" ht="31.5" x14ac:dyDescent="0.25">
      <c r="O193" s="25"/>
      <c r="P193" s="25"/>
      <c r="Q193" s="359"/>
      <c r="R193" s="362"/>
      <c r="S193" s="365"/>
      <c r="T193" s="49" t="s">
        <v>87</v>
      </c>
      <c r="U193" s="54" t="s">
        <v>85</v>
      </c>
      <c r="V193" s="63">
        <v>89</v>
      </c>
      <c r="W193" s="63">
        <v>70</v>
      </c>
      <c r="X193" s="51">
        <f>(V193/100)*Q192*R192*S192/W193</f>
        <v>25.661666666666665</v>
      </c>
      <c r="Y193" s="359"/>
      <c r="Z193" s="59">
        <v>7</v>
      </c>
      <c r="AA193" s="64">
        <f>M21</f>
        <v>6.6</v>
      </c>
      <c r="AB193" s="55">
        <v>4.6511627906976744E-2</v>
      </c>
      <c r="AC193" s="51">
        <f>X193*Y192*Z193*AA193*AB193</f>
        <v>16542.82325581395</v>
      </c>
      <c r="AD193" s="65">
        <v>2.16</v>
      </c>
      <c r="AE193" s="66">
        <f>AC193*AD193/1000</f>
        <v>35.732498232558136</v>
      </c>
      <c r="AF193" s="369"/>
      <c r="AG193" s="369"/>
      <c r="AH193" s="372"/>
      <c r="AI193" s="375"/>
      <c r="AJ193" s="372"/>
      <c r="AK193" s="375"/>
      <c r="AL193" s="378"/>
    </row>
    <row r="194" spans="15:38" s="24" customFormat="1" ht="31.5" x14ac:dyDescent="0.25">
      <c r="O194" s="25"/>
      <c r="P194" s="25"/>
      <c r="Q194" s="359"/>
      <c r="R194" s="362"/>
      <c r="S194" s="365"/>
      <c r="T194" s="49" t="s">
        <v>88</v>
      </c>
      <c r="U194" s="54" t="s">
        <v>89</v>
      </c>
      <c r="V194" s="50">
        <v>0</v>
      </c>
      <c r="W194" s="52">
        <v>0</v>
      </c>
      <c r="X194" s="51">
        <v>0</v>
      </c>
      <c r="Y194" s="359"/>
      <c r="Z194" s="56">
        <v>0</v>
      </c>
      <c r="AA194" s="50">
        <v>0</v>
      </c>
      <c r="AB194" s="55">
        <v>0.18181818181818182</v>
      </c>
      <c r="AC194" s="30">
        <v>0</v>
      </c>
      <c r="AD194" s="65">
        <v>0</v>
      </c>
      <c r="AE194" s="66">
        <v>0</v>
      </c>
      <c r="AF194" s="369"/>
      <c r="AG194" s="369"/>
      <c r="AH194" s="372"/>
      <c r="AI194" s="375"/>
      <c r="AJ194" s="372"/>
      <c r="AK194" s="375"/>
      <c r="AL194" s="378"/>
    </row>
    <row r="195" spans="15:38" s="24" customFormat="1" ht="63" x14ac:dyDescent="0.25">
      <c r="O195" s="25"/>
      <c r="P195" s="25"/>
      <c r="Q195" s="360"/>
      <c r="R195" s="363"/>
      <c r="S195" s="366"/>
      <c r="T195" s="57" t="s">
        <v>90</v>
      </c>
      <c r="U195" s="54" t="s">
        <v>89</v>
      </c>
      <c r="V195" s="50">
        <v>0</v>
      </c>
      <c r="W195" s="52">
        <v>0</v>
      </c>
      <c r="X195" s="58"/>
      <c r="Y195" s="360"/>
      <c r="Z195" s="59">
        <v>0</v>
      </c>
      <c r="AA195" s="52">
        <v>0</v>
      </c>
      <c r="AB195" s="55"/>
      <c r="AC195" s="39"/>
      <c r="AD195" s="26"/>
      <c r="AE195" s="40"/>
      <c r="AF195" s="370"/>
      <c r="AG195" s="370"/>
      <c r="AH195" s="373"/>
      <c r="AI195" s="376"/>
      <c r="AJ195" s="373"/>
      <c r="AK195" s="376"/>
      <c r="AL195" s="379"/>
    </row>
    <row r="196" spans="15:38" s="24" customFormat="1" ht="15.75" x14ac:dyDescent="0.25">
      <c r="O196" s="25"/>
      <c r="P196" s="25"/>
      <c r="Q196" s="60" t="s">
        <v>91</v>
      </c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2"/>
      <c r="AC196" s="38"/>
      <c r="AD196" s="38"/>
      <c r="AE196" s="37">
        <f>SUM(AE192:AE195)</f>
        <v>47.90584284794275</v>
      </c>
      <c r="AF196" s="38"/>
      <c r="AG196" s="38"/>
      <c r="AH196" s="38"/>
      <c r="AI196" s="36">
        <f>AI192</f>
        <v>71933.39999999998</v>
      </c>
      <c r="AJ196" s="32"/>
      <c r="AK196" s="32"/>
      <c r="AL196" s="41"/>
    </row>
    <row r="197" spans="15:38" s="24" customFormat="1" x14ac:dyDescent="0.25">
      <c r="O197" s="25"/>
      <c r="P197" s="25"/>
      <c r="Q197" s="25"/>
      <c r="R197" s="25"/>
    </row>
    <row r="198" spans="15:38" x14ac:dyDescent="0.25">
      <c r="P198" s="25">
        <v>15</v>
      </c>
      <c r="Q198" s="25" t="s">
        <v>97</v>
      </c>
      <c r="R198" s="25" t="s">
        <v>30</v>
      </c>
    </row>
    <row r="199" spans="15:38" s="24" customFormat="1" x14ac:dyDescent="0.25">
      <c r="O199" s="25"/>
      <c r="P199" s="25"/>
      <c r="Q199" s="25"/>
      <c r="R199" s="25"/>
    </row>
    <row r="200" spans="15:38" s="24" customFormat="1" ht="15.75" x14ac:dyDescent="0.25">
      <c r="O200" s="25"/>
      <c r="P200" s="25"/>
      <c r="Q200" s="384" t="s">
        <v>62</v>
      </c>
      <c r="R200" s="385"/>
      <c r="S200" s="386"/>
      <c r="T200" s="380" t="s">
        <v>63</v>
      </c>
      <c r="U200" s="382" t="s">
        <v>64</v>
      </c>
      <c r="V200" s="382" t="s">
        <v>65</v>
      </c>
      <c r="W200" s="382" t="s">
        <v>66</v>
      </c>
      <c r="X200" s="354" t="s">
        <v>67</v>
      </c>
      <c r="Y200" s="380" t="s">
        <v>68</v>
      </c>
      <c r="Z200" s="382" t="s">
        <v>69</v>
      </c>
      <c r="AA200" s="382" t="s">
        <v>70</v>
      </c>
      <c r="AB200" s="380" t="s">
        <v>71</v>
      </c>
      <c r="AC200" s="354" t="s">
        <v>72</v>
      </c>
      <c r="AD200" s="380" t="s">
        <v>73</v>
      </c>
      <c r="AE200" s="354" t="s">
        <v>74</v>
      </c>
      <c r="AF200" s="382" t="s">
        <v>75</v>
      </c>
      <c r="AG200" s="382" t="s">
        <v>76</v>
      </c>
      <c r="AH200" s="380" t="s">
        <v>71</v>
      </c>
      <c r="AI200" s="354" t="s">
        <v>77</v>
      </c>
      <c r="AJ200" s="380" t="s">
        <v>78</v>
      </c>
      <c r="AK200" s="354" t="s">
        <v>79</v>
      </c>
      <c r="AL200" s="356" t="s">
        <v>80</v>
      </c>
    </row>
    <row r="201" spans="15:38" s="24" customFormat="1" ht="78.75" x14ac:dyDescent="0.25">
      <c r="O201" s="25"/>
      <c r="P201" s="25"/>
      <c r="Q201" s="34" t="s">
        <v>81</v>
      </c>
      <c r="R201" s="34" t="s">
        <v>82</v>
      </c>
      <c r="S201" s="34" t="s">
        <v>83</v>
      </c>
      <c r="T201" s="381"/>
      <c r="U201" s="383"/>
      <c r="V201" s="383"/>
      <c r="W201" s="383"/>
      <c r="X201" s="355"/>
      <c r="Y201" s="381"/>
      <c r="Z201" s="383"/>
      <c r="AA201" s="383"/>
      <c r="AB201" s="381"/>
      <c r="AC201" s="355"/>
      <c r="AD201" s="381"/>
      <c r="AE201" s="355"/>
      <c r="AF201" s="383"/>
      <c r="AG201" s="383"/>
      <c r="AH201" s="381"/>
      <c r="AI201" s="355"/>
      <c r="AJ201" s="381"/>
      <c r="AK201" s="355"/>
      <c r="AL201" s="357"/>
    </row>
    <row r="202" spans="15:38" s="24" customFormat="1" ht="15.75" x14ac:dyDescent="0.25">
      <c r="O202" s="25"/>
      <c r="P202" s="25"/>
      <c r="Q202" s="42">
        <v>1</v>
      </c>
      <c r="R202" s="43">
        <v>2</v>
      </c>
      <c r="S202" s="43">
        <v>3</v>
      </c>
      <c r="T202" s="44">
        <v>4</v>
      </c>
      <c r="U202" s="45">
        <v>5</v>
      </c>
      <c r="V202" s="46">
        <v>6</v>
      </c>
      <c r="W202" s="46">
        <v>7</v>
      </c>
      <c r="X202" s="47">
        <v>8</v>
      </c>
      <c r="Y202" s="48">
        <v>9</v>
      </c>
      <c r="Z202" s="46">
        <v>10</v>
      </c>
      <c r="AA202" s="46">
        <v>11</v>
      </c>
      <c r="AB202" s="48">
        <v>12</v>
      </c>
      <c r="AC202" s="29">
        <v>13</v>
      </c>
      <c r="AD202" s="31">
        <v>14</v>
      </c>
      <c r="AE202" s="29">
        <v>15</v>
      </c>
      <c r="AF202" s="27">
        <v>16</v>
      </c>
      <c r="AG202" s="27">
        <v>17</v>
      </c>
      <c r="AH202" s="33">
        <v>18</v>
      </c>
      <c r="AI202" s="35">
        <v>19</v>
      </c>
      <c r="AJ202" s="28">
        <v>20</v>
      </c>
      <c r="AK202" s="35">
        <v>21</v>
      </c>
      <c r="AL202" s="35">
        <v>22</v>
      </c>
    </row>
    <row r="203" spans="15:38" s="24" customFormat="1" ht="47.25" x14ac:dyDescent="0.25">
      <c r="O203" s="25"/>
      <c r="P203" s="25"/>
      <c r="Q203" s="358">
        <f>K22</f>
        <v>26.013333333333335</v>
      </c>
      <c r="R203" s="361">
        <f>H22</f>
        <v>50</v>
      </c>
      <c r="S203" s="364">
        <v>7</v>
      </c>
      <c r="T203" s="49" t="s">
        <v>84</v>
      </c>
      <c r="U203" s="50" t="s">
        <v>85</v>
      </c>
      <c r="V203" s="63">
        <v>11</v>
      </c>
      <c r="W203" s="52">
        <v>70</v>
      </c>
      <c r="X203" s="51">
        <f>(V203/100)*Q203*R203*S203/W203</f>
        <v>14.307333333333334</v>
      </c>
      <c r="Y203" s="367">
        <v>300</v>
      </c>
      <c r="Z203" s="56">
        <v>7</v>
      </c>
      <c r="AA203" s="64">
        <f>M22</f>
        <v>5.0999999999999996</v>
      </c>
      <c r="AB203" s="53">
        <v>0.12820512820512822</v>
      </c>
      <c r="AC203" s="51">
        <f>X203*Y203*Z203*AA203*AB203</f>
        <v>19645.06923076923</v>
      </c>
      <c r="AD203" s="65">
        <v>2.16</v>
      </c>
      <c r="AE203" s="66">
        <f>AC203*AD203/1000</f>
        <v>42.433349538461535</v>
      </c>
      <c r="AF203" s="368">
        <f>M22</f>
        <v>5.0999999999999996</v>
      </c>
      <c r="AG203" s="368" t="s">
        <v>86</v>
      </c>
      <c r="AH203" s="371">
        <v>0.18</v>
      </c>
      <c r="AI203" s="374">
        <f>(Q203*S203*Y203*AF203)*AH203</f>
        <v>50148.504000000008</v>
      </c>
      <c r="AJ203" s="371">
        <v>2.2000000000000002</v>
      </c>
      <c r="AK203" s="374">
        <f>(AI203*AJ203)/1000</f>
        <v>110.32670880000002</v>
      </c>
      <c r="AL203" s="377">
        <f>(AE207)-AK203</f>
        <v>56.661529743112695</v>
      </c>
    </row>
    <row r="204" spans="15:38" s="24" customFormat="1" ht="31.5" x14ac:dyDescent="0.25">
      <c r="O204" s="25"/>
      <c r="P204" s="25"/>
      <c r="Q204" s="359"/>
      <c r="R204" s="362"/>
      <c r="S204" s="365"/>
      <c r="T204" s="49" t="s">
        <v>87</v>
      </c>
      <c r="U204" s="54" t="s">
        <v>85</v>
      </c>
      <c r="V204" s="63">
        <v>89</v>
      </c>
      <c r="W204" s="63">
        <v>70</v>
      </c>
      <c r="X204" s="51">
        <f>(V204/100)*Q203*R203*S203/W204</f>
        <v>115.75933333333334</v>
      </c>
      <c r="Y204" s="359"/>
      <c r="Z204" s="59">
        <v>7</v>
      </c>
      <c r="AA204" s="64">
        <f>M22</f>
        <v>5.0999999999999996</v>
      </c>
      <c r="AB204" s="55">
        <v>4.6511627906976744E-2</v>
      </c>
      <c r="AC204" s="51">
        <f>X204*Y203*Z204*AA204*AB204</f>
        <v>57664.300465116285</v>
      </c>
      <c r="AD204" s="65">
        <v>2.16</v>
      </c>
      <c r="AE204" s="66">
        <f>AC204*AD204/1000</f>
        <v>124.55488900465119</v>
      </c>
      <c r="AF204" s="369"/>
      <c r="AG204" s="369"/>
      <c r="AH204" s="372"/>
      <c r="AI204" s="375"/>
      <c r="AJ204" s="372"/>
      <c r="AK204" s="375"/>
      <c r="AL204" s="378"/>
    </row>
    <row r="205" spans="15:38" s="24" customFormat="1" ht="31.5" x14ac:dyDescent="0.25">
      <c r="O205" s="25"/>
      <c r="P205" s="25"/>
      <c r="Q205" s="359"/>
      <c r="R205" s="362"/>
      <c r="S205" s="365"/>
      <c r="T205" s="49" t="s">
        <v>88</v>
      </c>
      <c r="U205" s="54" t="s">
        <v>89</v>
      </c>
      <c r="V205" s="50">
        <v>0</v>
      </c>
      <c r="W205" s="52">
        <v>0</v>
      </c>
      <c r="X205" s="51">
        <v>0</v>
      </c>
      <c r="Y205" s="359"/>
      <c r="Z205" s="56">
        <v>0</v>
      </c>
      <c r="AA205" s="50">
        <v>0</v>
      </c>
      <c r="AB205" s="55">
        <v>0.18181818181818182</v>
      </c>
      <c r="AC205" s="30">
        <v>0</v>
      </c>
      <c r="AD205" s="65">
        <v>0</v>
      </c>
      <c r="AE205" s="66">
        <v>0</v>
      </c>
      <c r="AF205" s="369"/>
      <c r="AG205" s="369"/>
      <c r="AH205" s="372"/>
      <c r="AI205" s="375"/>
      <c r="AJ205" s="372"/>
      <c r="AK205" s="375"/>
      <c r="AL205" s="378"/>
    </row>
    <row r="206" spans="15:38" s="24" customFormat="1" ht="63" x14ac:dyDescent="0.25">
      <c r="O206" s="25"/>
      <c r="P206" s="25"/>
      <c r="Q206" s="360"/>
      <c r="R206" s="363"/>
      <c r="S206" s="366"/>
      <c r="T206" s="57" t="s">
        <v>90</v>
      </c>
      <c r="U206" s="54" t="s">
        <v>89</v>
      </c>
      <c r="V206" s="50">
        <v>0</v>
      </c>
      <c r="W206" s="52">
        <v>0</v>
      </c>
      <c r="X206" s="58"/>
      <c r="Y206" s="360"/>
      <c r="Z206" s="59">
        <v>0</v>
      </c>
      <c r="AA206" s="52">
        <v>0</v>
      </c>
      <c r="AB206" s="55"/>
      <c r="AC206" s="39"/>
      <c r="AD206" s="26"/>
      <c r="AE206" s="40"/>
      <c r="AF206" s="370"/>
      <c r="AG206" s="370"/>
      <c r="AH206" s="373"/>
      <c r="AI206" s="376"/>
      <c r="AJ206" s="373"/>
      <c r="AK206" s="376"/>
      <c r="AL206" s="379"/>
    </row>
    <row r="207" spans="15:38" s="24" customFormat="1" ht="15.75" x14ac:dyDescent="0.25">
      <c r="O207" s="25"/>
      <c r="P207" s="25"/>
      <c r="Q207" s="60" t="s">
        <v>91</v>
      </c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2"/>
      <c r="AC207" s="38"/>
      <c r="AD207" s="38"/>
      <c r="AE207" s="37">
        <f>SUM(AE203:AE206)</f>
        <v>166.98823854311271</v>
      </c>
      <c r="AF207" s="38"/>
      <c r="AG207" s="38"/>
      <c r="AH207" s="38"/>
      <c r="AI207" s="36">
        <f>AI203</f>
        <v>50148.504000000008</v>
      </c>
      <c r="AJ207" s="32"/>
      <c r="AK207" s="32"/>
      <c r="AL207" s="41"/>
    </row>
    <row r="208" spans="15:38" s="24" customFormat="1" x14ac:dyDescent="0.25">
      <c r="O208" s="25"/>
      <c r="P208" s="25"/>
      <c r="Q208" s="25"/>
      <c r="R208" s="25"/>
    </row>
    <row r="209" spans="15:38" x14ac:dyDescent="0.25">
      <c r="O209" s="25">
        <v>11</v>
      </c>
      <c r="P209" s="25" t="s">
        <v>95</v>
      </c>
      <c r="Q209" s="25" t="s">
        <v>31</v>
      </c>
    </row>
    <row r="210" spans="15:38" s="24" customFormat="1" x14ac:dyDescent="0.25">
      <c r="O210" s="25"/>
      <c r="P210" s="25">
        <v>16</v>
      </c>
      <c r="Q210" s="25" t="s">
        <v>97</v>
      </c>
      <c r="R210" s="25" t="s">
        <v>32</v>
      </c>
    </row>
    <row r="211" spans="15:38" s="24" customFormat="1" x14ac:dyDescent="0.25">
      <c r="O211" s="25"/>
      <c r="P211" s="25"/>
      <c r="Q211" s="25"/>
      <c r="R211" s="25"/>
    </row>
    <row r="212" spans="15:38" s="24" customFormat="1" ht="15.75" x14ac:dyDescent="0.25">
      <c r="O212" s="25"/>
      <c r="P212" s="25"/>
      <c r="Q212" s="384" t="s">
        <v>62</v>
      </c>
      <c r="R212" s="385"/>
      <c r="S212" s="386"/>
      <c r="T212" s="380" t="s">
        <v>63</v>
      </c>
      <c r="U212" s="382" t="s">
        <v>64</v>
      </c>
      <c r="V212" s="382" t="s">
        <v>65</v>
      </c>
      <c r="W212" s="382" t="s">
        <v>66</v>
      </c>
      <c r="X212" s="354" t="s">
        <v>67</v>
      </c>
      <c r="Y212" s="380" t="s">
        <v>68</v>
      </c>
      <c r="Z212" s="382" t="s">
        <v>69</v>
      </c>
      <c r="AA212" s="382" t="s">
        <v>70</v>
      </c>
      <c r="AB212" s="380" t="s">
        <v>71</v>
      </c>
      <c r="AC212" s="354" t="s">
        <v>72</v>
      </c>
      <c r="AD212" s="380" t="s">
        <v>73</v>
      </c>
      <c r="AE212" s="354" t="s">
        <v>74</v>
      </c>
      <c r="AF212" s="382" t="s">
        <v>75</v>
      </c>
      <c r="AG212" s="382" t="s">
        <v>76</v>
      </c>
      <c r="AH212" s="380" t="s">
        <v>71</v>
      </c>
      <c r="AI212" s="354" t="s">
        <v>77</v>
      </c>
      <c r="AJ212" s="380" t="s">
        <v>78</v>
      </c>
      <c r="AK212" s="354" t="s">
        <v>79</v>
      </c>
      <c r="AL212" s="356" t="s">
        <v>80</v>
      </c>
    </row>
    <row r="213" spans="15:38" s="24" customFormat="1" ht="78.75" x14ac:dyDescent="0.25">
      <c r="O213" s="25"/>
      <c r="P213" s="25"/>
      <c r="Q213" s="34" t="s">
        <v>81</v>
      </c>
      <c r="R213" s="34" t="s">
        <v>82</v>
      </c>
      <c r="S213" s="34" t="s">
        <v>83</v>
      </c>
      <c r="T213" s="381"/>
      <c r="U213" s="383"/>
      <c r="V213" s="383"/>
      <c r="W213" s="383"/>
      <c r="X213" s="355"/>
      <c r="Y213" s="381"/>
      <c r="Z213" s="383"/>
      <c r="AA213" s="383"/>
      <c r="AB213" s="381"/>
      <c r="AC213" s="355"/>
      <c r="AD213" s="381"/>
      <c r="AE213" s="355"/>
      <c r="AF213" s="383"/>
      <c r="AG213" s="383"/>
      <c r="AH213" s="381"/>
      <c r="AI213" s="355"/>
      <c r="AJ213" s="381"/>
      <c r="AK213" s="355"/>
      <c r="AL213" s="357"/>
    </row>
    <row r="214" spans="15:38" s="24" customFormat="1" ht="15.75" x14ac:dyDescent="0.25">
      <c r="O214" s="25"/>
      <c r="P214" s="25"/>
      <c r="Q214" s="42">
        <v>1</v>
      </c>
      <c r="R214" s="43">
        <v>2</v>
      </c>
      <c r="S214" s="43">
        <v>3</v>
      </c>
      <c r="T214" s="44">
        <v>4</v>
      </c>
      <c r="U214" s="45">
        <v>5</v>
      </c>
      <c r="V214" s="46">
        <v>6</v>
      </c>
      <c r="W214" s="46">
        <v>7</v>
      </c>
      <c r="X214" s="47">
        <v>8</v>
      </c>
      <c r="Y214" s="48">
        <v>9</v>
      </c>
      <c r="Z214" s="46">
        <v>10</v>
      </c>
      <c r="AA214" s="46">
        <v>11</v>
      </c>
      <c r="AB214" s="48">
        <v>12</v>
      </c>
      <c r="AC214" s="29">
        <v>13</v>
      </c>
      <c r="AD214" s="31">
        <v>14</v>
      </c>
      <c r="AE214" s="29">
        <v>15</v>
      </c>
      <c r="AF214" s="27">
        <v>16</v>
      </c>
      <c r="AG214" s="27">
        <v>17</v>
      </c>
      <c r="AH214" s="33">
        <v>18</v>
      </c>
      <c r="AI214" s="35">
        <v>19</v>
      </c>
      <c r="AJ214" s="28">
        <v>20</v>
      </c>
      <c r="AK214" s="35">
        <v>21</v>
      </c>
      <c r="AL214" s="35">
        <v>22</v>
      </c>
    </row>
    <row r="215" spans="15:38" s="24" customFormat="1" ht="47.25" x14ac:dyDescent="0.25">
      <c r="O215" s="25"/>
      <c r="P215" s="25"/>
      <c r="Q215" s="358">
        <f>K23</f>
        <v>273</v>
      </c>
      <c r="R215" s="361">
        <f>H23</f>
        <v>5</v>
      </c>
      <c r="S215" s="364">
        <v>7</v>
      </c>
      <c r="T215" s="49" t="s">
        <v>84</v>
      </c>
      <c r="U215" s="50" t="s">
        <v>85</v>
      </c>
      <c r="V215" s="63">
        <v>11</v>
      </c>
      <c r="W215" s="52">
        <v>70</v>
      </c>
      <c r="X215" s="51">
        <f>(V215/100)*Q215*R215*S215/W215</f>
        <v>15.014999999999999</v>
      </c>
      <c r="Y215" s="367">
        <v>300</v>
      </c>
      <c r="Z215" s="56">
        <v>7</v>
      </c>
      <c r="AA215" s="64">
        <f>M23</f>
        <v>14.4</v>
      </c>
      <c r="AB215" s="53">
        <v>0.12820512820512822</v>
      </c>
      <c r="AC215" s="51">
        <f>X215*Y215*Z215*AA215*AB215</f>
        <v>58212.000000000015</v>
      </c>
      <c r="AD215" s="65">
        <v>2.16</v>
      </c>
      <c r="AE215" s="66">
        <f>AC215*AD215/1000</f>
        <v>125.73792000000005</v>
      </c>
      <c r="AF215" s="368">
        <f>M23</f>
        <v>14.4</v>
      </c>
      <c r="AG215" s="368" t="s">
        <v>86</v>
      </c>
      <c r="AH215" s="371">
        <v>0.18</v>
      </c>
      <c r="AI215" s="374">
        <f>(Q215*S215*Y215*AF215)*AH215</f>
        <v>1485993.5999999999</v>
      </c>
      <c r="AJ215" s="371">
        <v>2.2000000000000002</v>
      </c>
      <c r="AK215" s="374">
        <f>(AI215*AJ215)/1000</f>
        <v>3269.1859199999999</v>
      </c>
      <c r="AL215" s="377">
        <f>(AE219)-AK215</f>
        <v>-2774.3686593488374</v>
      </c>
    </row>
    <row r="216" spans="15:38" s="24" customFormat="1" ht="31.5" x14ac:dyDescent="0.25">
      <c r="O216" s="25"/>
      <c r="P216" s="25"/>
      <c r="Q216" s="359"/>
      <c r="R216" s="362"/>
      <c r="S216" s="365"/>
      <c r="T216" s="49" t="s">
        <v>87</v>
      </c>
      <c r="U216" s="54" t="s">
        <v>85</v>
      </c>
      <c r="V216" s="63">
        <v>89</v>
      </c>
      <c r="W216" s="63">
        <v>70</v>
      </c>
      <c r="X216" s="51">
        <f>(V216/100)*Q215*R215*S215/W216</f>
        <v>121.48499999999999</v>
      </c>
      <c r="Y216" s="359"/>
      <c r="Z216" s="59">
        <v>7</v>
      </c>
      <c r="AA216" s="64">
        <f>M23</f>
        <v>14.4</v>
      </c>
      <c r="AB216" s="55">
        <v>4.6511627906976744E-2</v>
      </c>
      <c r="AC216" s="51">
        <f>X216*Y215*Z216*AA216*AB216</f>
        <v>170870.06511627903</v>
      </c>
      <c r="AD216" s="65">
        <v>2.16</v>
      </c>
      <c r="AE216" s="66">
        <f>AC216*AD216/1000</f>
        <v>369.07934065116274</v>
      </c>
      <c r="AF216" s="369"/>
      <c r="AG216" s="369"/>
      <c r="AH216" s="372"/>
      <c r="AI216" s="375"/>
      <c r="AJ216" s="372"/>
      <c r="AK216" s="375"/>
      <c r="AL216" s="378"/>
    </row>
    <row r="217" spans="15:38" s="24" customFormat="1" ht="31.5" x14ac:dyDescent="0.25">
      <c r="O217" s="25"/>
      <c r="P217" s="25"/>
      <c r="Q217" s="359"/>
      <c r="R217" s="362"/>
      <c r="S217" s="365"/>
      <c r="T217" s="49" t="s">
        <v>88</v>
      </c>
      <c r="U217" s="54" t="s">
        <v>89</v>
      </c>
      <c r="V217" s="50">
        <v>0</v>
      </c>
      <c r="W217" s="52">
        <v>0</v>
      </c>
      <c r="X217" s="51">
        <v>0</v>
      </c>
      <c r="Y217" s="359"/>
      <c r="Z217" s="56">
        <v>0</v>
      </c>
      <c r="AA217" s="50">
        <v>0</v>
      </c>
      <c r="AB217" s="55">
        <v>0.18181818181818182</v>
      </c>
      <c r="AC217" s="30">
        <v>0</v>
      </c>
      <c r="AD217" s="65">
        <v>0</v>
      </c>
      <c r="AE217" s="66">
        <v>0</v>
      </c>
      <c r="AF217" s="369"/>
      <c r="AG217" s="369"/>
      <c r="AH217" s="372"/>
      <c r="AI217" s="375"/>
      <c r="AJ217" s="372"/>
      <c r="AK217" s="375"/>
      <c r="AL217" s="378"/>
    </row>
    <row r="218" spans="15:38" s="24" customFormat="1" ht="63" x14ac:dyDescent="0.25">
      <c r="O218" s="25"/>
      <c r="P218" s="25"/>
      <c r="Q218" s="360"/>
      <c r="R218" s="363"/>
      <c r="S218" s="366"/>
      <c r="T218" s="57" t="s">
        <v>90</v>
      </c>
      <c r="U218" s="54" t="s">
        <v>89</v>
      </c>
      <c r="V218" s="50">
        <v>0</v>
      </c>
      <c r="W218" s="52">
        <v>0</v>
      </c>
      <c r="X218" s="58"/>
      <c r="Y218" s="360"/>
      <c r="Z218" s="59">
        <v>0</v>
      </c>
      <c r="AA218" s="52">
        <v>0</v>
      </c>
      <c r="AB218" s="55"/>
      <c r="AC218" s="39"/>
      <c r="AD218" s="26"/>
      <c r="AE218" s="40"/>
      <c r="AF218" s="370"/>
      <c r="AG218" s="370"/>
      <c r="AH218" s="373"/>
      <c r="AI218" s="376"/>
      <c r="AJ218" s="373"/>
      <c r="AK218" s="376"/>
      <c r="AL218" s="379"/>
    </row>
    <row r="219" spans="15:38" s="24" customFormat="1" ht="15.75" x14ac:dyDescent="0.25">
      <c r="O219" s="25"/>
      <c r="P219" s="25"/>
      <c r="Q219" s="60" t="s">
        <v>91</v>
      </c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2"/>
      <c r="AC219" s="38"/>
      <c r="AD219" s="38"/>
      <c r="AE219" s="37">
        <f>SUM(AE215:AE218)</f>
        <v>494.81726065116277</v>
      </c>
      <c r="AF219" s="38"/>
      <c r="AG219" s="38"/>
      <c r="AH219" s="38"/>
      <c r="AI219" s="36">
        <f>AI215</f>
        <v>1485993.5999999999</v>
      </c>
      <c r="AJ219" s="32"/>
      <c r="AK219" s="32"/>
      <c r="AL219" s="41"/>
    </row>
    <row r="220" spans="15:38" s="24" customFormat="1" x14ac:dyDescent="0.25">
      <c r="O220" s="25"/>
      <c r="P220" s="25"/>
      <c r="Q220" s="25"/>
      <c r="R220" s="25"/>
    </row>
    <row r="221" spans="15:38" x14ac:dyDescent="0.25">
      <c r="P221" s="25">
        <v>17</v>
      </c>
      <c r="Q221" s="25" t="s">
        <v>97</v>
      </c>
      <c r="R221" s="25" t="s">
        <v>33</v>
      </c>
    </row>
    <row r="222" spans="15:38" s="24" customFormat="1" x14ac:dyDescent="0.25">
      <c r="O222" s="25"/>
      <c r="P222" s="25"/>
      <c r="R222" s="25"/>
    </row>
    <row r="223" spans="15:38" s="24" customFormat="1" ht="15.75" x14ac:dyDescent="0.25">
      <c r="O223" s="25"/>
      <c r="P223" s="25"/>
      <c r="Q223" s="384" t="s">
        <v>62</v>
      </c>
      <c r="R223" s="385"/>
      <c r="S223" s="386"/>
      <c r="T223" s="380" t="s">
        <v>63</v>
      </c>
      <c r="U223" s="382" t="s">
        <v>64</v>
      </c>
      <c r="V223" s="382" t="s">
        <v>65</v>
      </c>
      <c r="W223" s="382" t="s">
        <v>66</v>
      </c>
      <c r="X223" s="354" t="s">
        <v>67</v>
      </c>
      <c r="Y223" s="380" t="s">
        <v>68</v>
      </c>
      <c r="Z223" s="382" t="s">
        <v>69</v>
      </c>
      <c r="AA223" s="382" t="s">
        <v>70</v>
      </c>
      <c r="AB223" s="380" t="s">
        <v>71</v>
      </c>
      <c r="AC223" s="354" t="s">
        <v>72</v>
      </c>
      <c r="AD223" s="380" t="s">
        <v>73</v>
      </c>
      <c r="AE223" s="354" t="s">
        <v>74</v>
      </c>
      <c r="AF223" s="382" t="s">
        <v>75</v>
      </c>
      <c r="AG223" s="382" t="s">
        <v>76</v>
      </c>
      <c r="AH223" s="380" t="s">
        <v>71</v>
      </c>
      <c r="AI223" s="354" t="s">
        <v>77</v>
      </c>
      <c r="AJ223" s="380" t="s">
        <v>78</v>
      </c>
      <c r="AK223" s="354" t="s">
        <v>79</v>
      </c>
      <c r="AL223" s="356" t="s">
        <v>80</v>
      </c>
    </row>
    <row r="224" spans="15:38" s="24" customFormat="1" ht="78.75" x14ac:dyDescent="0.25">
      <c r="O224" s="25"/>
      <c r="P224" s="25"/>
      <c r="Q224" s="34" t="s">
        <v>81</v>
      </c>
      <c r="R224" s="34" t="s">
        <v>82</v>
      </c>
      <c r="S224" s="34" t="s">
        <v>83</v>
      </c>
      <c r="T224" s="381"/>
      <c r="U224" s="383"/>
      <c r="V224" s="383"/>
      <c r="W224" s="383"/>
      <c r="X224" s="355"/>
      <c r="Y224" s="381"/>
      <c r="Z224" s="383"/>
      <c r="AA224" s="383"/>
      <c r="AB224" s="381"/>
      <c r="AC224" s="355"/>
      <c r="AD224" s="381"/>
      <c r="AE224" s="355"/>
      <c r="AF224" s="383"/>
      <c r="AG224" s="383"/>
      <c r="AH224" s="381"/>
      <c r="AI224" s="355"/>
      <c r="AJ224" s="381"/>
      <c r="AK224" s="355"/>
      <c r="AL224" s="357"/>
    </row>
    <row r="225" spans="15:38" s="24" customFormat="1" ht="15.75" x14ac:dyDescent="0.25">
      <c r="O225" s="25"/>
      <c r="P225" s="25"/>
      <c r="Q225" s="42">
        <v>1</v>
      </c>
      <c r="R225" s="43">
        <v>2</v>
      </c>
      <c r="S225" s="43">
        <v>3</v>
      </c>
      <c r="T225" s="44">
        <v>4</v>
      </c>
      <c r="U225" s="45">
        <v>5</v>
      </c>
      <c r="V225" s="46">
        <v>6</v>
      </c>
      <c r="W225" s="46">
        <v>7</v>
      </c>
      <c r="X225" s="47">
        <v>8</v>
      </c>
      <c r="Y225" s="48">
        <v>9</v>
      </c>
      <c r="Z225" s="46">
        <v>10</v>
      </c>
      <c r="AA225" s="46">
        <v>11</v>
      </c>
      <c r="AB225" s="48">
        <v>12</v>
      </c>
      <c r="AC225" s="29">
        <v>13</v>
      </c>
      <c r="AD225" s="31">
        <v>14</v>
      </c>
      <c r="AE225" s="29">
        <v>15</v>
      </c>
      <c r="AF225" s="27">
        <v>16</v>
      </c>
      <c r="AG225" s="27">
        <v>17</v>
      </c>
      <c r="AH225" s="33">
        <v>18</v>
      </c>
      <c r="AI225" s="35">
        <v>19</v>
      </c>
      <c r="AJ225" s="28">
        <v>20</v>
      </c>
      <c r="AK225" s="35">
        <v>21</v>
      </c>
      <c r="AL225" s="35">
        <v>22</v>
      </c>
    </row>
    <row r="226" spans="15:38" s="24" customFormat="1" ht="47.25" x14ac:dyDescent="0.25">
      <c r="O226" s="25"/>
      <c r="P226" s="25"/>
      <c r="Q226" s="358">
        <f>K24</f>
        <v>14.017142857142858</v>
      </c>
      <c r="R226" s="361">
        <f>H24</f>
        <v>75</v>
      </c>
      <c r="S226" s="364">
        <v>7</v>
      </c>
      <c r="T226" s="49" t="s">
        <v>84</v>
      </c>
      <c r="U226" s="50" t="s">
        <v>85</v>
      </c>
      <c r="V226" s="63">
        <v>11</v>
      </c>
      <c r="W226" s="52">
        <v>70</v>
      </c>
      <c r="X226" s="51">
        <f>(V226/100)*Q226*R226*S226/W226</f>
        <v>11.564142857142857</v>
      </c>
      <c r="Y226" s="367">
        <v>300</v>
      </c>
      <c r="Z226" s="56">
        <v>7</v>
      </c>
      <c r="AA226" s="64">
        <f>M24</f>
        <v>19.3</v>
      </c>
      <c r="AB226" s="53">
        <v>0.12820512820512822</v>
      </c>
      <c r="AC226" s="51">
        <f>X226*Y226*Z226*AA226*AB226</f>
        <v>60089.065384615387</v>
      </c>
      <c r="AD226" s="65">
        <v>2.16</v>
      </c>
      <c r="AE226" s="66">
        <f>AC226*AD226/1000</f>
        <v>129.79238123076925</v>
      </c>
      <c r="AF226" s="368">
        <f>M24</f>
        <v>19.3</v>
      </c>
      <c r="AG226" s="368" t="s">
        <v>86</v>
      </c>
      <c r="AH226" s="371">
        <v>0.18</v>
      </c>
      <c r="AI226" s="374">
        <f>(Q226*S226*Y226*AF226)*AH226</f>
        <v>102260.664</v>
      </c>
      <c r="AJ226" s="371">
        <v>2.2000000000000002</v>
      </c>
      <c r="AK226" s="374">
        <f>(AI226*AJ226)/1000</f>
        <v>224.97346080000003</v>
      </c>
      <c r="AL226" s="377">
        <f>(AE230)-AK226</f>
        <v>285.79934770518798</v>
      </c>
    </row>
    <row r="227" spans="15:38" s="24" customFormat="1" ht="31.5" x14ac:dyDescent="0.25">
      <c r="O227" s="25"/>
      <c r="P227" s="25"/>
      <c r="Q227" s="359"/>
      <c r="R227" s="362"/>
      <c r="S227" s="365"/>
      <c r="T227" s="49" t="s">
        <v>87</v>
      </c>
      <c r="U227" s="54" t="s">
        <v>85</v>
      </c>
      <c r="V227" s="63">
        <v>89</v>
      </c>
      <c r="W227" s="63">
        <v>70</v>
      </c>
      <c r="X227" s="51">
        <f>(V227/100)*Q226*R226*S226/W227</f>
        <v>93.564428571428593</v>
      </c>
      <c r="Y227" s="359"/>
      <c r="Z227" s="59">
        <v>7</v>
      </c>
      <c r="AA227" s="64">
        <f>M24</f>
        <v>19.3</v>
      </c>
      <c r="AB227" s="55">
        <v>4.6511627906976744E-2</v>
      </c>
      <c r="AC227" s="51">
        <f>X227*Y226*Z227*AA227*AB227</f>
        <v>176379.82744186051</v>
      </c>
      <c r="AD227" s="65">
        <v>2.16</v>
      </c>
      <c r="AE227" s="66">
        <f>AC227*AD227/1000</f>
        <v>380.98042727441879</v>
      </c>
      <c r="AF227" s="369"/>
      <c r="AG227" s="369"/>
      <c r="AH227" s="372"/>
      <c r="AI227" s="375"/>
      <c r="AJ227" s="372"/>
      <c r="AK227" s="375"/>
      <c r="AL227" s="378"/>
    </row>
    <row r="228" spans="15:38" s="24" customFormat="1" ht="31.5" x14ac:dyDescent="0.25">
      <c r="O228" s="25"/>
      <c r="P228" s="25"/>
      <c r="Q228" s="359"/>
      <c r="R228" s="362"/>
      <c r="S228" s="365"/>
      <c r="T228" s="49" t="s">
        <v>88</v>
      </c>
      <c r="U228" s="54" t="s">
        <v>89</v>
      </c>
      <c r="V228" s="50">
        <v>0</v>
      </c>
      <c r="W228" s="52">
        <v>0</v>
      </c>
      <c r="X228" s="51">
        <v>0</v>
      </c>
      <c r="Y228" s="359"/>
      <c r="Z228" s="56">
        <v>0</v>
      </c>
      <c r="AA228" s="50">
        <v>0</v>
      </c>
      <c r="AB228" s="55">
        <v>0.18181818181818182</v>
      </c>
      <c r="AC228" s="30">
        <v>0</v>
      </c>
      <c r="AD228" s="65">
        <v>0</v>
      </c>
      <c r="AE228" s="66">
        <v>0</v>
      </c>
      <c r="AF228" s="369"/>
      <c r="AG228" s="369"/>
      <c r="AH228" s="372"/>
      <c r="AI228" s="375"/>
      <c r="AJ228" s="372"/>
      <c r="AK228" s="375"/>
      <c r="AL228" s="378"/>
    </row>
    <row r="229" spans="15:38" s="24" customFormat="1" ht="63" x14ac:dyDescent="0.25">
      <c r="O229" s="25"/>
      <c r="P229" s="25"/>
      <c r="Q229" s="360"/>
      <c r="R229" s="363"/>
      <c r="S229" s="366"/>
      <c r="T229" s="57" t="s">
        <v>90</v>
      </c>
      <c r="U229" s="54" t="s">
        <v>89</v>
      </c>
      <c r="V229" s="50">
        <v>0</v>
      </c>
      <c r="W229" s="52">
        <v>0</v>
      </c>
      <c r="X229" s="58"/>
      <c r="Y229" s="360"/>
      <c r="Z229" s="59">
        <v>0</v>
      </c>
      <c r="AA229" s="52">
        <v>0</v>
      </c>
      <c r="AB229" s="55"/>
      <c r="AC229" s="39"/>
      <c r="AD229" s="26"/>
      <c r="AE229" s="40"/>
      <c r="AF229" s="370"/>
      <c r="AG229" s="370"/>
      <c r="AH229" s="373"/>
      <c r="AI229" s="376"/>
      <c r="AJ229" s="373"/>
      <c r="AK229" s="376"/>
      <c r="AL229" s="379"/>
    </row>
    <row r="230" spans="15:38" s="24" customFormat="1" ht="15.75" x14ac:dyDescent="0.25">
      <c r="O230" s="25"/>
      <c r="P230" s="25"/>
      <c r="Q230" s="60" t="s">
        <v>91</v>
      </c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2"/>
      <c r="AC230" s="38"/>
      <c r="AD230" s="38"/>
      <c r="AE230" s="37">
        <f>SUM(AE226:AE229)</f>
        <v>510.77280850518804</v>
      </c>
      <c r="AF230" s="38"/>
      <c r="AG230" s="38"/>
      <c r="AH230" s="38"/>
      <c r="AI230" s="36">
        <f>AI226</f>
        <v>102260.664</v>
      </c>
      <c r="AJ230" s="32"/>
      <c r="AK230" s="32"/>
      <c r="AL230" s="41"/>
    </row>
    <row r="231" spans="15:38" s="24" customFormat="1" x14ac:dyDescent="0.25">
      <c r="O231" s="25"/>
      <c r="P231" s="25"/>
      <c r="R231" s="25"/>
    </row>
    <row r="232" spans="15:38" x14ac:dyDescent="0.25">
      <c r="O232" s="25">
        <v>12</v>
      </c>
      <c r="P232" s="25" t="s">
        <v>95</v>
      </c>
      <c r="Q232" s="25" t="s">
        <v>8</v>
      </c>
    </row>
    <row r="233" spans="15:38" s="24" customFormat="1" x14ac:dyDescent="0.25">
      <c r="O233" s="25"/>
      <c r="P233" s="25">
        <v>18</v>
      </c>
      <c r="Q233" s="25" t="s">
        <v>97</v>
      </c>
      <c r="R233" s="25" t="s">
        <v>34</v>
      </c>
    </row>
    <row r="234" spans="15:38" s="24" customFormat="1" x14ac:dyDescent="0.25">
      <c r="O234" s="25"/>
      <c r="P234" s="25"/>
      <c r="Q234" s="25"/>
      <c r="R234" s="25"/>
    </row>
    <row r="235" spans="15:38" s="24" customFormat="1" ht="15.75" x14ac:dyDescent="0.25">
      <c r="O235" s="25"/>
      <c r="P235" s="25"/>
      <c r="Q235" s="384" t="s">
        <v>62</v>
      </c>
      <c r="R235" s="385"/>
      <c r="S235" s="386"/>
      <c r="T235" s="380" t="s">
        <v>63</v>
      </c>
      <c r="U235" s="382" t="s">
        <v>64</v>
      </c>
      <c r="V235" s="382" t="s">
        <v>65</v>
      </c>
      <c r="W235" s="382" t="s">
        <v>66</v>
      </c>
      <c r="X235" s="354" t="s">
        <v>67</v>
      </c>
      <c r="Y235" s="380" t="s">
        <v>68</v>
      </c>
      <c r="Z235" s="382" t="s">
        <v>69</v>
      </c>
      <c r="AA235" s="382" t="s">
        <v>70</v>
      </c>
      <c r="AB235" s="380" t="s">
        <v>71</v>
      </c>
      <c r="AC235" s="354" t="s">
        <v>72</v>
      </c>
      <c r="AD235" s="380" t="s">
        <v>73</v>
      </c>
      <c r="AE235" s="354" t="s">
        <v>74</v>
      </c>
      <c r="AF235" s="382" t="s">
        <v>75</v>
      </c>
      <c r="AG235" s="382" t="s">
        <v>76</v>
      </c>
      <c r="AH235" s="380" t="s">
        <v>71</v>
      </c>
      <c r="AI235" s="354" t="s">
        <v>77</v>
      </c>
      <c r="AJ235" s="380" t="s">
        <v>78</v>
      </c>
      <c r="AK235" s="354" t="s">
        <v>79</v>
      </c>
      <c r="AL235" s="356" t="s">
        <v>80</v>
      </c>
    </row>
    <row r="236" spans="15:38" s="24" customFormat="1" ht="78.75" x14ac:dyDescent="0.25">
      <c r="O236" s="25"/>
      <c r="P236" s="25"/>
      <c r="Q236" s="34" t="s">
        <v>81</v>
      </c>
      <c r="R236" s="34" t="s">
        <v>82</v>
      </c>
      <c r="S236" s="34" t="s">
        <v>83</v>
      </c>
      <c r="T236" s="381"/>
      <c r="U236" s="383"/>
      <c r="V236" s="383"/>
      <c r="W236" s="383"/>
      <c r="X236" s="355"/>
      <c r="Y236" s="381"/>
      <c r="Z236" s="383"/>
      <c r="AA236" s="383"/>
      <c r="AB236" s="381"/>
      <c r="AC236" s="355"/>
      <c r="AD236" s="381"/>
      <c r="AE236" s="355"/>
      <c r="AF236" s="383"/>
      <c r="AG236" s="383"/>
      <c r="AH236" s="381"/>
      <c r="AI236" s="355"/>
      <c r="AJ236" s="381"/>
      <c r="AK236" s="355"/>
      <c r="AL236" s="357"/>
    </row>
    <row r="237" spans="15:38" s="24" customFormat="1" ht="15.75" x14ac:dyDescent="0.25">
      <c r="O237" s="25"/>
      <c r="P237" s="25"/>
      <c r="Q237" s="42">
        <v>1</v>
      </c>
      <c r="R237" s="43">
        <v>2</v>
      </c>
      <c r="S237" s="43">
        <v>3</v>
      </c>
      <c r="T237" s="44">
        <v>4</v>
      </c>
      <c r="U237" s="45">
        <v>5</v>
      </c>
      <c r="V237" s="46">
        <v>6</v>
      </c>
      <c r="W237" s="46">
        <v>7</v>
      </c>
      <c r="X237" s="47">
        <v>8</v>
      </c>
      <c r="Y237" s="48">
        <v>9</v>
      </c>
      <c r="Z237" s="46">
        <v>10</v>
      </c>
      <c r="AA237" s="46">
        <v>11</v>
      </c>
      <c r="AB237" s="48">
        <v>12</v>
      </c>
      <c r="AC237" s="29">
        <v>13</v>
      </c>
      <c r="AD237" s="31">
        <v>14</v>
      </c>
      <c r="AE237" s="29">
        <v>15</v>
      </c>
      <c r="AF237" s="27">
        <v>16</v>
      </c>
      <c r="AG237" s="27">
        <v>17</v>
      </c>
      <c r="AH237" s="33">
        <v>18</v>
      </c>
      <c r="AI237" s="35">
        <v>19</v>
      </c>
      <c r="AJ237" s="28">
        <v>20</v>
      </c>
      <c r="AK237" s="35">
        <v>21</v>
      </c>
      <c r="AL237" s="35">
        <v>22</v>
      </c>
    </row>
    <row r="238" spans="15:38" s="24" customFormat="1" ht="47.25" x14ac:dyDescent="0.25">
      <c r="O238" s="25"/>
      <c r="P238" s="25"/>
      <c r="Q238" s="358">
        <f>K25</f>
        <v>14.017142857142858</v>
      </c>
      <c r="R238" s="361">
        <f>H25</f>
        <v>75</v>
      </c>
      <c r="S238" s="364">
        <v>7</v>
      </c>
      <c r="T238" s="49" t="s">
        <v>84</v>
      </c>
      <c r="U238" s="50" t="s">
        <v>85</v>
      </c>
      <c r="V238" s="63">
        <v>11</v>
      </c>
      <c r="W238" s="52">
        <v>70</v>
      </c>
      <c r="X238" s="51">
        <f>(V238/100)*Q238*R238*S238/W238</f>
        <v>11.564142857142857</v>
      </c>
      <c r="Y238" s="367">
        <v>300</v>
      </c>
      <c r="Z238" s="56">
        <v>7</v>
      </c>
      <c r="AA238" s="64">
        <f>M25</f>
        <v>16.8</v>
      </c>
      <c r="AB238" s="53">
        <v>0.12820512820512822</v>
      </c>
      <c r="AC238" s="51">
        <f>X238*Y238*Z238*AA238*AB238</f>
        <v>52305.507692307692</v>
      </c>
      <c r="AD238" s="65">
        <v>2.16</v>
      </c>
      <c r="AE238" s="66">
        <f>AC238*AD238/1000</f>
        <v>112.97989661538463</v>
      </c>
      <c r="AF238" s="368">
        <f>M25</f>
        <v>16.8</v>
      </c>
      <c r="AG238" s="368" t="s">
        <v>86</v>
      </c>
      <c r="AH238" s="371">
        <v>0.18</v>
      </c>
      <c r="AI238" s="374">
        <f>(Q238*S238*Y238*AF238)*AH238</f>
        <v>89014.464000000007</v>
      </c>
      <c r="AJ238" s="371">
        <v>2.2000000000000002</v>
      </c>
      <c r="AK238" s="374">
        <f>(AI238*AJ238)/1000</f>
        <v>195.83182080000003</v>
      </c>
      <c r="AL238" s="377">
        <f>(AE242)-AK238</f>
        <v>248.7787068107335</v>
      </c>
    </row>
    <row r="239" spans="15:38" s="24" customFormat="1" ht="31.5" x14ac:dyDescent="0.25">
      <c r="O239" s="25"/>
      <c r="P239" s="25"/>
      <c r="Q239" s="359"/>
      <c r="R239" s="362"/>
      <c r="S239" s="365"/>
      <c r="T239" s="49" t="s">
        <v>87</v>
      </c>
      <c r="U239" s="54" t="s">
        <v>85</v>
      </c>
      <c r="V239" s="63">
        <v>89</v>
      </c>
      <c r="W239" s="63">
        <v>70</v>
      </c>
      <c r="X239" s="51">
        <f>(V239/100)*Q238*R238*S238/W239</f>
        <v>93.564428571428593</v>
      </c>
      <c r="Y239" s="359"/>
      <c r="Z239" s="59">
        <v>7</v>
      </c>
      <c r="AA239" s="64">
        <f>M25</f>
        <v>16.8</v>
      </c>
      <c r="AB239" s="55">
        <v>4.6511627906976744E-2</v>
      </c>
      <c r="AC239" s="51">
        <f>X239*Y238*Z239*AA239*AB239</f>
        <v>153532.69953488375</v>
      </c>
      <c r="AD239" s="65">
        <v>2.16</v>
      </c>
      <c r="AE239" s="66">
        <f>AC239*AD239/1000</f>
        <v>331.63063099534889</v>
      </c>
      <c r="AF239" s="369"/>
      <c r="AG239" s="369"/>
      <c r="AH239" s="372"/>
      <c r="AI239" s="375"/>
      <c r="AJ239" s="372"/>
      <c r="AK239" s="375"/>
      <c r="AL239" s="378"/>
    </row>
    <row r="240" spans="15:38" s="24" customFormat="1" ht="31.5" x14ac:dyDescent="0.25">
      <c r="O240" s="25"/>
      <c r="P240" s="25"/>
      <c r="Q240" s="359"/>
      <c r="R240" s="362"/>
      <c r="S240" s="365"/>
      <c r="T240" s="49" t="s">
        <v>88</v>
      </c>
      <c r="U240" s="54" t="s">
        <v>89</v>
      </c>
      <c r="V240" s="50">
        <v>0</v>
      </c>
      <c r="W240" s="52">
        <v>0</v>
      </c>
      <c r="X240" s="51">
        <v>0</v>
      </c>
      <c r="Y240" s="359"/>
      <c r="Z240" s="56">
        <v>0</v>
      </c>
      <c r="AA240" s="50">
        <v>0</v>
      </c>
      <c r="AB240" s="55">
        <v>0.18181818181818182</v>
      </c>
      <c r="AC240" s="30">
        <v>0</v>
      </c>
      <c r="AD240" s="65">
        <v>0</v>
      </c>
      <c r="AE240" s="66">
        <v>0</v>
      </c>
      <c r="AF240" s="369"/>
      <c r="AG240" s="369"/>
      <c r="AH240" s="372"/>
      <c r="AI240" s="375"/>
      <c r="AJ240" s="372"/>
      <c r="AK240" s="375"/>
      <c r="AL240" s="378"/>
    </row>
    <row r="241" spans="15:38" s="24" customFormat="1" ht="63" x14ac:dyDescent="0.25">
      <c r="O241" s="25"/>
      <c r="P241" s="25"/>
      <c r="Q241" s="360"/>
      <c r="R241" s="363"/>
      <c r="S241" s="366"/>
      <c r="T241" s="57" t="s">
        <v>90</v>
      </c>
      <c r="U241" s="54" t="s">
        <v>89</v>
      </c>
      <c r="V241" s="50">
        <v>0</v>
      </c>
      <c r="W241" s="52">
        <v>0</v>
      </c>
      <c r="X241" s="58"/>
      <c r="Y241" s="360"/>
      <c r="Z241" s="59">
        <v>0</v>
      </c>
      <c r="AA241" s="52">
        <v>0</v>
      </c>
      <c r="AB241" s="55"/>
      <c r="AC241" s="39"/>
      <c r="AD241" s="26"/>
      <c r="AE241" s="40"/>
      <c r="AF241" s="370"/>
      <c r="AG241" s="370"/>
      <c r="AH241" s="373"/>
      <c r="AI241" s="376"/>
      <c r="AJ241" s="373"/>
      <c r="AK241" s="376"/>
      <c r="AL241" s="379"/>
    </row>
    <row r="242" spans="15:38" s="24" customFormat="1" ht="15.75" x14ac:dyDescent="0.25">
      <c r="O242" s="25"/>
      <c r="P242" s="25"/>
      <c r="Q242" s="60" t="s">
        <v>91</v>
      </c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2"/>
      <c r="AC242" s="38"/>
      <c r="AD242" s="38"/>
      <c r="AE242" s="37">
        <f>SUM(AE238:AE241)</f>
        <v>444.61052761073353</v>
      </c>
      <c r="AF242" s="38"/>
      <c r="AG242" s="38"/>
      <c r="AH242" s="38"/>
      <c r="AI242" s="36">
        <f>AI238</f>
        <v>89014.464000000007</v>
      </c>
      <c r="AJ242" s="32"/>
      <c r="AK242" s="32"/>
      <c r="AL242" s="41"/>
    </row>
    <row r="243" spans="15:38" s="24" customFormat="1" x14ac:dyDescent="0.25">
      <c r="O243" s="25"/>
      <c r="P243" s="25"/>
      <c r="Q243" s="25"/>
      <c r="R243" s="25"/>
    </row>
    <row r="244" spans="15:38" x14ac:dyDescent="0.25">
      <c r="P244" s="25">
        <v>19</v>
      </c>
      <c r="Q244" s="25" t="s">
        <v>97</v>
      </c>
      <c r="R244" s="25" t="s">
        <v>35</v>
      </c>
    </row>
    <row r="245" spans="15:38" s="24" customFormat="1" x14ac:dyDescent="0.25">
      <c r="O245" s="25"/>
      <c r="P245" s="25"/>
      <c r="R245" s="25"/>
    </row>
    <row r="246" spans="15:38" s="24" customFormat="1" ht="15.75" x14ac:dyDescent="0.25">
      <c r="O246" s="25"/>
      <c r="P246" s="25"/>
      <c r="Q246" s="384" t="s">
        <v>62</v>
      </c>
      <c r="R246" s="385"/>
      <c r="S246" s="386"/>
      <c r="T246" s="380" t="s">
        <v>63</v>
      </c>
      <c r="U246" s="382" t="s">
        <v>64</v>
      </c>
      <c r="V246" s="382" t="s">
        <v>65</v>
      </c>
      <c r="W246" s="382" t="s">
        <v>66</v>
      </c>
      <c r="X246" s="354" t="s">
        <v>67</v>
      </c>
      <c r="Y246" s="380" t="s">
        <v>68</v>
      </c>
      <c r="Z246" s="382" t="s">
        <v>69</v>
      </c>
      <c r="AA246" s="382" t="s">
        <v>70</v>
      </c>
      <c r="AB246" s="380" t="s">
        <v>71</v>
      </c>
      <c r="AC246" s="354" t="s">
        <v>72</v>
      </c>
      <c r="AD246" s="380" t="s">
        <v>73</v>
      </c>
      <c r="AE246" s="354" t="s">
        <v>74</v>
      </c>
      <c r="AF246" s="382" t="s">
        <v>75</v>
      </c>
      <c r="AG246" s="382" t="s">
        <v>76</v>
      </c>
      <c r="AH246" s="380" t="s">
        <v>71</v>
      </c>
      <c r="AI246" s="354" t="s">
        <v>77</v>
      </c>
      <c r="AJ246" s="380" t="s">
        <v>78</v>
      </c>
      <c r="AK246" s="354" t="s">
        <v>79</v>
      </c>
      <c r="AL246" s="356" t="s">
        <v>80</v>
      </c>
    </row>
    <row r="247" spans="15:38" s="24" customFormat="1" ht="78.75" x14ac:dyDescent="0.25">
      <c r="O247" s="25"/>
      <c r="P247" s="25"/>
      <c r="Q247" s="34" t="s">
        <v>81</v>
      </c>
      <c r="R247" s="34" t="s">
        <v>82</v>
      </c>
      <c r="S247" s="34" t="s">
        <v>83</v>
      </c>
      <c r="T247" s="381"/>
      <c r="U247" s="383"/>
      <c r="V247" s="383"/>
      <c r="W247" s="383"/>
      <c r="X247" s="355"/>
      <c r="Y247" s="381"/>
      <c r="Z247" s="383"/>
      <c r="AA247" s="383"/>
      <c r="AB247" s="381"/>
      <c r="AC247" s="355"/>
      <c r="AD247" s="381"/>
      <c r="AE247" s="355"/>
      <c r="AF247" s="383"/>
      <c r="AG247" s="383"/>
      <c r="AH247" s="381"/>
      <c r="AI247" s="355"/>
      <c r="AJ247" s="381"/>
      <c r="AK247" s="355"/>
      <c r="AL247" s="357"/>
    </row>
    <row r="248" spans="15:38" s="24" customFormat="1" ht="15.75" x14ac:dyDescent="0.25">
      <c r="O248" s="25"/>
      <c r="P248" s="25"/>
      <c r="Q248" s="42">
        <v>1</v>
      </c>
      <c r="R248" s="43">
        <v>2</v>
      </c>
      <c r="S248" s="43">
        <v>3</v>
      </c>
      <c r="T248" s="44">
        <v>4</v>
      </c>
      <c r="U248" s="45">
        <v>5</v>
      </c>
      <c r="V248" s="46">
        <v>6</v>
      </c>
      <c r="W248" s="46">
        <v>7</v>
      </c>
      <c r="X248" s="47">
        <v>8</v>
      </c>
      <c r="Y248" s="48">
        <v>9</v>
      </c>
      <c r="Z248" s="46">
        <v>10</v>
      </c>
      <c r="AA248" s="46">
        <v>11</v>
      </c>
      <c r="AB248" s="48">
        <v>12</v>
      </c>
      <c r="AC248" s="29">
        <v>13</v>
      </c>
      <c r="AD248" s="31">
        <v>14</v>
      </c>
      <c r="AE248" s="29">
        <v>15</v>
      </c>
      <c r="AF248" s="27">
        <v>16</v>
      </c>
      <c r="AG248" s="27">
        <v>17</v>
      </c>
      <c r="AH248" s="33">
        <v>18</v>
      </c>
      <c r="AI248" s="35">
        <v>19</v>
      </c>
      <c r="AJ248" s="28">
        <v>20</v>
      </c>
      <c r="AK248" s="35">
        <v>21</v>
      </c>
      <c r="AL248" s="35">
        <v>22</v>
      </c>
    </row>
    <row r="249" spans="15:38" s="24" customFormat="1" ht="47.25" x14ac:dyDescent="0.25">
      <c r="O249" s="25"/>
      <c r="P249" s="25"/>
      <c r="Q249" s="358">
        <f>K26</f>
        <v>15.805714285714286</v>
      </c>
      <c r="R249" s="361">
        <f>H26</f>
        <v>75</v>
      </c>
      <c r="S249" s="364">
        <v>7</v>
      </c>
      <c r="T249" s="49" t="s">
        <v>84</v>
      </c>
      <c r="U249" s="50" t="s">
        <v>85</v>
      </c>
      <c r="V249" s="63">
        <v>11</v>
      </c>
      <c r="W249" s="52">
        <v>70</v>
      </c>
      <c r="X249" s="51">
        <f>(V249/100)*Q249*R249*S249/W249</f>
        <v>13.039714285714286</v>
      </c>
      <c r="Y249" s="367">
        <v>300</v>
      </c>
      <c r="Z249" s="56">
        <v>7</v>
      </c>
      <c r="AA249" s="64">
        <f>M26</f>
        <v>19.2</v>
      </c>
      <c r="AB249" s="53">
        <v>0.12820512820512822</v>
      </c>
      <c r="AC249" s="51">
        <f>X249*Y249*Z249*AA249*AB249</f>
        <v>67405.292307692303</v>
      </c>
      <c r="AD249" s="65">
        <v>2.16</v>
      </c>
      <c r="AE249" s="66">
        <f>AC249*AD249/1000</f>
        <v>145.59543138461541</v>
      </c>
      <c r="AF249" s="368">
        <f>M26</f>
        <v>19.2</v>
      </c>
      <c r="AG249" s="368" t="s">
        <v>86</v>
      </c>
      <c r="AH249" s="371">
        <v>0.18</v>
      </c>
      <c r="AI249" s="374">
        <f>(Q249*S249*Y249*AF249)*AH249</f>
        <v>114711.552</v>
      </c>
      <c r="AJ249" s="371">
        <v>2.2000000000000002</v>
      </c>
      <c r="AK249" s="374">
        <f>(AI249*AJ249)/1000</f>
        <v>252.36541440000002</v>
      </c>
      <c r="AL249" s="377">
        <f>(AE253)-AK249</f>
        <v>320.59724094740608</v>
      </c>
    </row>
    <row r="250" spans="15:38" s="24" customFormat="1" ht="31.5" x14ac:dyDescent="0.25">
      <c r="O250" s="25"/>
      <c r="P250" s="25"/>
      <c r="Q250" s="359"/>
      <c r="R250" s="362"/>
      <c r="S250" s="365"/>
      <c r="T250" s="49" t="s">
        <v>87</v>
      </c>
      <c r="U250" s="54" t="s">
        <v>85</v>
      </c>
      <c r="V250" s="63">
        <v>89</v>
      </c>
      <c r="W250" s="63">
        <v>70</v>
      </c>
      <c r="X250" s="51">
        <f>(V250/100)*Q249*R249*S249/W250</f>
        <v>105.50314285714288</v>
      </c>
      <c r="Y250" s="359"/>
      <c r="Z250" s="59">
        <v>7</v>
      </c>
      <c r="AA250" s="64">
        <f>M26</f>
        <v>19.2</v>
      </c>
      <c r="AB250" s="55">
        <v>4.6511627906976744E-2</v>
      </c>
      <c r="AC250" s="51">
        <f>X250*Y249*Z250*AA250*AB250</f>
        <v>197855.19627906979</v>
      </c>
      <c r="AD250" s="65">
        <v>2.16</v>
      </c>
      <c r="AE250" s="66">
        <f>AC250*AD250/1000</f>
        <v>427.36722396279072</v>
      </c>
      <c r="AF250" s="369"/>
      <c r="AG250" s="369"/>
      <c r="AH250" s="372"/>
      <c r="AI250" s="375"/>
      <c r="AJ250" s="372"/>
      <c r="AK250" s="375"/>
      <c r="AL250" s="378"/>
    </row>
    <row r="251" spans="15:38" s="24" customFormat="1" ht="31.5" x14ac:dyDescent="0.25">
      <c r="O251" s="25"/>
      <c r="P251" s="25"/>
      <c r="Q251" s="359"/>
      <c r="R251" s="362"/>
      <c r="S251" s="365"/>
      <c r="T251" s="49" t="s">
        <v>88</v>
      </c>
      <c r="U251" s="54" t="s">
        <v>89</v>
      </c>
      <c r="V251" s="50">
        <v>0</v>
      </c>
      <c r="W251" s="52">
        <v>0</v>
      </c>
      <c r="X251" s="51">
        <v>0</v>
      </c>
      <c r="Y251" s="359"/>
      <c r="Z251" s="56">
        <v>0</v>
      </c>
      <c r="AA251" s="50">
        <v>0</v>
      </c>
      <c r="AB251" s="55">
        <v>0.18181818181818182</v>
      </c>
      <c r="AC251" s="30">
        <v>0</v>
      </c>
      <c r="AD251" s="65">
        <v>0</v>
      </c>
      <c r="AE251" s="66">
        <v>0</v>
      </c>
      <c r="AF251" s="369"/>
      <c r="AG251" s="369"/>
      <c r="AH251" s="372"/>
      <c r="AI251" s="375"/>
      <c r="AJ251" s="372"/>
      <c r="AK251" s="375"/>
      <c r="AL251" s="378"/>
    </row>
    <row r="252" spans="15:38" s="24" customFormat="1" ht="63" x14ac:dyDescent="0.25">
      <c r="O252" s="25"/>
      <c r="P252" s="25"/>
      <c r="Q252" s="360"/>
      <c r="R252" s="363"/>
      <c r="S252" s="366"/>
      <c r="T252" s="57" t="s">
        <v>90</v>
      </c>
      <c r="U252" s="54" t="s">
        <v>89</v>
      </c>
      <c r="V252" s="50">
        <v>0</v>
      </c>
      <c r="W252" s="52">
        <v>0</v>
      </c>
      <c r="X252" s="58"/>
      <c r="Y252" s="360"/>
      <c r="Z252" s="59">
        <v>0</v>
      </c>
      <c r="AA252" s="52">
        <v>0</v>
      </c>
      <c r="AB252" s="55"/>
      <c r="AC252" s="39"/>
      <c r="AD252" s="26"/>
      <c r="AE252" s="40"/>
      <c r="AF252" s="370"/>
      <c r="AG252" s="370"/>
      <c r="AH252" s="373"/>
      <c r="AI252" s="376"/>
      <c r="AJ252" s="373"/>
      <c r="AK252" s="376"/>
      <c r="AL252" s="379"/>
    </row>
    <row r="253" spans="15:38" s="24" customFormat="1" ht="15.75" x14ac:dyDescent="0.25">
      <c r="O253" s="25"/>
      <c r="P253" s="25"/>
      <c r="Q253" s="60" t="s">
        <v>91</v>
      </c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2"/>
      <c r="AC253" s="38"/>
      <c r="AD253" s="38"/>
      <c r="AE253" s="37">
        <f>SUM(AE249:AE252)</f>
        <v>572.9626553474061</v>
      </c>
      <c r="AF253" s="38"/>
      <c r="AG253" s="38"/>
      <c r="AH253" s="38"/>
      <c r="AI253" s="36">
        <f>AI249</f>
        <v>114711.552</v>
      </c>
      <c r="AJ253" s="32"/>
      <c r="AK253" s="32"/>
      <c r="AL253" s="41"/>
    </row>
    <row r="254" spans="15:38" s="24" customFormat="1" x14ac:dyDescent="0.25">
      <c r="O254" s="25"/>
      <c r="P254" s="25"/>
      <c r="R254" s="25"/>
    </row>
    <row r="255" spans="15:38" x14ac:dyDescent="0.25">
      <c r="O255" s="25">
        <v>13</v>
      </c>
      <c r="P255" s="25" t="s">
        <v>95</v>
      </c>
      <c r="Q255" s="25" t="s">
        <v>36</v>
      </c>
    </row>
    <row r="256" spans="15:38" x14ac:dyDescent="0.25">
      <c r="P256" s="25">
        <v>20</v>
      </c>
      <c r="Q256" s="25" t="s">
        <v>97</v>
      </c>
      <c r="R256" s="25" t="s">
        <v>37</v>
      </c>
    </row>
    <row r="258" spans="17:38" ht="15.75" x14ac:dyDescent="0.25">
      <c r="Q258" s="384" t="s">
        <v>62</v>
      </c>
      <c r="R258" s="385"/>
      <c r="S258" s="386"/>
      <c r="T258" s="380" t="s">
        <v>63</v>
      </c>
      <c r="U258" s="382" t="s">
        <v>64</v>
      </c>
      <c r="V258" s="382" t="s">
        <v>65</v>
      </c>
      <c r="W258" s="382" t="s">
        <v>66</v>
      </c>
      <c r="X258" s="354" t="s">
        <v>67</v>
      </c>
      <c r="Y258" s="380" t="s">
        <v>68</v>
      </c>
      <c r="Z258" s="382" t="s">
        <v>69</v>
      </c>
      <c r="AA258" s="382" t="s">
        <v>70</v>
      </c>
      <c r="AB258" s="380" t="s">
        <v>71</v>
      </c>
      <c r="AC258" s="354" t="s">
        <v>72</v>
      </c>
      <c r="AD258" s="380" t="s">
        <v>73</v>
      </c>
      <c r="AE258" s="354" t="s">
        <v>74</v>
      </c>
      <c r="AF258" s="382" t="s">
        <v>75</v>
      </c>
      <c r="AG258" s="382" t="s">
        <v>76</v>
      </c>
      <c r="AH258" s="380" t="s">
        <v>71</v>
      </c>
      <c r="AI258" s="354" t="s">
        <v>77</v>
      </c>
      <c r="AJ258" s="380" t="s">
        <v>78</v>
      </c>
      <c r="AK258" s="354" t="s">
        <v>79</v>
      </c>
      <c r="AL258" s="356" t="s">
        <v>80</v>
      </c>
    </row>
    <row r="259" spans="17:38" ht="78.75" x14ac:dyDescent="0.25">
      <c r="Q259" s="34" t="s">
        <v>81</v>
      </c>
      <c r="R259" s="34" t="s">
        <v>82</v>
      </c>
      <c r="S259" s="34" t="s">
        <v>83</v>
      </c>
      <c r="T259" s="381"/>
      <c r="U259" s="383"/>
      <c r="V259" s="383"/>
      <c r="W259" s="383"/>
      <c r="X259" s="355"/>
      <c r="Y259" s="381"/>
      <c r="Z259" s="383"/>
      <c r="AA259" s="383"/>
      <c r="AB259" s="381"/>
      <c r="AC259" s="355"/>
      <c r="AD259" s="381"/>
      <c r="AE259" s="355"/>
      <c r="AF259" s="383"/>
      <c r="AG259" s="383"/>
      <c r="AH259" s="381"/>
      <c r="AI259" s="355"/>
      <c r="AJ259" s="381"/>
      <c r="AK259" s="355"/>
      <c r="AL259" s="357"/>
    </row>
    <row r="260" spans="17:38" ht="15.75" x14ac:dyDescent="0.25">
      <c r="Q260" s="42">
        <v>1</v>
      </c>
      <c r="R260" s="43">
        <v>2</v>
      </c>
      <c r="S260" s="43">
        <v>3</v>
      </c>
      <c r="T260" s="44">
        <v>4</v>
      </c>
      <c r="U260" s="45">
        <v>5</v>
      </c>
      <c r="V260" s="46">
        <v>6</v>
      </c>
      <c r="W260" s="46">
        <v>7</v>
      </c>
      <c r="X260" s="47">
        <v>8</v>
      </c>
      <c r="Y260" s="48">
        <v>9</v>
      </c>
      <c r="Z260" s="46">
        <v>10</v>
      </c>
      <c r="AA260" s="46">
        <v>11</v>
      </c>
      <c r="AB260" s="48">
        <v>12</v>
      </c>
      <c r="AC260" s="29">
        <v>13</v>
      </c>
      <c r="AD260" s="31">
        <v>14</v>
      </c>
      <c r="AE260" s="29">
        <v>15</v>
      </c>
      <c r="AF260" s="27">
        <v>16</v>
      </c>
      <c r="AG260" s="27">
        <v>17</v>
      </c>
      <c r="AH260" s="33">
        <v>18</v>
      </c>
      <c r="AI260" s="35">
        <v>19</v>
      </c>
      <c r="AJ260" s="28">
        <v>20</v>
      </c>
      <c r="AK260" s="35">
        <v>21</v>
      </c>
      <c r="AL260" s="35">
        <v>22</v>
      </c>
    </row>
    <row r="261" spans="17:38" ht="47.25" x14ac:dyDescent="0.25">
      <c r="Q261" s="358">
        <f>K27</f>
        <v>8.2380952380952372</v>
      </c>
      <c r="R261" s="361">
        <f>H27</f>
        <v>15</v>
      </c>
      <c r="S261" s="364">
        <v>7</v>
      </c>
      <c r="T261" s="49" t="s">
        <v>84</v>
      </c>
      <c r="U261" s="50" t="s">
        <v>85</v>
      </c>
      <c r="V261" s="63">
        <v>11</v>
      </c>
      <c r="W261" s="52">
        <v>70</v>
      </c>
      <c r="X261" s="51">
        <f>(V261/100)*Q261*R261*S261/W261</f>
        <v>1.3592857142857142</v>
      </c>
      <c r="Y261" s="367">
        <v>300</v>
      </c>
      <c r="Z261" s="56">
        <v>7</v>
      </c>
      <c r="AA261" s="64">
        <f>M27</f>
        <v>4.3</v>
      </c>
      <c r="AB261" s="53">
        <v>0.12820512820512822</v>
      </c>
      <c r="AC261" s="51">
        <f>X261*Y261*Z261*AA261*AB261</f>
        <v>1573.6346153846157</v>
      </c>
      <c r="AD261" s="65">
        <v>2.16</v>
      </c>
      <c r="AE261" s="66">
        <f>AC261*AD261/1000</f>
        <v>3.3990507692307701</v>
      </c>
      <c r="AF261" s="368">
        <f>M27</f>
        <v>4.3</v>
      </c>
      <c r="AG261" s="368" t="s">
        <v>86</v>
      </c>
      <c r="AH261" s="371">
        <v>0.18</v>
      </c>
      <c r="AI261" s="374">
        <f>(Q261*S261*Y261*AF261)*AH261</f>
        <v>13390.199999999997</v>
      </c>
      <c r="AJ261" s="371">
        <v>2.2000000000000002</v>
      </c>
      <c r="AK261" s="374">
        <f>(AI261*AJ261)/1000</f>
        <v>29.458439999999996</v>
      </c>
      <c r="AL261" s="377">
        <f>(AE265)-AK261</f>
        <v>-16.08213323076923</v>
      </c>
    </row>
    <row r="262" spans="17:38" ht="31.5" x14ac:dyDescent="0.25">
      <c r="Q262" s="359"/>
      <c r="R262" s="362"/>
      <c r="S262" s="365"/>
      <c r="T262" s="49" t="s">
        <v>87</v>
      </c>
      <c r="U262" s="54" t="s">
        <v>85</v>
      </c>
      <c r="V262" s="63">
        <v>89</v>
      </c>
      <c r="W262" s="63">
        <v>70</v>
      </c>
      <c r="X262" s="51">
        <f>(V262/100)*Q261*R261*S261/W262</f>
        <v>10.997857142857141</v>
      </c>
      <c r="Y262" s="359"/>
      <c r="Z262" s="59">
        <v>7</v>
      </c>
      <c r="AA262" s="64">
        <f>M27</f>
        <v>4.3</v>
      </c>
      <c r="AB262" s="55">
        <v>4.6511627906976744E-2</v>
      </c>
      <c r="AC262" s="51">
        <f>X262*Y261*Z262*AA262*AB262</f>
        <v>4619.0999999999985</v>
      </c>
      <c r="AD262" s="65">
        <v>2.16</v>
      </c>
      <c r="AE262" s="66">
        <f>AC262*AD262/1000</f>
        <v>9.977255999999997</v>
      </c>
      <c r="AF262" s="369"/>
      <c r="AG262" s="369"/>
      <c r="AH262" s="372"/>
      <c r="AI262" s="375"/>
      <c r="AJ262" s="372"/>
      <c r="AK262" s="375"/>
      <c r="AL262" s="378"/>
    </row>
    <row r="263" spans="17:38" ht="31.5" x14ac:dyDescent="0.25">
      <c r="Q263" s="359"/>
      <c r="R263" s="362"/>
      <c r="S263" s="365"/>
      <c r="T263" s="49" t="s">
        <v>88</v>
      </c>
      <c r="U263" s="54" t="s">
        <v>89</v>
      </c>
      <c r="V263" s="50">
        <v>0</v>
      </c>
      <c r="W263" s="52">
        <v>0</v>
      </c>
      <c r="X263" s="51">
        <v>0</v>
      </c>
      <c r="Y263" s="359"/>
      <c r="Z263" s="56">
        <v>0</v>
      </c>
      <c r="AA263" s="50">
        <v>0</v>
      </c>
      <c r="AB263" s="55">
        <v>0.18181818181818182</v>
      </c>
      <c r="AC263" s="30">
        <v>0</v>
      </c>
      <c r="AD263" s="65">
        <v>0</v>
      </c>
      <c r="AE263" s="66">
        <v>0</v>
      </c>
      <c r="AF263" s="369"/>
      <c r="AG263" s="369"/>
      <c r="AH263" s="372"/>
      <c r="AI263" s="375"/>
      <c r="AJ263" s="372"/>
      <c r="AK263" s="375"/>
      <c r="AL263" s="378"/>
    </row>
    <row r="264" spans="17:38" ht="63" x14ac:dyDescent="0.25">
      <c r="Q264" s="360"/>
      <c r="R264" s="363"/>
      <c r="S264" s="366"/>
      <c r="T264" s="57" t="s">
        <v>90</v>
      </c>
      <c r="U264" s="54" t="s">
        <v>89</v>
      </c>
      <c r="V264" s="50">
        <v>0</v>
      </c>
      <c r="W264" s="52">
        <v>0</v>
      </c>
      <c r="X264" s="58"/>
      <c r="Y264" s="360"/>
      <c r="Z264" s="59">
        <v>0</v>
      </c>
      <c r="AA264" s="52">
        <v>0</v>
      </c>
      <c r="AB264" s="55"/>
      <c r="AC264" s="39"/>
      <c r="AD264" s="26"/>
      <c r="AE264" s="40"/>
      <c r="AF264" s="370"/>
      <c r="AG264" s="370"/>
      <c r="AH264" s="373"/>
      <c r="AI264" s="376"/>
      <c r="AJ264" s="373"/>
      <c r="AK264" s="376"/>
      <c r="AL264" s="379"/>
    </row>
    <row r="265" spans="17:38" ht="15.75" x14ac:dyDescent="0.25">
      <c r="Q265" s="60" t="s">
        <v>91</v>
      </c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2"/>
      <c r="AC265" s="38"/>
      <c r="AD265" s="38"/>
      <c r="AE265" s="37">
        <f>SUM(AE261:AE264)</f>
        <v>13.376306769230768</v>
      </c>
      <c r="AF265" s="38"/>
      <c r="AG265" s="38"/>
      <c r="AH265" s="38"/>
      <c r="AI265" s="36">
        <f>AI261</f>
        <v>13390.199999999997</v>
      </c>
      <c r="AJ265" s="32"/>
      <c r="AK265" s="32"/>
      <c r="AL265" s="41"/>
    </row>
    <row r="266" spans="17:38" ht="15.75" thickBot="1" x14ac:dyDescent="0.3"/>
    <row r="267" spans="17:38" ht="16.5" thickTop="1" thickBot="1" x14ac:dyDescent="0.3">
      <c r="X267" s="481" t="s">
        <v>428</v>
      </c>
      <c r="Y267" s="481" t="s">
        <v>429</v>
      </c>
    </row>
    <row r="268" spans="17:38" ht="30" customHeight="1" thickTop="1" thickBot="1" x14ac:dyDescent="0.3">
      <c r="S268" s="479" t="s">
        <v>427</v>
      </c>
      <c r="T268" s="480" t="s">
        <v>84</v>
      </c>
      <c r="U268" s="481"/>
      <c r="V268" s="481"/>
      <c r="W268" s="484"/>
      <c r="X268" s="482">
        <f>X261+X249+X238+X226+X215+X203+X192+X180+X168+X156+X144+X132+X120+X109+X97+X86+X75+X63+X52+X39</f>
        <v>570.11795238095237</v>
      </c>
      <c r="Y268" s="483">
        <f>X268*1</f>
        <v>570.11795238095237</v>
      </c>
    </row>
    <row r="269" spans="17:38" ht="31.5" customHeight="1" thickTop="1" thickBot="1" x14ac:dyDescent="0.3">
      <c r="S269" s="479"/>
      <c r="T269" s="480" t="s">
        <v>87</v>
      </c>
      <c r="U269" s="481"/>
      <c r="V269" s="481"/>
      <c r="W269" s="484"/>
      <c r="X269" s="482">
        <f>X262+X250+X239+X227+X216+X204+X193+X181+X169+X157+X145+X133+X121+X110+X98+X87+X76+X64+X53+X40</f>
        <v>4612.7725238095236</v>
      </c>
      <c r="Y269" s="483">
        <f>X269*0.05</f>
        <v>230.6386261904762</v>
      </c>
      <c r="Z269" t="s">
        <v>431</v>
      </c>
    </row>
    <row r="270" spans="17:38" ht="16.5" thickTop="1" thickBot="1" x14ac:dyDescent="0.3">
      <c r="X270" s="481" t="s">
        <v>422</v>
      </c>
      <c r="Y270" s="483">
        <f>Y269+Y268</f>
        <v>800.75657857142858</v>
      </c>
      <c r="Z270" s="472">
        <f>'BRT METRO BDG RAYA (DED)'!J190</f>
        <v>32.413250250000004</v>
      </c>
    </row>
    <row r="271" spans="17:38" ht="15.75" thickTop="1" x14ac:dyDescent="0.25">
      <c r="X271" t="s">
        <v>432</v>
      </c>
      <c r="Y271" s="472">
        <f>Y270+Z270</f>
        <v>833.16982882142861</v>
      </c>
    </row>
  </sheetData>
  <mergeCells count="640">
    <mergeCell ref="S268:S269"/>
    <mergeCell ref="A8:A9"/>
    <mergeCell ref="A10:A12"/>
    <mergeCell ref="A13:A14"/>
    <mergeCell ref="A20:A21"/>
    <mergeCell ref="A23:A24"/>
    <mergeCell ref="A25:A26"/>
    <mergeCell ref="B8:B9"/>
    <mergeCell ref="B10:B12"/>
    <mergeCell ref="B13:B14"/>
    <mergeCell ref="B20:B21"/>
    <mergeCell ref="B23:B24"/>
    <mergeCell ref="B25:B26"/>
    <mergeCell ref="L8:L9"/>
    <mergeCell ref="L10:L12"/>
    <mergeCell ref="L13:L14"/>
    <mergeCell ref="L23:L24"/>
    <mergeCell ref="L25:L26"/>
    <mergeCell ref="L20:L21"/>
    <mergeCell ref="AK36:AK37"/>
    <mergeCell ref="AL36:AL37"/>
    <mergeCell ref="Q39:Q42"/>
    <mergeCell ref="R39:R42"/>
    <mergeCell ref="S39:S42"/>
    <mergeCell ref="AI39:AI42"/>
    <mergeCell ref="AJ39:AJ42"/>
    <mergeCell ref="AK39:AK42"/>
    <mergeCell ref="AL39:AL42"/>
    <mergeCell ref="AB36:AB37"/>
    <mergeCell ref="AC36:AC37"/>
    <mergeCell ref="AD36:AD37"/>
    <mergeCell ref="AE36:AE37"/>
    <mergeCell ref="AF36:AF37"/>
    <mergeCell ref="AG36:AG37"/>
    <mergeCell ref="AH36:AH37"/>
    <mergeCell ref="AI36:AI37"/>
    <mergeCell ref="AJ36:AJ37"/>
    <mergeCell ref="Q36:S36"/>
    <mergeCell ref="T36:T37"/>
    <mergeCell ref="U36:U37"/>
    <mergeCell ref="V36:V37"/>
    <mergeCell ref="W36:W37"/>
    <mergeCell ref="X36:X37"/>
    <mergeCell ref="Y36:Y37"/>
    <mergeCell ref="Z36:Z37"/>
    <mergeCell ref="AA36:AA37"/>
    <mergeCell ref="Y39:Y42"/>
    <mergeCell ref="AF39:AF42"/>
    <mergeCell ref="AG39:AG42"/>
    <mergeCell ref="AH39:AH42"/>
    <mergeCell ref="Q49:S49"/>
    <mergeCell ref="T49:T50"/>
    <mergeCell ref="U49:U50"/>
    <mergeCell ref="V49:V50"/>
    <mergeCell ref="W49:W50"/>
    <mergeCell ref="X49:X50"/>
    <mergeCell ref="Y49:Y50"/>
    <mergeCell ref="Z49:Z50"/>
    <mergeCell ref="AA49:AA50"/>
    <mergeCell ref="AB49:AB50"/>
    <mergeCell ref="AC49:AC50"/>
    <mergeCell ref="AD49:AD50"/>
    <mergeCell ref="AE49:AE50"/>
    <mergeCell ref="AF49:AF50"/>
    <mergeCell ref="AG49:AG50"/>
    <mergeCell ref="AH49:AH50"/>
    <mergeCell ref="AI49:AI50"/>
    <mergeCell ref="AJ49:AJ50"/>
    <mergeCell ref="AK49:AK50"/>
    <mergeCell ref="AL49:AL50"/>
    <mergeCell ref="Q52:Q55"/>
    <mergeCell ref="R52:R55"/>
    <mergeCell ref="S52:S55"/>
    <mergeCell ref="Y52:Y55"/>
    <mergeCell ref="AF52:AF55"/>
    <mergeCell ref="AG52:AG55"/>
    <mergeCell ref="AH52:AH55"/>
    <mergeCell ref="AI52:AI55"/>
    <mergeCell ref="AJ52:AJ55"/>
    <mergeCell ref="AK52:AK55"/>
    <mergeCell ref="AL52:AL55"/>
    <mergeCell ref="Q60:S60"/>
    <mergeCell ref="T60:T61"/>
    <mergeCell ref="U60:U61"/>
    <mergeCell ref="V60:V61"/>
    <mergeCell ref="W60:W61"/>
    <mergeCell ref="X60:X61"/>
    <mergeCell ref="Y60:Y61"/>
    <mergeCell ref="Z60:Z61"/>
    <mergeCell ref="AA60:AA61"/>
    <mergeCell ref="Q63:Q66"/>
    <mergeCell ref="R63:R66"/>
    <mergeCell ref="S63:S66"/>
    <mergeCell ref="Y63:Y66"/>
    <mergeCell ref="AF63:AF66"/>
    <mergeCell ref="AG63:AG66"/>
    <mergeCell ref="AH63:AH66"/>
    <mergeCell ref="AI63:AI66"/>
    <mergeCell ref="AJ63:AJ66"/>
    <mergeCell ref="Y72:Y73"/>
    <mergeCell ref="Z72:Z73"/>
    <mergeCell ref="AA72:AA73"/>
    <mergeCell ref="AK60:AK61"/>
    <mergeCell ref="AL60:AL61"/>
    <mergeCell ref="AK63:AK66"/>
    <mergeCell ref="AL63:AL66"/>
    <mergeCell ref="AB60:AB61"/>
    <mergeCell ref="AC60:AC61"/>
    <mergeCell ref="AD60:AD61"/>
    <mergeCell ref="AE60:AE61"/>
    <mergeCell ref="AF60:AF61"/>
    <mergeCell ref="AG60:AG61"/>
    <mergeCell ref="AH60:AH61"/>
    <mergeCell ref="AI60:AI61"/>
    <mergeCell ref="AJ60:AJ61"/>
    <mergeCell ref="AK72:AK73"/>
    <mergeCell ref="AL72:AL73"/>
    <mergeCell ref="AK75:AK78"/>
    <mergeCell ref="AL75:AL78"/>
    <mergeCell ref="AB72:AB73"/>
    <mergeCell ref="AC72:AC73"/>
    <mergeCell ref="AD72:AD73"/>
    <mergeCell ref="AE72:AE73"/>
    <mergeCell ref="AF72:AF73"/>
    <mergeCell ref="AG72:AG73"/>
    <mergeCell ref="AH72:AH73"/>
    <mergeCell ref="AI72:AI73"/>
    <mergeCell ref="AJ72:AJ73"/>
    <mergeCell ref="AF75:AF78"/>
    <mergeCell ref="AG75:AG78"/>
    <mergeCell ref="AH75:AH78"/>
    <mergeCell ref="AI75:AI78"/>
    <mergeCell ref="AJ75:AJ78"/>
    <mergeCell ref="Q86:Q89"/>
    <mergeCell ref="R86:R89"/>
    <mergeCell ref="S86:S89"/>
    <mergeCell ref="Y86:Y89"/>
    <mergeCell ref="AF86:AF89"/>
    <mergeCell ref="AG86:AG89"/>
    <mergeCell ref="AH86:AH89"/>
    <mergeCell ref="Q72:S72"/>
    <mergeCell ref="T72:T73"/>
    <mergeCell ref="Q83:S83"/>
    <mergeCell ref="T83:T84"/>
    <mergeCell ref="U83:U84"/>
    <mergeCell ref="V83:V84"/>
    <mergeCell ref="W83:W84"/>
    <mergeCell ref="X83:X84"/>
    <mergeCell ref="Y83:Y84"/>
    <mergeCell ref="Q75:Q78"/>
    <mergeCell ref="R75:R78"/>
    <mergeCell ref="S75:S78"/>
    <mergeCell ref="Y75:Y78"/>
    <mergeCell ref="U72:U73"/>
    <mergeCell ref="V72:V73"/>
    <mergeCell ref="W72:W73"/>
    <mergeCell ref="X72:X73"/>
    <mergeCell ref="U94:U95"/>
    <mergeCell ref="V94:V95"/>
    <mergeCell ref="W94:W95"/>
    <mergeCell ref="X94:X95"/>
    <mergeCell ref="Y94:Y95"/>
    <mergeCell ref="Z94:Z95"/>
    <mergeCell ref="AA94:AA95"/>
    <mergeCell ref="Z83:Z84"/>
    <mergeCell ref="AA83:AA84"/>
    <mergeCell ref="AK83:AK84"/>
    <mergeCell ref="AL83:AL84"/>
    <mergeCell ref="AK86:AK89"/>
    <mergeCell ref="AL86:AL89"/>
    <mergeCell ref="AB83:AB84"/>
    <mergeCell ref="AC83:AC84"/>
    <mergeCell ref="AD83:AD84"/>
    <mergeCell ref="AE83:AE84"/>
    <mergeCell ref="AF83:AF84"/>
    <mergeCell ref="AG83:AG84"/>
    <mergeCell ref="AH83:AH84"/>
    <mergeCell ref="AI83:AI84"/>
    <mergeCell ref="AJ83:AJ84"/>
    <mergeCell ref="AI86:AI89"/>
    <mergeCell ref="AJ86:AJ89"/>
    <mergeCell ref="AK94:AK95"/>
    <mergeCell ref="AL94:AL95"/>
    <mergeCell ref="Q97:Q100"/>
    <mergeCell ref="R97:R100"/>
    <mergeCell ref="S97:S100"/>
    <mergeCell ref="Y97:Y100"/>
    <mergeCell ref="AF97:AF100"/>
    <mergeCell ref="AG97:AG100"/>
    <mergeCell ref="AH97:AH100"/>
    <mergeCell ref="AI97:AI100"/>
    <mergeCell ref="AJ97:AJ100"/>
    <mergeCell ref="AK97:AK100"/>
    <mergeCell ref="AL97:AL100"/>
    <mergeCell ref="AB94:AB95"/>
    <mergeCell ref="AC94:AC95"/>
    <mergeCell ref="AD94:AD95"/>
    <mergeCell ref="AE94:AE95"/>
    <mergeCell ref="AF94:AF95"/>
    <mergeCell ref="AG94:AG95"/>
    <mergeCell ref="AH94:AH95"/>
    <mergeCell ref="AI94:AI95"/>
    <mergeCell ref="AJ94:AJ95"/>
    <mergeCell ref="Q94:S94"/>
    <mergeCell ref="T94:T95"/>
    <mergeCell ref="Q106:S106"/>
    <mergeCell ref="T106:T107"/>
    <mergeCell ref="U106:U107"/>
    <mergeCell ref="V106:V107"/>
    <mergeCell ref="W106:W107"/>
    <mergeCell ref="X106:X107"/>
    <mergeCell ref="Y106:Y107"/>
    <mergeCell ref="Z106:Z107"/>
    <mergeCell ref="AA106:AA107"/>
    <mergeCell ref="Q109:Q112"/>
    <mergeCell ref="R109:R112"/>
    <mergeCell ref="S109:S112"/>
    <mergeCell ref="Y109:Y112"/>
    <mergeCell ref="AF109:AF112"/>
    <mergeCell ref="AG109:AG112"/>
    <mergeCell ref="AH109:AH112"/>
    <mergeCell ref="AI109:AI112"/>
    <mergeCell ref="AJ109:AJ112"/>
    <mergeCell ref="Y117:Y118"/>
    <mergeCell ref="Z117:Z118"/>
    <mergeCell ref="AA117:AA118"/>
    <mergeCell ref="AK106:AK107"/>
    <mergeCell ref="AL106:AL107"/>
    <mergeCell ref="AK109:AK112"/>
    <mergeCell ref="AL109:AL112"/>
    <mergeCell ref="AB106:AB107"/>
    <mergeCell ref="AC106:AC107"/>
    <mergeCell ref="AD106:AD107"/>
    <mergeCell ref="AE106:AE107"/>
    <mergeCell ref="AF106:AF107"/>
    <mergeCell ref="AG106:AG107"/>
    <mergeCell ref="AH106:AH107"/>
    <mergeCell ref="AI106:AI107"/>
    <mergeCell ref="AJ106:AJ107"/>
    <mergeCell ref="AK117:AK118"/>
    <mergeCell ref="AL117:AL118"/>
    <mergeCell ref="AK120:AK123"/>
    <mergeCell ref="AL120:AL123"/>
    <mergeCell ref="AB117:AB118"/>
    <mergeCell ref="AC117:AC118"/>
    <mergeCell ref="AD117:AD118"/>
    <mergeCell ref="AE117:AE118"/>
    <mergeCell ref="AF117:AF118"/>
    <mergeCell ref="AG117:AG118"/>
    <mergeCell ref="AH117:AH118"/>
    <mergeCell ref="AI117:AI118"/>
    <mergeCell ref="AJ117:AJ118"/>
    <mergeCell ref="AF120:AF123"/>
    <mergeCell ref="AG120:AG123"/>
    <mergeCell ref="AH120:AH123"/>
    <mergeCell ref="AI120:AI123"/>
    <mergeCell ref="AJ120:AJ123"/>
    <mergeCell ref="Q132:Q135"/>
    <mergeCell ref="R132:R135"/>
    <mergeCell ref="S132:S135"/>
    <mergeCell ref="Y132:Y135"/>
    <mergeCell ref="AF132:AF135"/>
    <mergeCell ref="AG132:AG135"/>
    <mergeCell ref="AH132:AH135"/>
    <mergeCell ref="Q117:S117"/>
    <mergeCell ref="T117:T118"/>
    <mergeCell ref="Q129:S129"/>
    <mergeCell ref="T129:T130"/>
    <mergeCell ref="U129:U130"/>
    <mergeCell ref="V129:V130"/>
    <mergeCell ref="W129:W130"/>
    <mergeCell ref="X129:X130"/>
    <mergeCell ref="Y129:Y130"/>
    <mergeCell ref="Q120:Q123"/>
    <mergeCell ref="R120:R123"/>
    <mergeCell ref="S120:S123"/>
    <mergeCell ref="Y120:Y123"/>
    <mergeCell ref="U117:U118"/>
    <mergeCell ref="V117:V118"/>
    <mergeCell ref="W117:W118"/>
    <mergeCell ref="X117:X118"/>
    <mergeCell ref="U141:U142"/>
    <mergeCell ref="V141:V142"/>
    <mergeCell ref="W141:W142"/>
    <mergeCell ref="X141:X142"/>
    <mergeCell ref="Y141:Y142"/>
    <mergeCell ref="Z141:Z142"/>
    <mergeCell ref="AA141:AA142"/>
    <mergeCell ref="Z129:Z130"/>
    <mergeCell ref="AA129:AA130"/>
    <mergeCell ref="AK129:AK130"/>
    <mergeCell ref="AL129:AL130"/>
    <mergeCell ref="AK132:AK135"/>
    <mergeCell ref="AL132:AL135"/>
    <mergeCell ref="AB129:AB130"/>
    <mergeCell ref="AC129:AC130"/>
    <mergeCell ref="AD129:AD130"/>
    <mergeCell ref="AE129:AE130"/>
    <mergeCell ref="AF129:AF130"/>
    <mergeCell ref="AG129:AG130"/>
    <mergeCell ref="AH129:AH130"/>
    <mergeCell ref="AI129:AI130"/>
    <mergeCell ref="AJ129:AJ130"/>
    <mergeCell ref="AI132:AI135"/>
    <mergeCell ref="AJ132:AJ135"/>
    <mergeCell ref="AK141:AK142"/>
    <mergeCell ref="AL141:AL142"/>
    <mergeCell ref="Q144:Q147"/>
    <mergeCell ref="R144:R147"/>
    <mergeCell ref="S144:S147"/>
    <mergeCell ref="Y144:Y147"/>
    <mergeCell ref="AF144:AF147"/>
    <mergeCell ref="AG144:AG147"/>
    <mergeCell ref="AH144:AH147"/>
    <mergeCell ref="AI144:AI147"/>
    <mergeCell ref="AJ144:AJ147"/>
    <mergeCell ref="AK144:AK147"/>
    <mergeCell ref="AL144:AL147"/>
    <mergeCell ref="AB141:AB142"/>
    <mergeCell ref="AC141:AC142"/>
    <mergeCell ref="AD141:AD142"/>
    <mergeCell ref="AE141:AE142"/>
    <mergeCell ref="AF141:AF142"/>
    <mergeCell ref="AG141:AG142"/>
    <mergeCell ref="AH141:AH142"/>
    <mergeCell ref="AI141:AI142"/>
    <mergeCell ref="AJ141:AJ142"/>
    <mergeCell ref="Q141:S141"/>
    <mergeCell ref="T141:T142"/>
    <mergeCell ref="Q153:S153"/>
    <mergeCell ref="T153:T154"/>
    <mergeCell ref="U153:U154"/>
    <mergeCell ref="V153:V154"/>
    <mergeCell ref="W153:W154"/>
    <mergeCell ref="X153:X154"/>
    <mergeCell ref="Y153:Y154"/>
    <mergeCell ref="Z153:Z154"/>
    <mergeCell ref="AA153:AA154"/>
    <mergeCell ref="Q156:Q159"/>
    <mergeCell ref="R156:R159"/>
    <mergeCell ref="S156:S159"/>
    <mergeCell ref="Y156:Y159"/>
    <mergeCell ref="AF156:AF159"/>
    <mergeCell ref="AG156:AG159"/>
    <mergeCell ref="AH156:AH159"/>
    <mergeCell ref="AI156:AI159"/>
    <mergeCell ref="AJ156:AJ159"/>
    <mergeCell ref="Y165:Y166"/>
    <mergeCell ref="Z165:Z166"/>
    <mergeCell ref="AA165:AA166"/>
    <mergeCell ref="AK153:AK154"/>
    <mergeCell ref="AL153:AL154"/>
    <mergeCell ref="AK156:AK159"/>
    <mergeCell ref="AL156:AL159"/>
    <mergeCell ref="AB153:AB154"/>
    <mergeCell ref="AC153:AC154"/>
    <mergeCell ref="AD153:AD154"/>
    <mergeCell ref="AE153:AE154"/>
    <mergeCell ref="AF153:AF154"/>
    <mergeCell ref="AG153:AG154"/>
    <mergeCell ref="AH153:AH154"/>
    <mergeCell ref="AI153:AI154"/>
    <mergeCell ref="AJ153:AJ154"/>
    <mergeCell ref="AK165:AK166"/>
    <mergeCell ref="AL165:AL166"/>
    <mergeCell ref="AK168:AK171"/>
    <mergeCell ref="AL168:AL171"/>
    <mergeCell ref="AB165:AB166"/>
    <mergeCell ref="AC165:AC166"/>
    <mergeCell ref="AD165:AD166"/>
    <mergeCell ref="AE165:AE166"/>
    <mergeCell ref="AF165:AF166"/>
    <mergeCell ref="AG165:AG166"/>
    <mergeCell ref="AH165:AH166"/>
    <mergeCell ref="AI165:AI166"/>
    <mergeCell ref="AJ165:AJ166"/>
    <mergeCell ref="AF168:AF171"/>
    <mergeCell ref="AG168:AG171"/>
    <mergeCell ref="AH168:AH171"/>
    <mergeCell ref="AI168:AI171"/>
    <mergeCell ref="AJ168:AJ171"/>
    <mergeCell ref="Q180:Q183"/>
    <mergeCell ref="R180:R183"/>
    <mergeCell ref="S180:S183"/>
    <mergeCell ref="Y180:Y183"/>
    <mergeCell ref="AF180:AF183"/>
    <mergeCell ref="AG180:AG183"/>
    <mergeCell ref="AH180:AH183"/>
    <mergeCell ref="Q165:S165"/>
    <mergeCell ref="T165:T166"/>
    <mergeCell ref="Q177:S177"/>
    <mergeCell ref="T177:T178"/>
    <mergeCell ref="U177:U178"/>
    <mergeCell ref="V177:V178"/>
    <mergeCell ref="W177:W178"/>
    <mergeCell ref="X177:X178"/>
    <mergeCell ref="Y177:Y178"/>
    <mergeCell ref="Q168:Q171"/>
    <mergeCell ref="R168:R171"/>
    <mergeCell ref="S168:S171"/>
    <mergeCell ref="Y168:Y171"/>
    <mergeCell ref="U165:U166"/>
    <mergeCell ref="V165:V166"/>
    <mergeCell ref="W165:W166"/>
    <mergeCell ref="X165:X166"/>
    <mergeCell ref="U189:U190"/>
    <mergeCell ref="V189:V190"/>
    <mergeCell ref="W189:W190"/>
    <mergeCell ref="X189:X190"/>
    <mergeCell ref="Y189:Y190"/>
    <mergeCell ref="Z189:Z190"/>
    <mergeCell ref="AA189:AA190"/>
    <mergeCell ref="Z177:Z178"/>
    <mergeCell ref="AA177:AA178"/>
    <mergeCell ref="AK177:AK178"/>
    <mergeCell ref="AL177:AL178"/>
    <mergeCell ref="AK180:AK183"/>
    <mergeCell ref="AL180:AL183"/>
    <mergeCell ref="AB177:AB178"/>
    <mergeCell ref="AC177:AC178"/>
    <mergeCell ref="AD177:AD178"/>
    <mergeCell ref="AE177:AE178"/>
    <mergeCell ref="AF177:AF178"/>
    <mergeCell ref="AG177:AG178"/>
    <mergeCell ref="AH177:AH178"/>
    <mergeCell ref="AI177:AI178"/>
    <mergeCell ref="AJ177:AJ178"/>
    <mergeCell ref="AI180:AI183"/>
    <mergeCell ref="AJ180:AJ183"/>
    <mergeCell ref="AK189:AK190"/>
    <mergeCell ref="AL189:AL190"/>
    <mergeCell ref="Q192:Q195"/>
    <mergeCell ref="R192:R195"/>
    <mergeCell ref="S192:S195"/>
    <mergeCell ref="Y192:Y195"/>
    <mergeCell ref="AF192:AF195"/>
    <mergeCell ref="AG192:AG195"/>
    <mergeCell ref="AH192:AH195"/>
    <mergeCell ref="AI192:AI195"/>
    <mergeCell ref="AJ192:AJ195"/>
    <mergeCell ref="AK192:AK195"/>
    <mergeCell ref="AL192:AL195"/>
    <mergeCell ref="AB189:AB190"/>
    <mergeCell ref="AC189:AC190"/>
    <mergeCell ref="AD189:AD190"/>
    <mergeCell ref="AE189:AE190"/>
    <mergeCell ref="AF189:AF190"/>
    <mergeCell ref="AG189:AG190"/>
    <mergeCell ref="AH189:AH190"/>
    <mergeCell ref="AI189:AI190"/>
    <mergeCell ref="AJ189:AJ190"/>
    <mergeCell ref="Q189:S189"/>
    <mergeCell ref="T189:T190"/>
    <mergeCell ref="Q200:S200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Q203:Q206"/>
    <mergeCell ref="R203:R206"/>
    <mergeCell ref="S203:S206"/>
    <mergeCell ref="Y203:Y206"/>
    <mergeCell ref="AF203:AF206"/>
    <mergeCell ref="AG203:AG206"/>
    <mergeCell ref="AH203:AH206"/>
    <mergeCell ref="AI203:AI206"/>
    <mergeCell ref="AJ203:AJ206"/>
    <mergeCell ref="Y212:Y213"/>
    <mergeCell ref="Z212:Z213"/>
    <mergeCell ref="AA212:AA213"/>
    <mergeCell ref="AK200:AK201"/>
    <mergeCell ref="AL200:AL201"/>
    <mergeCell ref="AK203:AK206"/>
    <mergeCell ref="AL203:AL206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AK212:AK213"/>
    <mergeCell ref="AL212:AL213"/>
    <mergeCell ref="AK215:AK218"/>
    <mergeCell ref="AL215:AL218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AF215:AF218"/>
    <mergeCell ref="AG215:AG218"/>
    <mergeCell ref="AH215:AH218"/>
    <mergeCell ref="AI215:AI218"/>
    <mergeCell ref="AJ215:AJ218"/>
    <mergeCell ref="Q226:Q229"/>
    <mergeCell ref="R226:R229"/>
    <mergeCell ref="S226:S229"/>
    <mergeCell ref="Y226:Y229"/>
    <mergeCell ref="AF226:AF229"/>
    <mergeCell ref="AG226:AG229"/>
    <mergeCell ref="AH226:AH229"/>
    <mergeCell ref="Q212:S212"/>
    <mergeCell ref="T212:T213"/>
    <mergeCell ref="Q223:S223"/>
    <mergeCell ref="T223:T224"/>
    <mergeCell ref="U223:U224"/>
    <mergeCell ref="V223:V224"/>
    <mergeCell ref="W223:W224"/>
    <mergeCell ref="X223:X224"/>
    <mergeCell ref="Y223:Y224"/>
    <mergeCell ref="Q215:Q218"/>
    <mergeCell ref="R215:R218"/>
    <mergeCell ref="S215:S218"/>
    <mergeCell ref="Y215:Y218"/>
    <mergeCell ref="U212:U213"/>
    <mergeCell ref="V212:V213"/>
    <mergeCell ref="W212:W213"/>
    <mergeCell ref="X212:X213"/>
    <mergeCell ref="U235:U236"/>
    <mergeCell ref="V235:V236"/>
    <mergeCell ref="W235:W236"/>
    <mergeCell ref="X235:X236"/>
    <mergeCell ref="Y235:Y236"/>
    <mergeCell ref="Z235:Z236"/>
    <mergeCell ref="AA235:AA236"/>
    <mergeCell ref="Z223:Z224"/>
    <mergeCell ref="AA223:AA224"/>
    <mergeCell ref="AK223:AK224"/>
    <mergeCell ref="AL223:AL224"/>
    <mergeCell ref="AK226:AK229"/>
    <mergeCell ref="AL226:AL229"/>
    <mergeCell ref="AB223:AB224"/>
    <mergeCell ref="AC223:AC224"/>
    <mergeCell ref="AD223:AD224"/>
    <mergeCell ref="AE223:AE224"/>
    <mergeCell ref="AF223:AF224"/>
    <mergeCell ref="AG223:AG224"/>
    <mergeCell ref="AH223:AH224"/>
    <mergeCell ref="AI223:AI224"/>
    <mergeCell ref="AJ223:AJ224"/>
    <mergeCell ref="AI226:AI229"/>
    <mergeCell ref="AJ226:AJ229"/>
    <mergeCell ref="AK235:AK236"/>
    <mergeCell ref="AL235:AL236"/>
    <mergeCell ref="Q238:Q241"/>
    <mergeCell ref="R238:R241"/>
    <mergeCell ref="S238:S241"/>
    <mergeCell ref="Y238:Y241"/>
    <mergeCell ref="AF238:AF241"/>
    <mergeCell ref="AG238:AG241"/>
    <mergeCell ref="AH238:AH241"/>
    <mergeCell ref="AI238:AI241"/>
    <mergeCell ref="AJ238:AJ241"/>
    <mergeCell ref="AK238:AK241"/>
    <mergeCell ref="AL238:AL241"/>
    <mergeCell ref="AB235:AB236"/>
    <mergeCell ref="AC235:AC236"/>
    <mergeCell ref="AD235:AD236"/>
    <mergeCell ref="AE235:AE236"/>
    <mergeCell ref="AF235:AF236"/>
    <mergeCell ref="AG235:AG236"/>
    <mergeCell ref="AH235:AH236"/>
    <mergeCell ref="AI235:AI236"/>
    <mergeCell ref="AJ235:AJ236"/>
    <mergeCell ref="Q235:S235"/>
    <mergeCell ref="T235:T236"/>
    <mergeCell ref="AL246:AL247"/>
    <mergeCell ref="Q249:Q252"/>
    <mergeCell ref="R249:R252"/>
    <mergeCell ref="S249:S252"/>
    <mergeCell ref="Y249:Y252"/>
    <mergeCell ref="AF249:AF252"/>
    <mergeCell ref="AG249:AG252"/>
    <mergeCell ref="AH249:AH252"/>
    <mergeCell ref="AI249:AI252"/>
    <mergeCell ref="AJ249:AJ252"/>
    <mergeCell ref="AK249:AK252"/>
    <mergeCell ref="AL249:AL252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Q246:S246"/>
    <mergeCell ref="T246:T247"/>
    <mergeCell ref="U246:U247"/>
    <mergeCell ref="T258:T259"/>
    <mergeCell ref="U258:U259"/>
    <mergeCell ref="V258:V259"/>
    <mergeCell ref="W258:W259"/>
    <mergeCell ref="X258:X259"/>
    <mergeCell ref="Y258:Y259"/>
    <mergeCell ref="Z258:Z259"/>
    <mergeCell ref="AA258:AA259"/>
    <mergeCell ref="AK246:AK247"/>
    <mergeCell ref="V246:V247"/>
    <mergeCell ref="W246:W247"/>
    <mergeCell ref="X246:X247"/>
    <mergeCell ref="Y246:Y247"/>
    <mergeCell ref="Z246:Z247"/>
    <mergeCell ref="AA246:AA247"/>
    <mergeCell ref="A28:M28"/>
    <mergeCell ref="AK258:AK259"/>
    <mergeCell ref="AL258:AL259"/>
    <mergeCell ref="Q261:Q264"/>
    <mergeCell ref="R261:R264"/>
    <mergeCell ref="S261:S264"/>
    <mergeCell ref="Y261:Y264"/>
    <mergeCell ref="AF261:AF264"/>
    <mergeCell ref="AG261:AG264"/>
    <mergeCell ref="AH261:AH264"/>
    <mergeCell ref="AI261:AI264"/>
    <mergeCell ref="AJ261:AJ264"/>
    <mergeCell ref="AK261:AK264"/>
    <mergeCell ref="AL261:AL264"/>
    <mergeCell ref="AB258:AB259"/>
    <mergeCell ref="AC258:AC259"/>
    <mergeCell ref="AD258:AD259"/>
    <mergeCell ref="AE258:AE259"/>
    <mergeCell ref="AF258:AF259"/>
    <mergeCell ref="AG258:AG259"/>
    <mergeCell ref="AH258:AH259"/>
    <mergeCell ref="AI258:AI259"/>
    <mergeCell ref="AJ258:AJ259"/>
    <mergeCell ref="Q258:S25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0"/>
  <sheetViews>
    <sheetView topLeftCell="A171" zoomScale="70" zoomScaleNormal="70" workbookViewId="0">
      <selection activeCell="J203" sqref="J203"/>
    </sheetView>
  </sheetViews>
  <sheetFormatPr defaultRowHeight="15" x14ac:dyDescent="0.25"/>
  <cols>
    <col min="1" max="1" width="9.140625" style="67"/>
    <col min="2" max="2" width="12.7109375" style="67" customWidth="1"/>
    <col min="3" max="3" width="15.140625" style="67" customWidth="1"/>
    <col min="4" max="4" width="16" style="67" customWidth="1"/>
    <col min="5" max="5" width="9.140625" style="67"/>
    <col min="6" max="6" width="14" style="67" customWidth="1"/>
    <col min="7" max="7" width="17.140625" style="67" customWidth="1"/>
    <col min="8" max="8" width="19.85546875" style="67" customWidth="1"/>
    <col min="9" max="9" width="26.28515625" style="67" customWidth="1"/>
    <col min="10" max="10" width="15" style="67" customWidth="1"/>
    <col min="11" max="12" width="9.140625" style="67"/>
    <col min="13" max="13" width="19" style="67" customWidth="1"/>
    <col min="14" max="16384" width="9.140625" style="67"/>
  </cols>
  <sheetData>
    <row r="1" spans="1:8" x14ac:dyDescent="0.25">
      <c r="A1" s="67" t="s">
        <v>99</v>
      </c>
    </row>
    <row r="3" spans="1:8" x14ac:dyDescent="0.25">
      <c r="A3" s="91" t="s">
        <v>100</v>
      </c>
    </row>
    <row r="4" spans="1:8" ht="15.75" thickBot="1" x14ac:dyDescent="0.3"/>
    <row r="5" spans="1:8" ht="15.75" thickBot="1" x14ac:dyDescent="0.3">
      <c r="A5" s="72" t="s">
        <v>46</v>
      </c>
      <c r="B5" s="72" t="s">
        <v>101</v>
      </c>
      <c r="C5" s="72" t="s">
        <v>102</v>
      </c>
    </row>
    <row r="6" spans="1:8" x14ac:dyDescent="0.25">
      <c r="A6" s="407">
        <v>1</v>
      </c>
      <c r="B6" s="407" t="s">
        <v>103</v>
      </c>
      <c r="C6" s="77" t="s">
        <v>104</v>
      </c>
    </row>
    <row r="7" spans="1:8" ht="51.75" thickBot="1" x14ac:dyDescent="0.3">
      <c r="A7" s="408"/>
      <c r="B7" s="408"/>
      <c r="C7" s="74" t="s">
        <v>105</v>
      </c>
    </row>
    <row r="8" spans="1:8" ht="26.25" thickBot="1" x14ac:dyDescent="0.3">
      <c r="A8" s="80">
        <v>2</v>
      </c>
      <c r="B8" s="80" t="s">
        <v>106</v>
      </c>
      <c r="C8" s="80" t="s">
        <v>107</v>
      </c>
    </row>
    <row r="9" spans="1:8" ht="26.25" thickBot="1" x14ac:dyDescent="0.3">
      <c r="A9" s="80">
        <v>3</v>
      </c>
      <c r="B9" s="80" t="s">
        <v>108</v>
      </c>
      <c r="C9" s="80" t="s">
        <v>109</v>
      </c>
    </row>
    <row r="10" spans="1:8" ht="26.25" thickBot="1" x14ac:dyDescent="0.3">
      <c r="A10" s="80">
        <v>4</v>
      </c>
      <c r="B10" s="80" t="s">
        <v>110</v>
      </c>
      <c r="C10" s="80" t="s">
        <v>107</v>
      </c>
    </row>
    <row r="11" spans="1:8" ht="26.25" thickBot="1" x14ac:dyDescent="0.3">
      <c r="A11" s="80">
        <v>5</v>
      </c>
      <c r="B11" s="80" t="s">
        <v>111</v>
      </c>
      <c r="C11" s="80" t="s">
        <v>107</v>
      </c>
    </row>
    <row r="12" spans="1:8" ht="26.25" thickBot="1" x14ac:dyDescent="0.3">
      <c r="A12" s="80">
        <v>6</v>
      </c>
      <c r="B12" s="80" t="s">
        <v>112</v>
      </c>
      <c r="C12" s="80" t="s">
        <v>107</v>
      </c>
    </row>
    <row r="13" spans="1:8" ht="26.25" thickBot="1" x14ac:dyDescent="0.3">
      <c r="A13" s="80">
        <v>7</v>
      </c>
      <c r="B13" s="80" t="s">
        <v>113</v>
      </c>
      <c r="C13" s="80" t="s">
        <v>109</v>
      </c>
    </row>
    <row r="15" spans="1:8" ht="15.75" thickBot="1" x14ac:dyDescent="0.3">
      <c r="A15" s="91" t="s">
        <v>114</v>
      </c>
    </row>
    <row r="16" spans="1:8" x14ac:dyDescent="0.25">
      <c r="A16" s="409" t="s">
        <v>46</v>
      </c>
      <c r="B16" s="409" t="s">
        <v>115</v>
      </c>
      <c r="C16" s="79" t="s">
        <v>116</v>
      </c>
      <c r="D16" s="409" t="s">
        <v>117</v>
      </c>
      <c r="E16" s="409" t="s">
        <v>118</v>
      </c>
      <c r="F16" s="409" t="s">
        <v>119</v>
      </c>
      <c r="G16" s="409" t="s">
        <v>120</v>
      </c>
      <c r="H16" s="409" t="s">
        <v>121</v>
      </c>
    </row>
    <row r="17" spans="1:8" ht="15.75" thickBot="1" x14ac:dyDescent="0.3">
      <c r="A17" s="410"/>
      <c r="B17" s="410"/>
      <c r="C17" s="81" t="s">
        <v>2</v>
      </c>
      <c r="D17" s="410"/>
      <c r="E17" s="410"/>
      <c r="F17" s="410"/>
      <c r="G17" s="410"/>
      <c r="H17" s="410"/>
    </row>
    <row r="18" spans="1:8" ht="26.25" thickBot="1" x14ac:dyDescent="0.3">
      <c r="A18" s="83">
        <v>1</v>
      </c>
      <c r="B18" s="85" t="s">
        <v>122</v>
      </c>
      <c r="C18" s="83" t="s">
        <v>123</v>
      </c>
      <c r="D18" s="83">
        <v>8</v>
      </c>
      <c r="E18" s="83">
        <v>50</v>
      </c>
      <c r="F18" s="83">
        <v>8</v>
      </c>
      <c r="G18" s="83">
        <v>42</v>
      </c>
      <c r="H18" s="83">
        <v>35</v>
      </c>
    </row>
    <row r="19" spans="1:8" ht="26.25" thickBot="1" x14ac:dyDescent="0.3">
      <c r="A19" s="83">
        <v>2</v>
      </c>
      <c r="B19" s="85" t="s">
        <v>124</v>
      </c>
      <c r="C19" s="83" t="s">
        <v>125</v>
      </c>
      <c r="D19" s="83">
        <v>12</v>
      </c>
      <c r="E19" s="83">
        <v>15</v>
      </c>
      <c r="F19" s="83">
        <v>14</v>
      </c>
      <c r="G19" s="83">
        <v>4</v>
      </c>
      <c r="H19" s="83">
        <v>9</v>
      </c>
    </row>
    <row r="20" spans="1:8" ht="39" thickBot="1" x14ac:dyDescent="0.3">
      <c r="A20" s="83">
        <v>3</v>
      </c>
      <c r="B20" s="85" t="s">
        <v>126</v>
      </c>
      <c r="C20" s="83"/>
      <c r="D20" s="83"/>
      <c r="E20" s="83">
        <v>14</v>
      </c>
      <c r="F20" s="83">
        <v>15</v>
      </c>
      <c r="G20" s="83"/>
      <c r="H20" s="83">
        <v>13</v>
      </c>
    </row>
    <row r="21" spans="1:8" ht="26.25" thickBot="1" x14ac:dyDescent="0.3">
      <c r="A21" s="83">
        <v>4</v>
      </c>
      <c r="B21" s="85" t="s">
        <v>127</v>
      </c>
      <c r="C21" s="83" t="s">
        <v>123</v>
      </c>
      <c r="D21" s="83">
        <v>20</v>
      </c>
      <c r="E21" s="83">
        <v>34</v>
      </c>
      <c r="F21" s="83">
        <v>20</v>
      </c>
      <c r="G21" s="83">
        <v>20</v>
      </c>
      <c r="H21" s="83">
        <v>23</v>
      </c>
    </row>
    <row r="22" spans="1:8" ht="26.25" thickBot="1" x14ac:dyDescent="0.3">
      <c r="A22" s="83">
        <v>5</v>
      </c>
      <c r="B22" s="85" t="s">
        <v>128</v>
      </c>
      <c r="C22" s="83" t="s">
        <v>129</v>
      </c>
      <c r="D22" s="83">
        <v>20</v>
      </c>
      <c r="E22" s="83">
        <v>22</v>
      </c>
      <c r="F22" s="83">
        <v>6</v>
      </c>
      <c r="G22" s="83">
        <v>18</v>
      </c>
      <c r="H22" s="83">
        <v>23</v>
      </c>
    </row>
    <row r="24" spans="1:8" ht="15.75" thickBot="1" x14ac:dyDescent="0.3">
      <c r="A24" s="91" t="s">
        <v>130</v>
      </c>
    </row>
    <row r="25" spans="1:8" ht="15.75" thickBot="1" x14ac:dyDescent="0.3">
      <c r="B25" s="84" t="s">
        <v>131</v>
      </c>
      <c r="C25" s="82" t="s">
        <v>2</v>
      </c>
      <c r="D25" s="82" t="s">
        <v>132</v>
      </c>
    </row>
    <row r="26" spans="1:8" ht="60.75" thickBot="1" x14ac:dyDescent="0.3">
      <c r="B26" s="78">
        <v>1</v>
      </c>
      <c r="C26" s="75" t="s">
        <v>133</v>
      </c>
      <c r="D26" s="78" t="s">
        <v>134</v>
      </c>
    </row>
    <row r="27" spans="1:8" ht="30.75" thickBot="1" x14ac:dyDescent="0.3">
      <c r="B27" s="78">
        <v>2</v>
      </c>
      <c r="C27" s="75" t="s">
        <v>135</v>
      </c>
      <c r="D27" s="78" t="s">
        <v>136</v>
      </c>
    </row>
    <row r="28" spans="1:8" ht="30.75" thickBot="1" x14ac:dyDescent="0.3">
      <c r="B28" s="78">
        <v>3</v>
      </c>
      <c r="C28" s="75" t="s">
        <v>137</v>
      </c>
      <c r="D28" s="78" t="s">
        <v>138</v>
      </c>
    </row>
    <row r="29" spans="1:8" ht="45.75" thickBot="1" x14ac:dyDescent="0.3">
      <c r="B29" s="78">
        <v>4</v>
      </c>
      <c r="C29" s="75" t="s">
        <v>139</v>
      </c>
      <c r="D29" s="78" t="s">
        <v>140</v>
      </c>
    </row>
    <row r="30" spans="1:8" ht="45.75" thickBot="1" x14ac:dyDescent="0.3">
      <c r="B30" s="78">
        <v>5</v>
      </c>
      <c r="C30" s="75" t="s">
        <v>141</v>
      </c>
      <c r="D30" s="78" t="s">
        <v>142</v>
      </c>
    </row>
    <row r="31" spans="1:8" ht="30.75" thickBot="1" x14ac:dyDescent="0.3">
      <c r="B31" s="78">
        <v>6</v>
      </c>
      <c r="C31" s="75" t="s">
        <v>143</v>
      </c>
      <c r="D31" s="78" t="s">
        <v>142</v>
      </c>
    </row>
    <row r="32" spans="1:8" ht="30.75" thickBot="1" x14ac:dyDescent="0.3">
      <c r="B32" s="78">
        <v>7</v>
      </c>
      <c r="C32" s="75" t="s">
        <v>144</v>
      </c>
      <c r="D32" s="78" t="s">
        <v>145</v>
      </c>
    </row>
    <row r="33" spans="1:10" ht="90.75" thickBot="1" x14ac:dyDescent="0.3">
      <c r="B33" s="78">
        <v>8</v>
      </c>
      <c r="C33" s="75" t="s">
        <v>146</v>
      </c>
      <c r="D33" s="78" t="s">
        <v>142</v>
      </c>
    </row>
    <row r="34" spans="1:10" ht="45.75" thickBot="1" x14ac:dyDescent="0.3">
      <c r="B34" s="78">
        <v>9</v>
      </c>
      <c r="C34" s="75" t="s">
        <v>147</v>
      </c>
      <c r="D34" s="78" t="s">
        <v>142</v>
      </c>
    </row>
    <row r="35" spans="1:10" ht="45.75" thickBot="1" x14ac:dyDescent="0.3">
      <c r="B35" s="78">
        <v>10</v>
      </c>
      <c r="C35" s="75" t="s">
        <v>148</v>
      </c>
      <c r="D35" s="78" t="s">
        <v>142</v>
      </c>
    </row>
    <row r="36" spans="1:10" ht="75.75" thickBot="1" x14ac:dyDescent="0.3">
      <c r="B36" s="78">
        <v>11</v>
      </c>
      <c r="C36" s="75" t="s">
        <v>149</v>
      </c>
      <c r="D36" s="78" t="s">
        <v>142</v>
      </c>
    </row>
    <row r="37" spans="1:10" ht="60.75" thickBot="1" x14ac:dyDescent="0.3">
      <c r="B37" s="78">
        <v>12</v>
      </c>
      <c r="C37" s="75" t="s">
        <v>150</v>
      </c>
      <c r="D37" s="78" t="s">
        <v>142</v>
      </c>
    </row>
    <row r="38" spans="1:10" ht="75.75" thickBot="1" x14ac:dyDescent="0.3">
      <c r="B38" s="78">
        <v>13</v>
      </c>
      <c r="C38" s="75" t="s">
        <v>151</v>
      </c>
      <c r="D38" s="78" t="s">
        <v>142</v>
      </c>
    </row>
    <row r="40" spans="1:10" ht="15.75" thickBot="1" x14ac:dyDescent="0.3">
      <c r="A40" s="88" t="s">
        <v>152</v>
      </c>
    </row>
    <row r="41" spans="1:10" ht="39" thickBot="1" x14ac:dyDescent="0.3">
      <c r="A41" s="73" t="s">
        <v>46</v>
      </c>
      <c r="B41" s="73" t="s">
        <v>101</v>
      </c>
      <c r="C41" s="73" t="s">
        <v>115</v>
      </c>
      <c r="D41" s="73" t="s">
        <v>153</v>
      </c>
      <c r="E41" s="73" t="s">
        <v>117</v>
      </c>
      <c r="F41" s="73" t="s">
        <v>154</v>
      </c>
      <c r="G41" s="73" t="s">
        <v>155</v>
      </c>
      <c r="H41" s="73" t="s">
        <v>156</v>
      </c>
      <c r="I41" s="73" t="s">
        <v>121</v>
      </c>
      <c r="J41" s="73" t="s">
        <v>102</v>
      </c>
    </row>
    <row r="42" spans="1:10" ht="51.75" thickBot="1" x14ac:dyDescent="0.3">
      <c r="A42" s="73">
        <v>1</v>
      </c>
      <c r="B42" s="87" t="s">
        <v>157</v>
      </c>
      <c r="C42" s="87" t="s">
        <v>158</v>
      </c>
      <c r="D42" s="86" t="s">
        <v>159</v>
      </c>
      <c r="E42" s="86">
        <v>10</v>
      </c>
      <c r="F42" s="86">
        <v>10</v>
      </c>
      <c r="G42" s="86">
        <v>10</v>
      </c>
      <c r="H42" s="86"/>
      <c r="I42" s="86">
        <v>4</v>
      </c>
      <c r="J42" s="87" t="s">
        <v>160</v>
      </c>
    </row>
    <row r="43" spans="1:10" ht="128.25" thickBot="1" x14ac:dyDescent="0.3">
      <c r="A43" s="73">
        <v>2</v>
      </c>
      <c r="B43" s="87" t="s">
        <v>161</v>
      </c>
      <c r="C43" s="87" t="s">
        <v>162</v>
      </c>
      <c r="D43" s="86" t="s">
        <v>163</v>
      </c>
      <c r="E43" s="86">
        <v>15</v>
      </c>
      <c r="F43" s="86">
        <v>15</v>
      </c>
      <c r="G43" s="86">
        <v>15</v>
      </c>
      <c r="H43" s="86"/>
      <c r="I43" s="86">
        <v>15</v>
      </c>
      <c r="J43" s="87" t="s">
        <v>160</v>
      </c>
    </row>
    <row r="44" spans="1:10" ht="102.75" thickBot="1" x14ac:dyDescent="0.3">
      <c r="A44" s="73">
        <v>3</v>
      </c>
      <c r="B44" s="87" t="s">
        <v>164</v>
      </c>
      <c r="C44" s="87" t="s">
        <v>165</v>
      </c>
      <c r="D44" s="86" t="s">
        <v>166</v>
      </c>
      <c r="E44" s="86">
        <v>0</v>
      </c>
      <c r="F44" s="86">
        <v>10</v>
      </c>
      <c r="G44" s="86"/>
      <c r="H44" s="86">
        <v>10</v>
      </c>
      <c r="I44" s="86"/>
      <c r="J44" s="87" t="s">
        <v>167</v>
      </c>
    </row>
    <row r="45" spans="1:10" ht="102.75" thickBot="1" x14ac:dyDescent="0.3">
      <c r="A45" s="73">
        <v>4</v>
      </c>
      <c r="B45" s="87" t="s">
        <v>168</v>
      </c>
      <c r="C45" s="87" t="s">
        <v>169</v>
      </c>
      <c r="D45" s="86" t="s">
        <v>166</v>
      </c>
      <c r="E45" s="86">
        <v>12</v>
      </c>
      <c r="F45" s="86">
        <v>16</v>
      </c>
      <c r="G45" s="86">
        <v>16</v>
      </c>
      <c r="H45" s="86"/>
      <c r="I45" s="86">
        <v>26</v>
      </c>
      <c r="J45" s="87" t="s">
        <v>170</v>
      </c>
    </row>
    <row r="46" spans="1:10" ht="115.5" thickBot="1" x14ac:dyDescent="0.3">
      <c r="A46" s="73">
        <v>5</v>
      </c>
      <c r="B46" s="87" t="s">
        <v>171</v>
      </c>
      <c r="C46" s="87" t="s">
        <v>172</v>
      </c>
      <c r="D46" s="86" t="s">
        <v>166</v>
      </c>
      <c r="E46" s="86">
        <v>6</v>
      </c>
      <c r="F46" s="86">
        <v>10</v>
      </c>
      <c r="G46" s="86">
        <v>10</v>
      </c>
      <c r="H46" s="86"/>
      <c r="I46" s="86">
        <v>15</v>
      </c>
      <c r="J46" s="87" t="s">
        <v>173</v>
      </c>
    </row>
    <row r="48" spans="1:10" ht="23.25" x14ac:dyDescent="0.35">
      <c r="A48" s="96" t="s">
        <v>174</v>
      </c>
    </row>
    <row r="49" spans="1:9" ht="15.75" thickBot="1" x14ac:dyDescent="0.3">
      <c r="A49" s="94" t="s">
        <v>175</v>
      </c>
    </row>
    <row r="50" spans="1:9" ht="51.75" thickBot="1" x14ac:dyDescent="0.3">
      <c r="A50" s="73" t="s">
        <v>46</v>
      </c>
      <c r="B50" s="73" t="s">
        <v>140</v>
      </c>
      <c r="C50" s="73" t="s">
        <v>176</v>
      </c>
      <c r="D50" s="73" t="s">
        <v>177</v>
      </c>
      <c r="E50" s="73" t="s">
        <v>178</v>
      </c>
      <c r="F50" s="73" t="s">
        <v>179</v>
      </c>
      <c r="G50" s="73" t="s">
        <v>180</v>
      </c>
      <c r="H50" s="73" t="s">
        <v>181</v>
      </c>
      <c r="I50" s="73" t="s">
        <v>102</v>
      </c>
    </row>
    <row r="51" spans="1:9" ht="51" x14ac:dyDescent="0.25">
      <c r="A51" s="401">
        <v>1</v>
      </c>
      <c r="B51" s="404" t="s">
        <v>182</v>
      </c>
      <c r="C51" s="398">
        <v>26</v>
      </c>
      <c r="D51" s="89" t="s">
        <v>273</v>
      </c>
      <c r="E51" s="398">
        <v>80</v>
      </c>
      <c r="F51" s="398">
        <v>15</v>
      </c>
      <c r="G51" s="398">
        <v>10</v>
      </c>
      <c r="H51" s="90" t="s">
        <v>274</v>
      </c>
      <c r="I51" s="90" t="s">
        <v>275</v>
      </c>
    </row>
    <row r="52" spans="1:9" ht="25.5" x14ac:dyDescent="0.25">
      <c r="A52" s="402"/>
      <c r="B52" s="405"/>
      <c r="C52" s="399"/>
      <c r="D52" s="76" t="s">
        <v>276</v>
      </c>
      <c r="E52" s="399"/>
      <c r="F52" s="399"/>
      <c r="G52" s="399"/>
      <c r="H52" s="135" t="s">
        <v>277</v>
      </c>
      <c r="I52" s="135" t="s">
        <v>278</v>
      </c>
    </row>
    <row r="53" spans="1:9" x14ac:dyDescent="0.25">
      <c r="A53" s="402"/>
      <c r="B53" s="405"/>
      <c r="C53" s="399"/>
      <c r="D53" s="136"/>
      <c r="E53" s="399"/>
      <c r="F53" s="399"/>
      <c r="G53" s="399"/>
      <c r="H53" s="135" t="s">
        <v>279</v>
      </c>
      <c r="I53" s="137"/>
    </row>
    <row r="54" spans="1:9" x14ac:dyDescent="0.25">
      <c r="A54" s="402"/>
      <c r="B54" s="405"/>
      <c r="C54" s="399"/>
      <c r="D54" s="136"/>
      <c r="E54" s="399"/>
      <c r="F54" s="399"/>
      <c r="G54" s="399"/>
      <c r="H54" s="135" t="s">
        <v>280</v>
      </c>
      <c r="I54" s="137"/>
    </row>
    <row r="55" spans="1:9" x14ac:dyDescent="0.25">
      <c r="A55" s="402"/>
      <c r="B55" s="405"/>
      <c r="C55" s="399"/>
      <c r="D55" s="136"/>
      <c r="E55" s="399"/>
      <c r="F55" s="399"/>
      <c r="G55" s="399"/>
      <c r="H55" s="135" t="s">
        <v>281</v>
      </c>
      <c r="I55" s="137"/>
    </row>
    <row r="56" spans="1:9" x14ac:dyDescent="0.25">
      <c r="A56" s="402"/>
      <c r="B56" s="405"/>
      <c r="C56" s="399"/>
      <c r="D56" s="136"/>
      <c r="E56" s="399"/>
      <c r="F56" s="399"/>
      <c r="G56" s="399"/>
      <c r="H56" s="135" t="s">
        <v>282</v>
      </c>
      <c r="I56" s="137"/>
    </row>
    <row r="57" spans="1:9" ht="15.75" thickBot="1" x14ac:dyDescent="0.3">
      <c r="A57" s="403"/>
      <c r="B57" s="406"/>
      <c r="C57" s="400"/>
      <c r="D57" s="138"/>
      <c r="E57" s="400"/>
      <c r="F57" s="400"/>
      <c r="G57" s="400"/>
      <c r="H57" s="139" t="s">
        <v>283</v>
      </c>
      <c r="I57" s="140"/>
    </row>
    <row r="58" spans="1:9" x14ac:dyDescent="0.25">
      <c r="A58" s="401">
        <v>2</v>
      </c>
      <c r="B58" s="404" t="s">
        <v>183</v>
      </c>
      <c r="C58" s="398">
        <v>15</v>
      </c>
      <c r="D58" s="89" t="s">
        <v>273</v>
      </c>
      <c r="E58" s="398">
        <v>70</v>
      </c>
      <c r="F58" s="398">
        <v>15</v>
      </c>
      <c r="G58" s="398">
        <v>11</v>
      </c>
      <c r="H58" s="90" t="s">
        <v>274</v>
      </c>
      <c r="I58" s="404" t="s">
        <v>184</v>
      </c>
    </row>
    <row r="59" spans="1:9" ht="25.5" x14ac:dyDescent="0.25">
      <c r="A59" s="402"/>
      <c r="B59" s="405"/>
      <c r="C59" s="399"/>
      <c r="D59" s="76" t="s">
        <v>276</v>
      </c>
      <c r="E59" s="399"/>
      <c r="F59" s="399"/>
      <c r="G59" s="399"/>
      <c r="H59" s="135" t="s">
        <v>277</v>
      </c>
      <c r="I59" s="405"/>
    </row>
    <row r="60" spans="1:9" x14ac:dyDescent="0.25">
      <c r="A60" s="402"/>
      <c r="B60" s="405"/>
      <c r="C60" s="399"/>
      <c r="D60" s="76" t="s">
        <v>284</v>
      </c>
      <c r="E60" s="399"/>
      <c r="F60" s="399"/>
      <c r="G60" s="399"/>
      <c r="H60" s="135" t="s">
        <v>285</v>
      </c>
      <c r="I60" s="405"/>
    </row>
    <row r="61" spans="1:9" x14ac:dyDescent="0.25">
      <c r="A61" s="402"/>
      <c r="B61" s="405"/>
      <c r="C61" s="399"/>
      <c r="D61" s="136"/>
      <c r="E61" s="399"/>
      <c r="F61" s="399"/>
      <c r="G61" s="399"/>
      <c r="H61" s="135" t="s">
        <v>286</v>
      </c>
      <c r="I61" s="405"/>
    </row>
    <row r="62" spans="1:9" x14ac:dyDescent="0.25">
      <c r="A62" s="402"/>
      <c r="B62" s="405"/>
      <c r="C62" s="399"/>
      <c r="D62" s="136"/>
      <c r="E62" s="399"/>
      <c r="F62" s="399"/>
      <c r="G62" s="399"/>
      <c r="H62" s="135" t="s">
        <v>287</v>
      </c>
      <c r="I62" s="405"/>
    </row>
    <row r="63" spans="1:9" x14ac:dyDescent="0.25">
      <c r="A63" s="402"/>
      <c r="B63" s="405"/>
      <c r="C63" s="399"/>
      <c r="D63" s="136"/>
      <c r="E63" s="399"/>
      <c r="F63" s="399"/>
      <c r="G63" s="399"/>
      <c r="H63" s="135" t="s">
        <v>288</v>
      </c>
      <c r="I63" s="405"/>
    </row>
    <row r="64" spans="1:9" ht="15.75" thickBot="1" x14ac:dyDescent="0.3">
      <c r="A64" s="403"/>
      <c r="B64" s="406"/>
      <c r="C64" s="400"/>
      <c r="D64" s="138"/>
      <c r="E64" s="400"/>
      <c r="F64" s="400"/>
      <c r="G64" s="400"/>
      <c r="H64" s="139" t="s">
        <v>282</v>
      </c>
      <c r="I64" s="406"/>
    </row>
    <row r="65" spans="1:9" ht="51" x14ac:dyDescent="0.25">
      <c r="A65" s="401">
        <v>3</v>
      </c>
      <c r="B65" s="404" t="s">
        <v>185</v>
      </c>
      <c r="C65" s="398">
        <v>18</v>
      </c>
      <c r="D65" s="89" t="s">
        <v>273</v>
      </c>
      <c r="E65" s="398">
        <v>70</v>
      </c>
      <c r="F65" s="398">
        <v>10</v>
      </c>
      <c r="G65" s="398">
        <v>16</v>
      </c>
      <c r="H65" s="90" t="s">
        <v>274</v>
      </c>
      <c r="I65" s="90" t="s">
        <v>289</v>
      </c>
    </row>
    <row r="66" spans="1:9" ht="25.5" x14ac:dyDescent="0.25">
      <c r="A66" s="402"/>
      <c r="B66" s="405"/>
      <c r="C66" s="399"/>
      <c r="D66" s="76" t="s">
        <v>276</v>
      </c>
      <c r="E66" s="399"/>
      <c r="F66" s="399"/>
      <c r="G66" s="399"/>
      <c r="H66" s="135" t="s">
        <v>290</v>
      </c>
      <c r="I66" s="135" t="s">
        <v>291</v>
      </c>
    </row>
    <row r="67" spans="1:9" x14ac:dyDescent="0.25">
      <c r="A67" s="402"/>
      <c r="B67" s="405"/>
      <c r="C67" s="399"/>
      <c r="D67" s="136"/>
      <c r="E67" s="399"/>
      <c r="F67" s="399"/>
      <c r="G67" s="399"/>
      <c r="H67" s="135" t="s">
        <v>282</v>
      </c>
      <c r="I67" s="137"/>
    </row>
    <row r="68" spans="1:9" x14ac:dyDescent="0.25">
      <c r="A68" s="402"/>
      <c r="B68" s="405"/>
      <c r="C68" s="399"/>
      <c r="D68" s="136"/>
      <c r="E68" s="399"/>
      <c r="F68" s="399"/>
      <c r="G68" s="399"/>
      <c r="H68" s="135" t="s">
        <v>292</v>
      </c>
      <c r="I68" s="137"/>
    </row>
    <row r="69" spans="1:9" ht="15.75" thickBot="1" x14ac:dyDescent="0.3">
      <c r="A69" s="403"/>
      <c r="B69" s="406"/>
      <c r="C69" s="400"/>
      <c r="D69" s="138"/>
      <c r="E69" s="400"/>
      <c r="F69" s="400"/>
      <c r="G69" s="400"/>
      <c r="H69" s="139" t="s">
        <v>287</v>
      </c>
      <c r="I69" s="140"/>
    </row>
    <row r="70" spans="1:9" x14ac:dyDescent="0.25">
      <c r="A70" s="401">
        <v>4</v>
      </c>
      <c r="B70" s="404" t="s">
        <v>186</v>
      </c>
      <c r="C70" s="398">
        <v>24</v>
      </c>
      <c r="D70" s="89" t="s">
        <v>273</v>
      </c>
      <c r="E70" s="398">
        <v>80</v>
      </c>
      <c r="F70" s="398">
        <v>8</v>
      </c>
      <c r="G70" s="398">
        <v>10</v>
      </c>
      <c r="H70" s="90" t="s">
        <v>274</v>
      </c>
      <c r="I70" s="404" t="s">
        <v>187</v>
      </c>
    </row>
    <row r="71" spans="1:9" ht="25.5" x14ac:dyDescent="0.25">
      <c r="A71" s="402"/>
      <c r="B71" s="405"/>
      <c r="C71" s="399"/>
      <c r="D71" s="76" t="s">
        <v>276</v>
      </c>
      <c r="E71" s="399"/>
      <c r="F71" s="399"/>
      <c r="G71" s="399"/>
      <c r="H71" s="135" t="s">
        <v>290</v>
      </c>
      <c r="I71" s="405"/>
    </row>
    <row r="72" spans="1:9" x14ac:dyDescent="0.25">
      <c r="A72" s="402"/>
      <c r="B72" s="405"/>
      <c r="C72" s="399"/>
      <c r="D72" s="76" t="s">
        <v>284</v>
      </c>
      <c r="E72" s="399"/>
      <c r="F72" s="399"/>
      <c r="G72" s="399"/>
      <c r="H72" s="135" t="s">
        <v>282</v>
      </c>
      <c r="I72" s="405"/>
    </row>
    <row r="73" spans="1:9" x14ac:dyDescent="0.25">
      <c r="A73" s="402"/>
      <c r="B73" s="405"/>
      <c r="C73" s="399"/>
      <c r="D73" s="136"/>
      <c r="E73" s="399"/>
      <c r="F73" s="399"/>
      <c r="G73" s="399"/>
      <c r="H73" s="135" t="s">
        <v>292</v>
      </c>
      <c r="I73" s="405"/>
    </row>
    <row r="74" spans="1:9" x14ac:dyDescent="0.25">
      <c r="A74" s="402"/>
      <c r="B74" s="405"/>
      <c r="C74" s="399"/>
      <c r="D74" s="136"/>
      <c r="E74" s="399"/>
      <c r="F74" s="399"/>
      <c r="G74" s="399"/>
      <c r="H74" s="135" t="s">
        <v>293</v>
      </c>
      <c r="I74" s="405"/>
    </row>
    <row r="75" spans="1:9" ht="15.75" thickBot="1" x14ac:dyDescent="0.3">
      <c r="A75" s="403"/>
      <c r="B75" s="406"/>
      <c r="C75" s="400"/>
      <c r="D75" s="138"/>
      <c r="E75" s="400"/>
      <c r="F75" s="400"/>
      <c r="G75" s="400"/>
      <c r="H75" s="139" t="s">
        <v>287</v>
      </c>
      <c r="I75" s="406"/>
    </row>
    <row r="77" spans="1:9" x14ac:dyDescent="0.25">
      <c r="A77" s="141" t="s">
        <v>188</v>
      </c>
    </row>
    <row r="78" spans="1:9" x14ac:dyDescent="0.25">
      <c r="A78" s="141"/>
      <c r="B78" s="97" t="s">
        <v>115</v>
      </c>
      <c r="C78" s="97" t="s">
        <v>121</v>
      </c>
    </row>
    <row r="79" spans="1:9" ht="25.5" x14ac:dyDescent="0.25">
      <c r="B79" s="397" t="s">
        <v>182</v>
      </c>
      <c r="C79" s="142" t="s">
        <v>189</v>
      </c>
    </row>
    <row r="80" spans="1:9" ht="38.25" x14ac:dyDescent="0.25">
      <c r="B80" s="397"/>
      <c r="C80" s="142" t="s">
        <v>190</v>
      </c>
    </row>
    <row r="81" spans="1:3" ht="25.5" x14ac:dyDescent="0.25">
      <c r="B81" s="397"/>
      <c r="C81" s="142" t="s">
        <v>191</v>
      </c>
    </row>
    <row r="82" spans="1:3" ht="30" x14ac:dyDescent="0.25">
      <c r="B82" s="397" t="s">
        <v>183</v>
      </c>
      <c r="C82" s="143" t="s">
        <v>192</v>
      </c>
    </row>
    <row r="83" spans="1:3" ht="45" x14ac:dyDescent="0.25">
      <c r="B83" s="397"/>
      <c r="C83" s="143" t="s">
        <v>193</v>
      </c>
    </row>
    <row r="84" spans="1:3" ht="30" x14ac:dyDescent="0.25">
      <c r="B84" s="397"/>
      <c r="C84" s="143" t="s">
        <v>194</v>
      </c>
    </row>
    <row r="85" spans="1:3" ht="30" x14ac:dyDescent="0.25">
      <c r="B85" s="397" t="s">
        <v>185</v>
      </c>
      <c r="C85" s="143" t="s">
        <v>195</v>
      </c>
    </row>
    <row r="86" spans="1:3" ht="45" x14ac:dyDescent="0.25">
      <c r="B86" s="397"/>
      <c r="C86" s="143" t="s">
        <v>196</v>
      </c>
    </row>
    <row r="87" spans="1:3" ht="30" x14ac:dyDescent="0.25">
      <c r="B87" s="397"/>
      <c r="C87" s="143" t="s">
        <v>197</v>
      </c>
    </row>
    <row r="88" spans="1:3" ht="30" x14ac:dyDescent="0.25">
      <c r="B88" s="397" t="s">
        <v>198</v>
      </c>
      <c r="C88" s="143" t="s">
        <v>199</v>
      </c>
    </row>
    <row r="89" spans="1:3" ht="45" x14ac:dyDescent="0.25">
      <c r="B89" s="397"/>
      <c r="C89" s="143" t="s">
        <v>200</v>
      </c>
    </row>
    <row r="90" spans="1:3" ht="30" x14ac:dyDescent="0.25">
      <c r="B90" s="397"/>
      <c r="C90" s="143" t="s">
        <v>201</v>
      </c>
    </row>
    <row r="93" spans="1:3" x14ac:dyDescent="0.25">
      <c r="A93" s="67" t="s">
        <v>202</v>
      </c>
    </row>
    <row r="116" spans="1:19" x14ac:dyDescent="0.25">
      <c r="F116" s="67">
        <v>6600746000</v>
      </c>
    </row>
    <row r="118" spans="1:19" ht="19.5" thickBot="1" x14ac:dyDescent="0.35">
      <c r="A118" s="95" t="s">
        <v>203</v>
      </c>
      <c r="M118" s="144" t="s">
        <v>204</v>
      </c>
    </row>
    <row r="119" spans="1:19" ht="51.75" thickBot="1" x14ac:dyDescent="0.3">
      <c r="A119" s="145" t="s">
        <v>47</v>
      </c>
      <c r="B119" s="146" t="s">
        <v>205</v>
      </c>
      <c r="C119" s="146" t="s">
        <v>206</v>
      </c>
      <c r="D119" s="146" t="s">
        <v>207</v>
      </c>
      <c r="E119" s="146" t="s">
        <v>208</v>
      </c>
      <c r="M119" s="147" t="s">
        <v>209</v>
      </c>
      <c r="N119" s="148" t="s">
        <v>210</v>
      </c>
      <c r="O119" s="148" t="s">
        <v>211</v>
      </c>
      <c r="P119" s="148" t="s">
        <v>212</v>
      </c>
      <c r="Q119" s="148" t="s">
        <v>213</v>
      </c>
      <c r="R119" s="148" t="s">
        <v>185</v>
      </c>
      <c r="S119" s="148" t="s">
        <v>214</v>
      </c>
    </row>
    <row r="120" spans="1:19" ht="26.25" thickBot="1" x14ac:dyDescent="0.3">
      <c r="A120" s="149">
        <v>1</v>
      </c>
      <c r="B120" s="150" t="s">
        <v>215</v>
      </c>
      <c r="C120" s="151">
        <v>56.78</v>
      </c>
      <c r="D120" s="152">
        <v>227.12</v>
      </c>
      <c r="E120" s="152">
        <v>19873</v>
      </c>
      <c r="M120" s="153" t="s">
        <v>216</v>
      </c>
      <c r="N120" s="154">
        <v>42</v>
      </c>
      <c r="O120" s="154"/>
      <c r="P120" s="154"/>
      <c r="Q120" s="154"/>
      <c r="R120" s="154"/>
      <c r="S120" s="154"/>
    </row>
    <row r="121" spans="1:19" ht="26.25" thickBot="1" x14ac:dyDescent="0.3">
      <c r="A121" s="149">
        <v>2</v>
      </c>
      <c r="B121" s="150" t="s">
        <v>217</v>
      </c>
      <c r="C121" s="151">
        <v>33.72</v>
      </c>
      <c r="D121" s="152">
        <v>134.88</v>
      </c>
      <c r="E121" s="152">
        <v>11802</v>
      </c>
      <c r="M121" s="416" t="s">
        <v>218</v>
      </c>
      <c r="N121" s="417"/>
      <c r="O121" s="155" t="s">
        <v>219</v>
      </c>
      <c r="P121" s="155" t="s">
        <v>220</v>
      </c>
      <c r="Q121" s="155" t="s">
        <v>221</v>
      </c>
      <c r="R121" s="155" t="s">
        <v>222</v>
      </c>
      <c r="S121" s="154" t="s">
        <v>223</v>
      </c>
    </row>
    <row r="122" spans="1:19" ht="26.25" thickBot="1" x14ac:dyDescent="0.3">
      <c r="A122" s="149">
        <v>3</v>
      </c>
      <c r="B122" s="150" t="s">
        <v>224</v>
      </c>
      <c r="C122" s="151">
        <v>49.64</v>
      </c>
      <c r="D122" s="152">
        <v>198.56</v>
      </c>
      <c r="E122" s="152">
        <v>17374</v>
      </c>
      <c r="M122" s="416" t="s">
        <v>225</v>
      </c>
      <c r="N122" s="417"/>
      <c r="O122" s="156" t="s">
        <v>226</v>
      </c>
      <c r="P122" s="156" t="s">
        <v>226</v>
      </c>
      <c r="Q122" s="156" t="s">
        <v>226</v>
      </c>
      <c r="R122" s="156" t="s">
        <v>226</v>
      </c>
      <c r="S122" s="154" t="s">
        <v>227</v>
      </c>
    </row>
    <row r="123" spans="1:19" ht="26.25" thickBot="1" x14ac:dyDescent="0.3">
      <c r="A123" s="149">
        <v>4</v>
      </c>
      <c r="B123" s="150" t="s">
        <v>185</v>
      </c>
      <c r="C123" s="152">
        <v>33.020000000000003</v>
      </c>
      <c r="D123" s="152">
        <v>132.08000000000001</v>
      </c>
      <c r="E123" s="152">
        <v>11557</v>
      </c>
      <c r="M123" s="416" t="s">
        <v>228</v>
      </c>
      <c r="N123" s="417"/>
      <c r="O123" s="157" t="s">
        <v>229</v>
      </c>
      <c r="P123" s="157" t="s">
        <v>230</v>
      </c>
      <c r="Q123" s="157" t="s">
        <v>231</v>
      </c>
      <c r="R123" s="157" t="s">
        <v>232</v>
      </c>
      <c r="S123" s="154" t="s">
        <v>233</v>
      </c>
    </row>
    <row r="124" spans="1:19" ht="26.25" thickBot="1" x14ac:dyDescent="0.3">
      <c r="M124" s="416" t="s">
        <v>234</v>
      </c>
      <c r="N124" s="417"/>
      <c r="O124" s="154">
        <v>45</v>
      </c>
      <c r="P124" s="154">
        <v>45</v>
      </c>
      <c r="Q124" s="154">
        <v>45</v>
      </c>
      <c r="R124" s="154">
        <v>45</v>
      </c>
      <c r="S124" s="154" t="s">
        <v>235</v>
      </c>
    </row>
    <row r="125" spans="1:19" ht="26.25" thickBot="1" x14ac:dyDescent="0.3">
      <c r="M125" s="416" t="s">
        <v>236</v>
      </c>
      <c r="N125" s="417"/>
      <c r="O125" s="154">
        <v>90</v>
      </c>
      <c r="P125" s="154">
        <v>90</v>
      </c>
      <c r="Q125" s="154">
        <v>90</v>
      </c>
      <c r="R125" s="154">
        <v>90</v>
      </c>
      <c r="S125" s="154" t="s">
        <v>235</v>
      </c>
    </row>
    <row r="126" spans="1:19" ht="26.25" thickBot="1" x14ac:dyDescent="0.35">
      <c r="A126" s="95" t="s">
        <v>237</v>
      </c>
      <c r="M126" s="416" t="s">
        <v>238</v>
      </c>
      <c r="N126" s="417"/>
      <c r="O126" s="154">
        <v>540</v>
      </c>
      <c r="P126" s="154">
        <v>540</v>
      </c>
      <c r="Q126" s="154">
        <v>540</v>
      </c>
      <c r="R126" s="154">
        <v>540</v>
      </c>
      <c r="S126" s="154" t="s">
        <v>235</v>
      </c>
    </row>
    <row r="127" spans="1:19" ht="16.5" thickBot="1" x14ac:dyDescent="0.3">
      <c r="A127" s="134" t="s">
        <v>239</v>
      </c>
      <c r="M127" s="416" t="s">
        <v>240</v>
      </c>
      <c r="N127" s="417"/>
      <c r="O127" s="154">
        <v>30</v>
      </c>
      <c r="P127" s="154">
        <v>30</v>
      </c>
      <c r="Q127" s="154">
        <v>30</v>
      </c>
      <c r="R127" s="154">
        <v>30</v>
      </c>
      <c r="S127" s="154" t="s">
        <v>241</v>
      </c>
    </row>
    <row r="128" spans="1:19" ht="15.75" thickBot="1" x14ac:dyDescent="0.3">
      <c r="M128" s="416" t="s">
        <v>242</v>
      </c>
      <c r="N128" s="417"/>
      <c r="O128" s="154">
        <v>1703</v>
      </c>
      <c r="P128" s="154">
        <v>1011</v>
      </c>
      <c r="Q128" s="154">
        <v>1489</v>
      </c>
      <c r="R128" s="154">
        <v>990</v>
      </c>
      <c r="S128" s="154" t="s">
        <v>223</v>
      </c>
    </row>
    <row r="129" spans="1:22" ht="26.25" thickBot="1" x14ac:dyDescent="0.3">
      <c r="B129" s="67" t="s">
        <v>243</v>
      </c>
      <c r="C129" s="98" t="s">
        <v>244</v>
      </c>
      <c r="D129" s="67" t="s">
        <v>245</v>
      </c>
      <c r="M129" s="416" t="s">
        <v>246</v>
      </c>
      <c r="N129" s="417"/>
      <c r="O129" s="154">
        <v>16200</v>
      </c>
      <c r="P129" s="154">
        <v>16200</v>
      </c>
      <c r="Q129" s="154">
        <v>16200</v>
      </c>
      <c r="R129" s="154">
        <v>16200</v>
      </c>
      <c r="S129" s="154" t="s">
        <v>235</v>
      </c>
    </row>
    <row r="130" spans="1:22" ht="15.75" thickBot="1" x14ac:dyDescent="0.3">
      <c r="C130" s="67" t="s">
        <v>247</v>
      </c>
      <c r="M130" s="416" t="s">
        <v>248</v>
      </c>
      <c r="N130" s="417"/>
      <c r="O130" s="154">
        <v>19673</v>
      </c>
      <c r="P130" s="154">
        <v>11802</v>
      </c>
      <c r="Q130" s="154">
        <v>17374</v>
      </c>
      <c r="R130" s="154">
        <v>11557</v>
      </c>
      <c r="S130" s="154" t="s">
        <v>249</v>
      </c>
    </row>
    <row r="131" spans="1:22" ht="26.25" thickBot="1" x14ac:dyDescent="0.3">
      <c r="M131" s="416" t="s">
        <v>250</v>
      </c>
      <c r="N131" s="417"/>
      <c r="O131" s="154">
        <v>194400</v>
      </c>
      <c r="P131" s="154">
        <v>194400</v>
      </c>
      <c r="Q131" s="154">
        <v>194400</v>
      </c>
      <c r="R131" s="154">
        <v>194400</v>
      </c>
      <c r="S131" s="154" t="s">
        <v>235</v>
      </c>
    </row>
    <row r="132" spans="1:22" x14ac:dyDescent="0.25">
      <c r="B132" s="67" t="s">
        <v>251</v>
      </c>
      <c r="D132" s="98" t="s">
        <v>252</v>
      </c>
    </row>
    <row r="133" spans="1:22" x14ac:dyDescent="0.25">
      <c r="D133" s="67" t="s">
        <v>253</v>
      </c>
    </row>
    <row r="135" spans="1:22" ht="45" x14ac:dyDescent="0.25">
      <c r="B135" s="164" t="s">
        <v>115</v>
      </c>
      <c r="C135" s="164" t="s">
        <v>254</v>
      </c>
      <c r="D135" s="164" t="s">
        <v>255</v>
      </c>
      <c r="E135" s="164" t="s">
        <v>256</v>
      </c>
      <c r="F135" s="164" t="s">
        <v>257</v>
      </c>
      <c r="G135" s="164" t="s">
        <v>258</v>
      </c>
      <c r="H135" s="71" t="s">
        <v>259</v>
      </c>
    </row>
    <row r="136" spans="1:22" ht="60" x14ac:dyDescent="0.25">
      <c r="B136" s="92" t="s">
        <v>182</v>
      </c>
      <c r="C136" s="93">
        <v>15</v>
      </c>
      <c r="D136" s="93">
        <v>4</v>
      </c>
      <c r="E136" s="93">
        <v>56.78</v>
      </c>
      <c r="F136" s="93">
        <v>20</v>
      </c>
      <c r="G136" s="99">
        <v>11.356</v>
      </c>
      <c r="H136" s="158">
        <f>V150</f>
        <v>194.22694389602555</v>
      </c>
    </row>
    <row r="137" spans="1:22" ht="45" x14ac:dyDescent="0.25">
      <c r="B137" s="92" t="s">
        <v>183</v>
      </c>
      <c r="C137" s="93">
        <v>15</v>
      </c>
      <c r="D137" s="93">
        <v>4</v>
      </c>
      <c r="E137" s="93">
        <v>33.72</v>
      </c>
      <c r="F137" s="93">
        <v>20</v>
      </c>
      <c r="G137" s="99">
        <v>6.7439999999999998</v>
      </c>
      <c r="H137" s="158">
        <f>V160</f>
        <v>68.500514311625096</v>
      </c>
    </row>
    <row r="138" spans="1:22" ht="30" x14ac:dyDescent="0.25">
      <c r="B138" s="92" t="s">
        <v>185</v>
      </c>
      <c r="C138" s="93">
        <v>10</v>
      </c>
      <c r="D138" s="93">
        <v>6</v>
      </c>
      <c r="E138" s="93">
        <v>33.020000000000003</v>
      </c>
      <c r="F138" s="93">
        <v>20</v>
      </c>
      <c r="G138" s="99">
        <v>9.9060000000000024</v>
      </c>
      <c r="H138" s="158">
        <f>V170</f>
        <v>98.529005042120957</v>
      </c>
    </row>
    <row r="139" spans="1:22" ht="60" x14ac:dyDescent="0.25">
      <c r="B139" s="92" t="s">
        <v>186</v>
      </c>
      <c r="C139" s="93">
        <v>8</v>
      </c>
      <c r="D139" s="93">
        <v>7.5</v>
      </c>
      <c r="E139" s="93">
        <v>49.64</v>
      </c>
      <c r="F139" s="93">
        <v>20</v>
      </c>
      <c r="G139" s="99">
        <v>18.615000000000002</v>
      </c>
      <c r="H139" s="158">
        <f>V180</f>
        <v>278.34506006541699</v>
      </c>
    </row>
    <row r="140" spans="1:22" ht="23.25" x14ac:dyDescent="0.35">
      <c r="B140" s="396" t="s">
        <v>98</v>
      </c>
      <c r="C140" s="396"/>
      <c r="D140" s="396"/>
      <c r="E140" s="396"/>
      <c r="F140" s="396"/>
      <c r="G140" s="396"/>
      <c r="H140" s="163">
        <f>SUM(H136:H139)</f>
        <v>639.60152331518862</v>
      </c>
    </row>
    <row r="142" spans="1:22" ht="21" x14ac:dyDescent="0.35">
      <c r="A142" s="106" t="s">
        <v>260</v>
      </c>
    </row>
    <row r="144" spans="1:22" ht="46.5" x14ac:dyDescent="0.25">
      <c r="A144" s="414" t="s">
        <v>93</v>
      </c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</row>
    <row r="145" spans="1:24" ht="46.5" x14ac:dyDescent="0.25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</row>
    <row r="146" spans="1:24" ht="23.25" x14ac:dyDescent="0.35">
      <c r="A146" s="415" t="s">
        <v>261</v>
      </c>
      <c r="B146" s="415"/>
      <c r="C146" s="415"/>
      <c r="D146" s="415"/>
      <c r="E146" s="415"/>
      <c r="F146" s="415"/>
      <c r="G146" s="415"/>
      <c r="H146" s="415"/>
      <c r="I146" s="415"/>
      <c r="J146" s="415"/>
      <c r="K146" s="415"/>
      <c r="L146" s="415"/>
      <c r="M146" s="415"/>
      <c r="N146" s="415"/>
      <c r="O146" s="415"/>
      <c r="P146" s="415"/>
      <c r="Q146" s="415"/>
      <c r="R146" s="415"/>
      <c r="S146" s="415"/>
      <c r="T146" s="415"/>
      <c r="U146" s="415"/>
      <c r="V146" s="415"/>
      <c r="X146" s="67" t="s">
        <v>261</v>
      </c>
    </row>
    <row r="147" spans="1:24" ht="15.75" x14ac:dyDescent="0.25">
      <c r="A147" s="384" t="s">
        <v>62</v>
      </c>
      <c r="B147" s="385"/>
      <c r="C147" s="386"/>
      <c r="D147" s="380" t="s">
        <v>63</v>
      </c>
      <c r="E147" s="382" t="s">
        <v>64</v>
      </c>
      <c r="F147" s="382" t="s">
        <v>65</v>
      </c>
      <c r="G147" s="382" t="s">
        <v>66</v>
      </c>
      <c r="H147" s="354" t="s">
        <v>67</v>
      </c>
      <c r="I147" s="380" t="s">
        <v>68</v>
      </c>
      <c r="J147" s="382" t="s">
        <v>69</v>
      </c>
      <c r="K147" s="382" t="s">
        <v>70</v>
      </c>
      <c r="L147" s="380" t="s">
        <v>71</v>
      </c>
      <c r="M147" s="354" t="s">
        <v>72</v>
      </c>
      <c r="N147" s="380" t="s">
        <v>73</v>
      </c>
      <c r="O147" s="354" t="s">
        <v>74</v>
      </c>
      <c r="P147" s="382" t="s">
        <v>75</v>
      </c>
      <c r="Q147" s="382" t="s">
        <v>76</v>
      </c>
      <c r="R147" s="380" t="s">
        <v>71</v>
      </c>
      <c r="S147" s="354" t="s">
        <v>77</v>
      </c>
      <c r="T147" s="380" t="s">
        <v>78</v>
      </c>
      <c r="U147" s="354" t="s">
        <v>79</v>
      </c>
      <c r="V147" s="354" t="s">
        <v>80</v>
      </c>
      <c r="X147" s="67" t="s">
        <v>262</v>
      </c>
    </row>
    <row r="148" spans="1:24" ht="78.75" x14ac:dyDescent="0.25">
      <c r="A148" s="109" t="s">
        <v>81</v>
      </c>
      <c r="B148" s="109" t="s">
        <v>82</v>
      </c>
      <c r="C148" s="109" t="s">
        <v>83</v>
      </c>
      <c r="D148" s="381"/>
      <c r="E148" s="383"/>
      <c r="F148" s="383"/>
      <c r="G148" s="383"/>
      <c r="H148" s="355"/>
      <c r="I148" s="381"/>
      <c r="J148" s="383"/>
      <c r="K148" s="383"/>
      <c r="L148" s="381"/>
      <c r="M148" s="355"/>
      <c r="N148" s="381"/>
      <c r="O148" s="355"/>
      <c r="P148" s="383"/>
      <c r="Q148" s="383"/>
      <c r="R148" s="381"/>
      <c r="S148" s="355"/>
      <c r="T148" s="381"/>
      <c r="U148" s="355"/>
      <c r="V148" s="355"/>
      <c r="X148" s="67" t="s">
        <v>263</v>
      </c>
    </row>
    <row r="149" spans="1:24" ht="15.75" x14ac:dyDescent="0.25">
      <c r="A149" s="110">
        <v>1</v>
      </c>
      <c r="B149" s="111">
        <v>2</v>
      </c>
      <c r="C149" s="111">
        <v>3</v>
      </c>
      <c r="D149" s="103">
        <v>4</v>
      </c>
      <c r="E149" s="112">
        <v>5</v>
      </c>
      <c r="F149" s="100">
        <v>6</v>
      </c>
      <c r="G149" s="100">
        <v>7</v>
      </c>
      <c r="H149" s="102">
        <v>8</v>
      </c>
      <c r="I149" s="101">
        <v>9</v>
      </c>
      <c r="J149" s="100">
        <v>10</v>
      </c>
      <c r="K149" s="100">
        <v>11</v>
      </c>
      <c r="L149" s="101">
        <v>12</v>
      </c>
      <c r="M149" s="102">
        <v>13</v>
      </c>
      <c r="N149" s="103">
        <v>14</v>
      </c>
      <c r="O149" s="102">
        <v>15</v>
      </c>
      <c r="P149" s="100">
        <v>16</v>
      </c>
      <c r="Q149" s="100">
        <v>17</v>
      </c>
      <c r="R149" s="108">
        <v>18</v>
      </c>
      <c r="S149" s="125">
        <v>19</v>
      </c>
      <c r="T149" s="101">
        <v>20</v>
      </c>
      <c r="U149" s="125">
        <v>21</v>
      </c>
      <c r="V149" s="125">
        <v>22</v>
      </c>
      <c r="X149" s="67" t="s">
        <v>264</v>
      </c>
    </row>
    <row r="150" spans="1:24" ht="31.5" x14ac:dyDescent="0.25">
      <c r="A150" s="208">
        <f>G136</f>
        <v>11.356</v>
      </c>
      <c r="B150" s="418">
        <f>O124</f>
        <v>45</v>
      </c>
      <c r="C150" s="421">
        <v>7</v>
      </c>
      <c r="D150" s="167" t="s">
        <v>84</v>
      </c>
      <c r="E150" s="168" t="s">
        <v>85</v>
      </c>
      <c r="F150" s="169">
        <v>11</v>
      </c>
      <c r="G150" s="170">
        <v>70</v>
      </c>
      <c r="H150" s="133">
        <f>(F150/100)*A150*B150*C150/G150</f>
        <v>5.6212200000000001</v>
      </c>
      <c r="I150" s="418">
        <v>300</v>
      </c>
      <c r="J150" s="171">
        <v>7</v>
      </c>
      <c r="K150" s="168">
        <f>E136</f>
        <v>56.78</v>
      </c>
      <c r="L150" s="172">
        <v>0.12820512820512822</v>
      </c>
      <c r="M150" s="133">
        <f>H150*I150*J150*K150*L150</f>
        <v>85931.157738461552</v>
      </c>
      <c r="N150" s="178">
        <v>2.16</v>
      </c>
      <c r="O150" s="66">
        <f>M150*N150/1000</f>
        <v>185.61130071507696</v>
      </c>
      <c r="P150" s="424">
        <f>E136</f>
        <v>56.78</v>
      </c>
      <c r="Q150" s="424" t="s">
        <v>86</v>
      </c>
      <c r="R150" s="371">
        <v>0.18</v>
      </c>
      <c r="S150" s="411">
        <f>(A150*C150*I150*P150)*R150</f>
        <v>243732.01104000001</v>
      </c>
      <c r="T150" s="371">
        <v>2.2000000000000002</v>
      </c>
      <c r="U150" s="411">
        <f>(S150*T150)/1000</f>
        <v>536.21042428800013</v>
      </c>
      <c r="V150" s="179">
        <f>(O154)-U150</f>
        <v>194.22694389602555</v>
      </c>
    </row>
    <row r="151" spans="1:24" ht="15.75" x14ac:dyDescent="0.25">
      <c r="A151" s="207"/>
      <c r="B151" s="419"/>
      <c r="C151" s="422"/>
      <c r="D151" s="167" t="s">
        <v>87</v>
      </c>
      <c r="E151" s="173" t="s">
        <v>85</v>
      </c>
      <c r="F151" s="169">
        <v>89</v>
      </c>
      <c r="G151" s="170">
        <v>70</v>
      </c>
      <c r="H151" s="133">
        <f>(F151/100)*A150*B150*C150/G151</f>
        <v>45.480779999999996</v>
      </c>
      <c r="I151" s="419"/>
      <c r="J151" s="174">
        <v>7</v>
      </c>
      <c r="K151" s="168">
        <f>E136</f>
        <v>56.78</v>
      </c>
      <c r="L151" s="175">
        <v>4.6511627906976744E-2</v>
      </c>
      <c r="M151" s="133">
        <f>H151*I150*J151*K151*L151</f>
        <v>252234.29049488369</v>
      </c>
      <c r="N151" s="178">
        <v>2.16</v>
      </c>
      <c r="O151" s="66">
        <f>M151*N151/1000</f>
        <v>544.82606746894874</v>
      </c>
      <c r="P151" s="425"/>
      <c r="Q151" s="425"/>
      <c r="R151" s="372"/>
      <c r="S151" s="412"/>
      <c r="T151" s="372"/>
      <c r="U151" s="412"/>
      <c r="V151" s="165"/>
    </row>
    <row r="152" spans="1:24" ht="15.75" x14ac:dyDescent="0.25">
      <c r="A152" s="207"/>
      <c r="B152" s="419"/>
      <c r="C152" s="422"/>
      <c r="D152" s="167" t="s">
        <v>88</v>
      </c>
      <c r="E152" s="173" t="s">
        <v>89</v>
      </c>
      <c r="F152" s="168">
        <v>0</v>
      </c>
      <c r="G152" s="170">
        <v>0</v>
      </c>
      <c r="H152" s="133">
        <v>0</v>
      </c>
      <c r="I152" s="419"/>
      <c r="J152" s="171">
        <v>0</v>
      </c>
      <c r="K152" s="168">
        <v>0</v>
      </c>
      <c r="L152" s="175">
        <v>0.18181818181818182</v>
      </c>
      <c r="M152" s="176">
        <v>0</v>
      </c>
      <c r="N152" s="178">
        <v>0</v>
      </c>
      <c r="O152" s="66">
        <v>0</v>
      </c>
      <c r="P152" s="425"/>
      <c r="Q152" s="425"/>
      <c r="R152" s="372"/>
      <c r="S152" s="412"/>
      <c r="T152" s="372"/>
      <c r="U152" s="412"/>
      <c r="V152" s="165"/>
    </row>
    <row r="153" spans="1:24" ht="47.25" x14ac:dyDescent="0.25">
      <c r="A153" s="206"/>
      <c r="B153" s="420"/>
      <c r="C153" s="423"/>
      <c r="D153" s="177" t="s">
        <v>90</v>
      </c>
      <c r="E153" s="173" t="s">
        <v>89</v>
      </c>
      <c r="F153" s="168">
        <v>0</v>
      </c>
      <c r="G153" s="170">
        <v>0</v>
      </c>
      <c r="H153" s="133">
        <v>0</v>
      </c>
      <c r="I153" s="420"/>
      <c r="J153" s="174">
        <v>0</v>
      </c>
      <c r="K153" s="170">
        <v>0</v>
      </c>
      <c r="L153" s="175"/>
      <c r="M153" s="176">
        <v>0</v>
      </c>
      <c r="N153" s="178"/>
      <c r="O153" s="66">
        <v>0</v>
      </c>
      <c r="P153" s="426"/>
      <c r="Q153" s="426"/>
      <c r="R153" s="373"/>
      <c r="S153" s="413"/>
      <c r="T153" s="373"/>
      <c r="U153" s="413"/>
      <c r="V153" s="166"/>
    </row>
    <row r="154" spans="1:24" ht="15.75" x14ac:dyDescent="0.25">
      <c r="A154" s="130" t="s">
        <v>91</v>
      </c>
      <c r="B154" s="131"/>
      <c r="C154" s="131"/>
      <c r="D154" s="131"/>
      <c r="E154" s="131"/>
      <c r="F154" s="131"/>
      <c r="G154" s="131"/>
      <c r="H154" s="127">
        <v>82.285714285714292</v>
      </c>
      <c r="I154" s="131"/>
      <c r="J154" s="131"/>
      <c r="K154" s="131"/>
      <c r="L154" s="131"/>
      <c r="M154" s="131"/>
      <c r="N154" s="131"/>
      <c r="O154" s="126">
        <v>730.43736818402567</v>
      </c>
      <c r="P154" s="159"/>
      <c r="Q154" s="159"/>
      <c r="R154" s="159"/>
      <c r="S154" s="159"/>
      <c r="T154" s="159"/>
      <c r="U154" s="159"/>
      <c r="V154" s="159"/>
    </row>
    <row r="156" spans="1:24" ht="23.25" x14ac:dyDescent="0.35">
      <c r="A156" s="415" t="s">
        <v>262</v>
      </c>
      <c r="B156" s="415"/>
      <c r="C156" s="415"/>
      <c r="D156" s="415"/>
      <c r="E156" s="415"/>
      <c r="F156" s="415"/>
      <c r="G156" s="415"/>
      <c r="H156" s="415"/>
      <c r="I156" s="415"/>
      <c r="J156" s="415"/>
      <c r="K156" s="415"/>
      <c r="L156" s="415"/>
      <c r="M156" s="415"/>
      <c r="N156" s="415"/>
      <c r="O156" s="415"/>
      <c r="P156" s="415"/>
      <c r="Q156" s="415"/>
      <c r="R156" s="415"/>
      <c r="S156" s="415"/>
      <c r="T156" s="415"/>
      <c r="U156" s="415"/>
      <c r="V156" s="415"/>
    </row>
    <row r="157" spans="1:24" ht="15.75" x14ac:dyDescent="0.25">
      <c r="A157" s="384" t="s">
        <v>62</v>
      </c>
      <c r="B157" s="385"/>
      <c r="C157" s="386"/>
      <c r="D157" s="380" t="s">
        <v>63</v>
      </c>
      <c r="E157" s="382" t="s">
        <v>64</v>
      </c>
      <c r="F157" s="382" t="s">
        <v>65</v>
      </c>
      <c r="G157" s="382" t="s">
        <v>66</v>
      </c>
      <c r="H157" s="354" t="s">
        <v>67</v>
      </c>
      <c r="I157" s="380" t="s">
        <v>68</v>
      </c>
      <c r="J157" s="382" t="s">
        <v>69</v>
      </c>
      <c r="K157" s="382" t="s">
        <v>70</v>
      </c>
      <c r="L157" s="380" t="s">
        <v>71</v>
      </c>
      <c r="M157" s="354" t="s">
        <v>72</v>
      </c>
      <c r="N157" s="380" t="s">
        <v>73</v>
      </c>
      <c r="O157" s="354" t="s">
        <v>74</v>
      </c>
      <c r="P157" s="382" t="s">
        <v>75</v>
      </c>
      <c r="Q157" s="382" t="s">
        <v>76</v>
      </c>
      <c r="R157" s="380" t="s">
        <v>71</v>
      </c>
      <c r="S157" s="354" t="s">
        <v>77</v>
      </c>
      <c r="T157" s="380" t="s">
        <v>78</v>
      </c>
      <c r="U157" s="354" t="s">
        <v>79</v>
      </c>
      <c r="V157" s="354" t="s">
        <v>80</v>
      </c>
    </row>
    <row r="158" spans="1:24" ht="78.75" x14ac:dyDescent="0.25">
      <c r="A158" s="109" t="s">
        <v>81</v>
      </c>
      <c r="B158" s="109" t="s">
        <v>82</v>
      </c>
      <c r="C158" s="109" t="s">
        <v>83</v>
      </c>
      <c r="D158" s="381"/>
      <c r="E158" s="383"/>
      <c r="F158" s="383"/>
      <c r="G158" s="383"/>
      <c r="H158" s="355"/>
      <c r="I158" s="381"/>
      <c r="J158" s="383"/>
      <c r="K158" s="383"/>
      <c r="L158" s="381"/>
      <c r="M158" s="355"/>
      <c r="N158" s="381"/>
      <c r="O158" s="355"/>
      <c r="P158" s="383"/>
      <c r="Q158" s="383"/>
      <c r="R158" s="381"/>
      <c r="S158" s="355"/>
      <c r="T158" s="381"/>
      <c r="U158" s="355"/>
      <c r="V158" s="355"/>
    </row>
    <row r="159" spans="1:24" ht="15.75" x14ac:dyDescent="0.25">
      <c r="A159" s="110">
        <v>1</v>
      </c>
      <c r="B159" s="111">
        <v>2</v>
      </c>
      <c r="C159" s="111">
        <v>3</v>
      </c>
      <c r="D159" s="103">
        <v>4</v>
      </c>
      <c r="E159" s="112">
        <v>5</v>
      </c>
      <c r="F159" s="100">
        <v>6</v>
      </c>
      <c r="G159" s="100">
        <v>7</v>
      </c>
      <c r="H159" s="102">
        <v>8</v>
      </c>
      <c r="I159" s="101">
        <v>9</v>
      </c>
      <c r="J159" s="100">
        <v>10</v>
      </c>
      <c r="K159" s="100">
        <v>11</v>
      </c>
      <c r="L159" s="101">
        <v>12</v>
      </c>
      <c r="M159" s="102">
        <v>13</v>
      </c>
      <c r="N159" s="103">
        <v>14</v>
      </c>
      <c r="O159" s="102">
        <v>15</v>
      </c>
      <c r="P159" s="100">
        <v>16</v>
      </c>
      <c r="Q159" s="100">
        <v>17</v>
      </c>
      <c r="R159" s="108">
        <v>18</v>
      </c>
      <c r="S159" s="125">
        <v>19</v>
      </c>
      <c r="T159" s="101">
        <v>20</v>
      </c>
      <c r="U159" s="125">
        <v>21</v>
      </c>
      <c r="V159" s="125">
        <v>22</v>
      </c>
    </row>
    <row r="160" spans="1:24" ht="31.5" x14ac:dyDescent="0.25">
      <c r="A160" s="208">
        <f>G137</f>
        <v>6.7439999999999998</v>
      </c>
      <c r="B160" s="418">
        <f>P124</f>
        <v>45</v>
      </c>
      <c r="C160" s="421">
        <v>7</v>
      </c>
      <c r="D160" s="167" t="s">
        <v>84</v>
      </c>
      <c r="E160" s="168" t="s">
        <v>85</v>
      </c>
      <c r="F160" s="169">
        <v>11</v>
      </c>
      <c r="G160" s="170">
        <v>70</v>
      </c>
      <c r="H160" s="133">
        <f>(F160/100)*A160*B160*C160/G160</f>
        <v>3.3382799999999997</v>
      </c>
      <c r="I160" s="418">
        <v>300</v>
      </c>
      <c r="J160" s="171">
        <v>7</v>
      </c>
      <c r="K160" s="168">
        <f>E137</f>
        <v>33.72</v>
      </c>
      <c r="L160" s="172">
        <v>0.12820512820512822</v>
      </c>
      <c r="M160" s="133">
        <f>H160*I160*J160*K160*L160</f>
        <v>30306.446584615383</v>
      </c>
      <c r="N160" s="178">
        <v>2.16</v>
      </c>
      <c r="O160" s="66">
        <f>M160*N160/1000</f>
        <v>65.461924622769232</v>
      </c>
      <c r="P160" s="424">
        <f>E137</f>
        <v>33.72</v>
      </c>
      <c r="Q160" s="424" t="s">
        <v>86</v>
      </c>
      <c r="R160" s="371">
        <v>0.18</v>
      </c>
      <c r="S160" s="411">
        <f>(A160*C160*I160*P160)*R160</f>
        <v>85960.103039999987</v>
      </c>
      <c r="T160" s="371">
        <v>2.2000000000000002</v>
      </c>
      <c r="U160" s="411">
        <f>(S160*T160)/1000</f>
        <v>189.11222668799999</v>
      </c>
      <c r="V160" s="179">
        <f>(O164)-U160</f>
        <v>68.500514311625096</v>
      </c>
    </row>
    <row r="161" spans="1:22" ht="15.75" x14ac:dyDescent="0.25">
      <c r="A161" s="207"/>
      <c r="B161" s="419"/>
      <c r="C161" s="422"/>
      <c r="D161" s="167" t="s">
        <v>87</v>
      </c>
      <c r="E161" s="173" t="s">
        <v>85</v>
      </c>
      <c r="F161" s="169">
        <v>89</v>
      </c>
      <c r="G161" s="170">
        <v>70</v>
      </c>
      <c r="H161" s="133">
        <f>(F161/100)*A160*B160*C160/G161</f>
        <v>27.009719999999998</v>
      </c>
      <c r="I161" s="419"/>
      <c r="J161" s="174">
        <v>7</v>
      </c>
      <c r="K161" s="168">
        <f>E137</f>
        <v>33.72</v>
      </c>
      <c r="L161" s="175">
        <v>4.6511627906976744E-2</v>
      </c>
      <c r="M161" s="133">
        <f>H161*I160*J161*K161*L161</f>
        <v>88958.71128558139</v>
      </c>
      <c r="N161" s="178">
        <v>2.16</v>
      </c>
      <c r="O161" s="66">
        <f>M161*N161/1000</f>
        <v>192.15081637685583</v>
      </c>
      <c r="P161" s="425"/>
      <c r="Q161" s="425"/>
      <c r="R161" s="372"/>
      <c r="S161" s="412"/>
      <c r="T161" s="372"/>
      <c r="U161" s="412"/>
      <c r="V161" s="180"/>
    </row>
    <row r="162" spans="1:22" ht="15.75" x14ac:dyDescent="0.25">
      <c r="A162" s="207"/>
      <c r="B162" s="419"/>
      <c r="C162" s="422"/>
      <c r="D162" s="167" t="s">
        <v>88</v>
      </c>
      <c r="E162" s="173" t="s">
        <v>89</v>
      </c>
      <c r="F162" s="168">
        <v>0</v>
      </c>
      <c r="G162" s="170">
        <v>0</v>
      </c>
      <c r="H162" s="133">
        <v>0</v>
      </c>
      <c r="I162" s="419"/>
      <c r="J162" s="171">
        <v>0</v>
      </c>
      <c r="K162" s="168">
        <v>0</v>
      </c>
      <c r="L162" s="175">
        <v>0.18181818181818182</v>
      </c>
      <c r="M162" s="176">
        <v>0</v>
      </c>
      <c r="N162" s="178">
        <v>0</v>
      </c>
      <c r="O162" s="66">
        <v>0</v>
      </c>
      <c r="P162" s="425"/>
      <c r="Q162" s="425"/>
      <c r="R162" s="372"/>
      <c r="S162" s="412"/>
      <c r="T162" s="372"/>
      <c r="U162" s="412"/>
      <c r="V162" s="180"/>
    </row>
    <row r="163" spans="1:22" ht="47.25" x14ac:dyDescent="0.25">
      <c r="A163" s="206"/>
      <c r="B163" s="420"/>
      <c r="C163" s="423"/>
      <c r="D163" s="177" t="s">
        <v>90</v>
      </c>
      <c r="E163" s="173" t="s">
        <v>89</v>
      </c>
      <c r="F163" s="168">
        <v>0</v>
      </c>
      <c r="G163" s="170">
        <v>0</v>
      </c>
      <c r="H163" s="133">
        <v>0</v>
      </c>
      <c r="I163" s="420"/>
      <c r="J163" s="174">
        <v>0</v>
      </c>
      <c r="K163" s="170">
        <v>0</v>
      </c>
      <c r="L163" s="175"/>
      <c r="M163" s="176">
        <v>0</v>
      </c>
      <c r="N163" s="178"/>
      <c r="O163" s="66">
        <v>0</v>
      </c>
      <c r="P163" s="426"/>
      <c r="Q163" s="426"/>
      <c r="R163" s="373"/>
      <c r="S163" s="413"/>
      <c r="T163" s="373"/>
      <c r="U163" s="413"/>
      <c r="V163" s="181"/>
    </row>
    <row r="164" spans="1:22" ht="15.75" x14ac:dyDescent="0.25">
      <c r="A164" s="130" t="s">
        <v>91</v>
      </c>
      <c r="B164" s="131"/>
      <c r="C164" s="131"/>
      <c r="D164" s="131"/>
      <c r="E164" s="131"/>
      <c r="F164" s="131"/>
      <c r="G164" s="131"/>
      <c r="H164" s="127">
        <v>82.285714285714292</v>
      </c>
      <c r="I164" s="131"/>
      <c r="J164" s="131"/>
      <c r="K164" s="131"/>
      <c r="L164" s="131"/>
      <c r="M164" s="131"/>
      <c r="N164" s="131"/>
      <c r="O164" s="126">
        <v>257.61274099962509</v>
      </c>
      <c r="P164" s="159"/>
      <c r="Q164" s="159"/>
      <c r="R164" s="159"/>
      <c r="S164" s="159"/>
      <c r="T164" s="159"/>
      <c r="U164" s="159"/>
      <c r="V164" s="159"/>
    </row>
    <row r="166" spans="1:22" ht="23.25" x14ac:dyDescent="0.35">
      <c r="A166" s="415" t="s">
        <v>263</v>
      </c>
      <c r="B166" s="415"/>
      <c r="C166" s="415"/>
      <c r="D166" s="415"/>
      <c r="E166" s="415"/>
      <c r="F166" s="415"/>
      <c r="G166" s="415"/>
      <c r="H166" s="415"/>
      <c r="I166" s="415"/>
      <c r="J166" s="415"/>
      <c r="K166" s="415"/>
      <c r="L166" s="415"/>
      <c r="M166" s="415"/>
      <c r="N166" s="415"/>
      <c r="O166" s="415"/>
      <c r="P166" s="415"/>
      <c r="Q166" s="415"/>
      <c r="R166" s="415"/>
      <c r="S166" s="415"/>
      <c r="T166" s="415"/>
      <c r="U166" s="415"/>
      <c r="V166" s="415"/>
    </row>
    <row r="167" spans="1:22" ht="15.75" x14ac:dyDescent="0.25">
      <c r="A167" s="384" t="s">
        <v>62</v>
      </c>
      <c r="B167" s="385"/>
      <c r="C167" s="386"/>
      <c r="D167" s="380" t="s">
        <v>63</v>
      </c>
      <c r="E167" s="382" t="s">
        <v>64</v>
      </c>
      <c r="F167" s="382" t="s">
        <v>65</v>
      </c>
      <c r="G167" s="382" t="s">
        <v>66</v>
      </c>
      <c r="H167" s="354" t="s">
        <v>67</v>
      </c>
      <c r="I167" s="380" t="s">
        <v>68</v>
      </c>
      <c r="J167" s="382" t="s">
        <v>69</v>
      </c>
      <c r="K167" s="382" t="s">
        <v>70</v>
      </c>
      <c r="L167" s="380" t="s">
        <v>71</v>
      </c>
      <c r="M167" s="354" t="s">
        <v>72</v>
      </c>
      <c r="N167" s="380" t="s">
        <v>73</v>
      </c>
      <c r="O167" s="354" t="s">
        <v>74</v>
      </c>
      <c r="P167" s="382" t="s">
        <v>75</v>
      </c>
      <c r="Q167" s="382" t="s">
        <v>76</v>
      </c>
      <c r="R167" s="380" t="s">
        <v>71</v>
      </c>
      <c r="S167" s="354" t="s">
        <v>77</v>
      </c>
      <c r="T167" s="380" t="s">
        <v>78</v>
      </c>
      <c r="U167" s="354" t="s">
        <v>79</v>
      </c>
      <c r="V167" s="354" t="s">
        <v>80</v>
      </c>
    </row>
    <row r="168" spans="1:22" ht="78.75" x14ac:dyDescent="0.25">
      <c r="A168" s="109" t="s">
        <v>81</v>
      </c>
      <c r="B168" s="109" t="s">
        <v>82</v>
      </c>
      <c r="C168" s="109" t="s">
        <v>83</v>
      </c>
      <c r="D168" s="381"/>
      <c r="E168" s="383"/>
      <c r="F168" s="383"/>
      <c r="G168" s="383"/>
      <c r="H168" s="355"/>
      <c r="I168" s="381"/>
      <c r="J168" s="383"/>
      <c r="K168" s="383"/>
      <c r="L168" s="381"/>
      <c r="M168" s="355"/>
      <c r="N168" s="381"/>
      <c r="O168" s="355"/>
      <c r="P168" s="383"/>
      <c r="Q168" s="383"/>
      <c r="R168" s="381"/>
      <c r="S168" s="355"/>
      <c r="T168" s="381"/>
      <c r="U168" s="355"/>
      <c r="V168" s="355"/>
    </row>
    <row r="169" spans="1:22" ht="15.75" x14ac:dyDescent="0.25">
      <c r="A169" s="110">
        <v>1</v>
      </c>
      <c r="B169" s="111">
        <v>2</v>
      </c>
      <c r="C169" s="111">
        <v>3</v>
      </c>
      <c r="D169" s="103">
        <v>4</v>
      </c>
      <c r="E169" s="112">
        <v>5</v>
      </c>
      <c r="F169" s="100">
        <v>6</v>
      </c>
      <c r="G169" s="100">
        <v>7</v>
      </c>
      <c r="H169" s="102">
        <v>8</v>
      </c>
      <c r="I169" s="101">
        <v>9</v>
      </c>
      <c r="J169" s="100">
        <v>10</v>
      </c>
      <c r="K169" s="100">
        <v>11</v>
      </c>
      <c r="L169" s="101">
        <v>12</v>
      </c>
      <c r="M169" s="102">
        <v>13</v>
      </c>
      <c r="N169" s="103">
        <v>14</v>
      </c>
      <c r="O169" s="102">
        <v>15</v>
      </c>
      <c r="P169" s="100">
        <v>16</v>
      </c>
      <c r="Q169" s="100">
        <v>17</v>
      </c>
      <c r="R169" s="108">
        <v>18</v>
      </c>
      <c r="S169" s="125">
        <v>19</v>
      </c>
      <c r="T169" s="101">
        <v>20</v>
      </c>
      <c r="U169" s="125">
        <v>21</v>
      </c>
      <c r="V169" s="125">
        <v>22</v>
      </c>
    </row>
    <row r="170" spans="1:22" ht="31.5" x14ac:dyDescent="0.25">
      <c r="A170" s="208">
        <f>G138</f>
        <v>9.9060000000000024</v>
      </c>
      <c r="B170" s="418">
        <f>R124</f>
        <v>45</v>
      </c>
      <c r="C170" s="421">
        <v>7</v>
      </c>
      <c r="D170" s="167" t="s">
        <v>84</v>
      </c>
      <c r="E170" s="168" t="s">
        <v>85</v>
      </c>
      <c r="F170" s="169">
        <v>11</v>
      </c>
      <c r="G170" s="170">
        <v>70</v>
      </c>
      <c r="H170" s="133">
        <f>(F170/100)*A170*B170*C170/G170</f>
        <v>4.9034700000000013</v>
      </c>
      <c r="I170" s="418">
        <v>300</v>
      </c>
      <c r="J170" s="171">
        <v>7</v>
      </c>
      <c r="K170" s="168">
        <f>E138</f>
        <v>33.020000000000003</v>
      </c>
      <c r="L170" s="172">
        <v>0.12820512820512822</v>
      </c>
      <c r="M170" s="133">
        <f>H170*I170*J170*K170*L170</f>
        <v>43591.848300000012</v>
      </c>
      <c r="N170" s="178">
        <v>2.16</v>
      </c>
      <c r="O170" s="66">
        <f>M170*N170/1000</f>
        <v>94.158392328000033</v>
      </c>
      <c r="P170" s="424">
        <f>E138</f>
        <v>33.020000000000003</v>
      </c>
      <c r="Q170" s="424" t="s">
        <v>86</v>
      </c>
      <c r="R170" s="371">
        <v>0.18</v>
      </c>
      <c r="S170" s="411">
        <f>(A170*C170*I170*P170)*R170</f>
        <v>123642.33336000003</v>
      </c>
      <c r="T170" s="371">
        <v>2.2000000000000002</v>
      </c>
      <c r="U170" s="411">
        <f>(S170*T170)/1000</f>
        <v>272.0131333920001</v>
      </c>
      <c r="V170" s="179">
        <f>(O174)-U170</f>
        <v>98.529005042120957</v>
      </c>
    </row>
    <row r="171" spans="1:22" ht="15.75" x14ac:dyDescent="0.25">
      <c r="A171" s="207"/>
      <c r="B171" s="419"/>
      <c r="C171" s="422"/>
      <c r="D171" s="167" t="s">
        <v>87</v>
      </c>
      <c r="E171" s="173" t="s">
        <v>85</v>
      </c>
      <c r="F171" s="169">
        <v>89</v>
      </c>
      <c r="G171" s="170">
        <v>70</v>
      </c>
      <c r="H171" s="133">
        <f>(F171/100)*A170*B170*C170/G171</f>
        <v>39.673530000000007</v>
      </c>
      <c r="I171" s="419"/>
      <c r="J171" s="174">
        <v>7</v>
      </c>
      <c r="K171" s="168">
        <f>E138</f>
        <v>33.020000000000003</v>
      </c>
      <c r="L171" s="175">
        <v>4.6511627906976744E-2</v>
      </c>
      <c r="M171" s="133">
        <f>H171*I170*J171*K171*L171</f>
        <v>127955.43801209304</v>
      </c>
      <c r="N171" s="178">
        <v>2.16</v>
      </c>
      <c r="O171" s="66">
        <f>M171*N171/1000</f>
        <v>276.38374610612101</v>
      </c>
      <c r="P171" s="425"/>
      <c r="Q171" s="425"/>
      <c r="R171" s="372"/>
      <c r="S171" s="412"/>
      <c r="T171" s="372"/>
      <c r="U171" s="412"/>
      <c r="V171" s="180"/>
    </row>
    <row r="172" spans="1:22" ht="15.75" x14ac:dyDescent="0.25">
      <c r="A172" s="207"/>
      <c r="B172" s="419"/>
      <c r="C172" s="422"/>
      <c r="D172" s="167" t="s">
        <v>88</v>
      </c>
      <c r="E172" s="173" t="s">
        <v>89</v>
      </c>
      <c r="F172" s="168">
        <v>0</v>
      </c>
      <c r="G172" s="170">
        <v>0</v>
      </c>
      <c r="H172" s="133">
        <v>0</v>
      </c>
      <c r="I172" s="419"/>
      <c r="J172" s="171">
        <v>0</v>
      </c>
      <c r="K172" s="168">
        <v>0</v>
      </c>
      <c r="L172" s="175">
        <v>0.18181818181818182</v>
      </c>
      <c r="M172" s="176">
        <v>0</v>
      </c>
      <c r="N172" s="178">
        <v>0</v>
      </c>
      <c r="O172" s="66">
        <v>0</v>
      </c>
      <c r="P172" s="425"/>
      <c r="Q172" s="425"/>
      <c r="R172" s="372"/>
      <c r="S172" s="412"/>
      <c r="T172" s="372"/>
      <c r="U172" s="412"/>
      <c r="V172" s="180"/>
    </row>
    <row r="173" spans="1:22" ht="47.25" x14ac:dyDescent="0.25">
      <c r="A173" s="206"/>
      <c r="B173" s="420"/>
      <c r="C173" s="423"/>
      <c r="D173" s="177" t="s">
        <v>90</v>
      </c>
      <c r="E173" s="173" t="s">
        <v>89</v>
      </c>
      <c r="F173" s="168">
        <v>0</v>
      </c>
      <c r="G173" s="170">
        <v>0</v>
      </c>
      <c r="H173" s="133">
        <v>0</v>
      </c>
      <c r="I173" s="420"/>
      <c r="J173" s="174">
        <v>0</v>
      </c>
      <c r="K173" s="170">
        <v>0</v>
      </c>
      <c r="L173" s="175"/>
      <c r="M173" s="176">
        <v>0</v>
      </c>
      <c r="N173" s="178"/>
      <c r="O173" s="66">
        <v>0</v>
      </c>
      <c r="P173" s="426"/>
      <c r="Q173" s="426"/>
      <c r="R173" s="373"/>
      <c r="S173" s="413"/>
      <c r="T173" s="373"/>
      <c r="U173" s="413"/>
      <c r="V173" s="181"/>
    </row>
    <row r="174" spans="1:22" ht="15.75" x14ac:dyDescent="0.25">
      <c r="A174" s="130" t="s">
        <v>91</v>
      </c>
      <c r="B174" s="131"/>
      <c r="C174" s="131"/>
      <c r="D174" s="131"/>
      <c r="E174" s="131"/>
      <c r="F174" s="131"/>
      <c r="G174" s="131"/>
      <c r="H174" s="127">
        <v>82.285714285714292</v>
      </c>
      <c r="I174" s="131"/>
      <c r="J174" s="131"/>
      <c r="K174" s="131"/>
      <c r="L174" s="131"/>
      <c r="M174" s="131"/>
      <c r="N174" s="131"/>
      <c r="O174" s="126">
        <v>370.54213843412106</v>
      </c>
      <c r="P174" s="159"/>
      <c r="Q174" s="159"/>
      <c r="R174" s="159"/>
      <c r="S174" s="159"/>
      <c r="T174" s="159"/>
      <c r="U174" s="159"/>
      <c r="V174" s="159"/>
    </row>
    <row r="176" spans="1:22" ht="23.25" x14ac:dyDescent="0.35">
      <c r="A176" s="415" t="s">
        <v>264</v>
      </c>
      <c r="B176" s="415"/>
      <c r="C176" s="415"/>
      <c r="D176" s="415"/>
      <c r="E176" s="415"/>
      <c r="F176" s="415"/>
      <c r="G176" s="415"/>
      <c r="H176" s="415"/>
      <c r="I176" s="415"/>
      <c r="J176" s="415"/>
      <c r="K176" s="415"/>
      <c r="L176" s="415"/>
      <c r="M176" s="415"/>
      <c r="N176" s="415"/>
      <c r="O176" s="415"/>
      <c r="P176" s="415"/>
      <c r="Q176" s="415"/>
      <c r="R176" s="415"/>
      <c r="S176" s="415"/>
      <c r="T176" s="415"/>
      <c r="U176" s="415"/>
      <c r="V176" s="415"/>
    </row>
    <row r="177" spans="1:22" ht="15.75" x14ac:dyDescent="0.25">
      <c r="A177" s="384" t="s">
        <v>62</v>
      </c>
      <c r="B177" s="385"/>
      <c r="C177" s="386"/>
      <c r="D177" s="380" t="s">
        <v>63</v>
      </c>
      <c r="E177" s="382" t="s">
        <v>64</v>
      </c>
      <c r="F177" s="382" t="s">
        <v>65</v>
      </c>
      <c r="G177" s="382" t="s">
        <v>66</v>
      </c>
      <c r="H177" s="354" t="s">
        <v>67</v>
      </c>
      <c r="I177" s="380" t="s">
        <v>68</v>
      </c>
      <c r="J177" s="382" t="s">
        <v>69</v>
      </c>
      <c r="K177" s="382" t="s">
        <v>70</v>
      </c>
      <c r="L177" s="380" t="s">
        <v>71</v>
      </c>
      <c r="M177" s="354" t="s">
        <v>72</v>
      </c>
      <c r="N177" s="380" t="s">
        <v>73</v>
      </c>
      <c r="O177" s="354" t="s">
        <v>74</v>
      </c>
      <c r="P177" s="382" t="s">
        <v>75</v>
      </c>
      <c r="Q177" s="382" t="s">
        <v>76</v>
      </c>
      <c r="R177" s="380" t="s">
        <v>71</v>
      </c>
      <c r="S177" s="354" t="s">
        <v>77</v>
      </c>
      <c r="T177" s="380" t="s">
        <v>78</v>
      </c>
      <c r="U177" s="354" t="s">
        <v>79</v>
      </c>
      <c r="V177" s="354" t="s">
        <v>80</v>
      </c>
    </row>
    <row r="178" spans="1:22" ht="78.75" x14ac:dyDescent="0.25">
      <c r="A178" s="109" t="s">
        <v>81</v>
      </c>
      <c r="B178" s="109" t="s">
        <v>82</v>
      </c>
      <c r="C178" s="109" t="s">
        <v>83</v>
      </c>
      <c r="D178" s="381"/>
      <c r="E178" s="383"/>
      <c r="F178" s="383"/>
      <c r="G178" s="383"/>
      <c r="H178" s="355"/>
      <c r="I178" s="381"/>
      <c r="J178" s="383"/>
      <c r="K178" s="383"/>
      <c r="L178" s="381"/>
      <c r="M178" s="355"/>
      <c r="N178" s="381"/>
      <c r="O178" s="355"/>
      <c r="P178" s="383"/>
      <c r="Q178" s="383"/>
      <c r="R178" s="381"/>
      <c r="S178" s="355"/>
      <c r="T178" s="381"/>
      <c r="U178" s="355"/>
      <c r="V178" s="355"/>
    </row>
    <row r="179" spans="1:22" ht="15.75" x14ac:dyDescent="0.25">
      <c r="A179" s="110">
        <v>1</v>
      </c>
      <c r="B179" s="111">
        <v>2</v>
      </c>
      <c r="C179" s="111">
        <v>3</v>
      </c>
      <c r="D179" s="103">
        <v>4</v>
      </c>
      <c r="E179" s="112">
        <v>5</v>
      </c>
      <c r="F179" s="100">
        <v>6</v>
      </c>
      <c r="G179" s="100">
        <v>7</v>
      </c>
      <c r="H179" s="102">
        <v>8</v>
      </c>
      <c r="I179" s="101">
        <v>9</v>
      </c>
      <c r="J179" s="100">
        <v>10</v>
      </c>
      <c r="K179" s="100">
        <v>11</v>
      </c>
      <c r="L179" s="101">
        <v>12</v>
      </c>
      <c r="M179" s="102">
        <v>13</v>
      </c>
      <c r="N179" s="103">
        <v>14</v>
      </c>
      <c r="O179" s="102">
        <v>15</v>
      </c>
      <c r="P179" s="100">
        <v>16</v>
      </c>
      <c r="Q179" s="100">
        <v>17</v>
      </c>
      <c r="R179" s="108">
        <v>18</v>
      </c>
      <c r="S179" s="125">
        <v>19</v>
      </c>
      <c r="T179" s="101">
        <v>20</v>
      </c>
      <c r="U179" s="125">
        <v>21</v>
      </c>
      <c r="V179" s="125">
        <v>22</v>
      </c>
    </row>
    <row r="180" spans="1:22" ht="31.5" x14ac:dyDescent="0.25">
      <c r="A180" s="208">
        <f>G139</f>
        <v>18.615000000000002</v>
      </c>
      <c r="B180" s="418">
        <f>Q124</f>
        <v>45</v>
      </c>
      <c r="C180" s="421">
        <v>7</v>
      </c>
      <c r="D180" s="167" t="s">
        <v>84</v>
      </c>
      <c r="E180" s="168" t="s">
        <v>85</v>
      </c>
      <c r="F180" s="169">
        <v>11</v>
      </c>
      <c r="G180" s="170">
        <v>70</v>
      </c>
      <c r="H180" s="133">
        <f>(F180/100)*A180*B180*C180/G180</f>
        <v>9.2144250000000003</v>
      </c>
      <c r="I180" s="418">
        <v>300</v>
      </c>
      <c r="J180" s="171">
        <v>7</v>
      </c>
      <c r="K180" s="168">
        <f>E139</f>
        <v>49.64</v>
      </c>
      <c r="L180" s="172">
        <v>0.12820512820512822</v>
      </c>
      <c r="M180" s="133">
        <f>H180*I180*J180*K180*L180</f>
        <v>123147.24611538462</v>
      </c>
      <c r="N180" s="178">
        <v>2.16</v>
      </c>
      <c r="O180" s="66">
        <f>M180*N180/1000</f>
        <v>265.9980516092308</v>
      </c>
      <c r="P180" s="424">
        <f>E139</f>
        <v>49.64</v>
      </c>
      <c r="Q180" s="424" t="s">
        <v>86</v>
      </c>
      <c r="R180" s="371">
        <v>0.18</v>
      </c>
      <c r="S180" s="411">
        <f>(A180*C180*I180*P180)*R180</f>
        <v>349290.37079999998</v>
      </c>
      <c r="T180" s="371">
        <v>2.2000000000000002</v>
      </c>
      <c r="U180" s="411">
        <f>(S180*T180)/1000</f>
        <v>768.43881576000001</v>
      </c>
      <c r="V180" s="179">
        <f>(O184)-U180</f>
        <v>278.34506006541699</v>
      </c>
    </row>
    <row r="181" spans="1:22" ht="15.75" x14ac:dyDescent="0.25">
      <c r="A181" s="207"/>
      <c r="B181" s="419"/>
      <c r="C181" s="422"/>
      <c r="D181" s="167" t="s">
        <v>87</v>
      </c>
      <c r="E181" s="173" t="s">
        <v>85</v>
      </c>
      <c r="F181" s="169">
        <v>89</v>
      </c>
      <c r="G181" s="170">
        <v>70</v>
      </c>
      <c r="H181" s="133">
        <f>(F181/100)*A180*B180*C180/G181</f>
        <v>74.553075000000007</v>
      </c>
      <c r="I181" s="419"/>
      <c r="J181" s="174">
        <v>7</v>
      </c>
      <c r="K181" s="168">
        <f>E139</f>
        <v>49.64</v>
      </c>
      <c r="L181" s="175">
        <v>4.6511627906976744E-2</v>
      </c>
      <c r="M181" s="133">
        <f>H181*I180*J181*K181*L181</f>
        <v>361474.91861860472</v>
      </c>
      <c r="N181" s="178">
        <v>2.16</v>
      </c>
      <c r="O181" s="66">
        <f>M181*N181/1000</f>
        <v>780.78582421618614</v>
      </c>
      <c r="P181" s="425"/>
      <c r="Q181" s="425"/>
      <c r="R181" s="372"/>
      <c r="S181" s="412"/>
      <c r="T181" s="372"/>
      <c r="U181" s="412"/>
      <c r="V181" s="180"/>
    </row>
    <row r="182" spans="1:22" ht="15.75" x14ac:dyDescent="0.25">
      <c r="A182" s="207"/>
      <c r="B182" s="419"/>
      <c r="C182" s="422"/>
      <c r="D182" s="167" t="s">
        <v>88</v>
      </c>
      <c r="E182" s="173" t="s">
        <v>89</v>
      </c>
      <c r="F182" s="168">
        <v>0</v>
      </c>
      <c r="G182" s="170">
        <v>0</v>
      </c>
      <c r="H182" s="133">
        <v>0</v>
      </c>
      <c r="I182" s="419"/>
      <c r="J182" s="171">
        <v>0</v>
      </c>
      <c r="K182" s="168">
        <v>0</v>
      </c>
      <c r="L182" s="175">
        <v>0.18181818181818182</v>
      </c>
      <c r="M182" s="176">
        <v>0</v>
      </c>
      <c r="N182" s="178">
        <v>0</v>
      </c>
      <c r="O182" s="66">
        <v>0</v>
      </c>
      <c r="P182" s="425"/>
      <c r="Q182" s="425"/>
      <c r="R182" s="372"/>
      <c r="S182" s="412"/>
      <c r="T182" s="372"/>
      <c r="U182" s="412"/>
      <c r="V182" s="180"/>
    </row>
    <row r="183" spans="1:22" ht="47.25" x14ac:dyDescent="0.25">
      <c r="A183" s="206"/>
      <c r="B183" s="420"/>
      <c r="C183" s="423"/>
      <c r="D183" s="177" t="s">
        <v>90</v>
      </c>
      <c r="E183" s="173" t="s">
        <v>89</v>
      </c>
      <c r="F183" s="168">
        <v>0</v>
      </c>
      <c r="G183" s="170">
        <v>0</v>
      </c>
      <c r="H183" s="133">
        <v>0</v>
      </c>
      <c r="I183" s="420"/>
      <c r="J183" s="174">
        <v>0</v>
      </c>
      <c r="K183" s="170">
        <v>0</v>
      </c>
      <c r="L183" s="175"/>
      <c r="M183" s="176">
        <v>0</v>
      </c>
      <c r="N183" s="178"/>
      <c r="O183" s="66">
        <v>0</v>
      </c>
      <c r="P183" s="426"/>
      <c r="Q183" s="426"/>
      <c r="R183" s="373"/>
      <c r="S183" s="413"/>
      <c r="T183" s="373"/>
      <c r="U183" s="413"/>
      <c r="V183" s="181"/>
    </row>
    <row r="184" spans="1:22" ht="15.75" x14ac:dyDescent="0.25">
      <c r="A184" s="130" t="s">
        <v>91</v>
      </c>
      <c r="B184" s="131"/>
      <c r="C184" s="131"/>
      <c r="D184" s="131"/>
      <c r="E184" s="131"/>
      <c r="F184" s="131"/>
      <c r="G184" s="131"/>
      <c r="H184" s="127">
        <v>82.285714285714292</v>
      </c>
      <c r="I184" s="131"/>
      <c r="J184" s="131"/>
      <c r="K184" s="131"/>
      <c r="L184" s="131"/>
      <c r="M184" s="131"/>
      <c r="N184" s="131"/>
      <c r="O184" s="126">
        <v>1046.783875825417</v>
      </c>
      <c r="P184" s="159"/>
      <c r="Q184" s="159"/>
      <c r="R184" s="159"/>
      <c r="S184" s="159"/>
      <c r="T184" s="159"/>
      <c r="U184" s="159"/>
      <c r="V184" s="159"/>
    </row>
    <row r="186" spans="1:22" ht="15.75" thickBot="1" x14ac:dyDescent="0.3"/>
    <row r="187" spans="1:22" ht="16.5" thickTop="1" thickBot="1" x14ac:dyDescent="0.3">
      <c r="I187" s="478" t="s">
        <v>428</v>
      </c>
      <c r="J187" s="478" t="s">
        <v>429</v>
      </c>
    </row>
    <row r="188" spans="1:22" ht="16.5" thickTop="1" thickBot="1" x14ac:dyDescent="0.3">
      <c r="G188" s="473" t="s">
        <v>430</v>
      </c>
      <c r="H188" s="477" t="s">
        <v>84</v>
      </c>
      <c r="I188" s="475">
        <f>H180+H170+H160+H150</f>
        <v>23.077395000000003</v>
      </c>
      <c r="J188" s="476">
        <f>I188*1</f>
        <v>23.077395000000003</v>
      </c>
    </row>
    <row r="189" spans="1:22" ht="16.5" thickTop="1" thickBot="1" x14ac:dyDescent="0.3">
      <c r="G189" s="473"/>
      <c r="H189" s="477" t="s">
        <v>87</v>
      </c>
      <c r="I189" s="475">
        <f>H181+H171+H161+H151</f>
        <v>186.717105</v>
      </c>
      <c r="J189" s="476">
        <f>I189*0.05</f>
        <v>9.3358552499999998</v>
      </c>
    </row>
    <row r="190" spans="1:22" ht="16.5" thickTop="1" thickBot="1" x14ac:dyDescent="0.3">
      <c r="I190" s="474" t="s">
        <v>422</v>
      </c>
      <c r="J190" s="476">
        <f>SUM(J188:J189)</f>
        <v>32.413250250000004</v>
      </c>
    </row>
    <row r="191" spans="1:22" ht="15.75" thickTop="1" x14ac:dyDescent="0.25"/>
    <row r="203" spans="1:22" ht="26.25" x14ac:dyDescent="0.4">
      <c r="A203" s="124" t="s">
        <v>265</v>
      </c>
      <c r="B203" s="113"/>
      <c r="C203" s="114"/>
      <c r="D203" s="114"/>
      <c r="E203" s="114"/>
      <c r="F203" s="114"/>
      <c r="G203" s="114"/>
      <c r="H203" s="115"/>
      <c r="I203" s="115"/>
      <c r="J203" s="104"/>
      <c r="K203" s="104"/>
      <c r="L203" s="104"/>
      <c r="M203" s="114"/>
      <c r="N203" s="104"/>
      <c r="O203" s="104"/>
      <c r="P203" s="160"/>
      <c r="Q203" s="160"/>
      <c r="R203" s="160"/>
      <c r="S203" s="160"/>
      <c r="T203" s="160"/>
      <c r="U203" s="160"/>
      <c r="V203" s="160"/>
    </row>
    <row r="204" spans="1:22" ht="21" x14ac:dyDescent="0.35">
      <c r="A204" s="116"/>
      <c r="B204" s="113" t="s">
        <v>266</v>
      </c>
      <c r="C204" s="104"/>
      <c r="D204" s="104"/>
      <c r="E204" s="104"/>
      <c r="F204" s="104"/>
      <c r="G204" s="104"/>
      <c r="H204" s="115"/>
      <c r="I204" s="115"/>
      <c r="J204" s="104"/>
      <c r="K204" s="104"/>
      <c r="L204" s="104"/>
      <c r="M204" s="104"/>
      <c r="N204" s="104"/>
      <c r="O204" s="104"/>
      <c r="P204" s="160"/>
      <c r="Q204" s="160"/>
      <c r="R204" s="160"/>
      <c r="S204" s="160"/>
      <c r="T204" s="160"/>
      <c r="U204" s="160"/>
      <c r="V204" s="160"/>
    </row>
    <row r="205" spans="1:22" ht="21" x14ac:dyDescent="0.35">
      <c r="A205" s="117"/>
      <c r="B205" s="113" t="s">
        <v>267</v>
      </c>
      <c r="C205" s="118"/>
      <c r="D205" s="119"/>
      <c r="E205" s="119"/>
      <c r="F205" s="119"/>
      <c r="G205" s="119"/>
      <c r="H205" s="120"/>
      <c r="I205" s="120"/>
      <c r="J205" s="105"/>
      <c r="K205" s="105"/>
      <c r="L205" s="121"/>
      <c r="M205" s="122"/>
      <c r="N205" s="122"/>
      <c r="O205" s="122"/>
      <c r="P205" s="160"/>
      <c r="Q205" s="160"/>
      <c r="R205" s="160"/>
      <c r="S205" s="160"/>
      <c r="T205" s="160"/>
      <c r="U205" s="160"/>
      <c r="V205" s="160"/>
    </row>
    <row r="206" spans="1:22" ht="21" x14ac:dyDescent="0.35">
      <c r="A206" s="123"/>
      <c r="B206" s="113" t="s">
        <v>268</v>
      </c>
      <c r="C206" s="105"/>
      <c r="D206" s="119"/>
      <c r="E206" s="119"/>
      <c r="F206" s="119"/>
      <c r="G206" s="119"/>
      <c r="H206" s="120"/>
      <c r="I206" s="120"/>
      <c r="J206" s="105"/>
      <c r="K206" s="105"/>
      <c r="L206" s="121"/>
      <c r="M206" s="122"/>
      <c r="N206" s="122"/>
      <c r="O206" s="122"/>
      <c r="P206" s="160"/>
      <c r="Q206" s="160"/>
      <c r="R206" s="160"/>
      <c r="S206" s="160"/>
      <c r="T206" s="160"/>
      <c r="U206" s="160"/>
      <c r="V206" s="160"/>
    </row>
    <row r="207" spans="1:22" ht="21" x14ac:dyDescent="0.35">
      <c r="A207" s="132" t="s">
        <v>269</v>
      </c>
      <c r="B207" s="113"/>
      <c r="C207" s="105"/>
      <c r="D207" s="105"/>
      <c r="E207" s="105"/>
      <c r="F207" s="105"/>
      <c r="G207" s="105"/>
      <c r="H207" s="120"/>
      <c r="I207" s="120"/>
      <c r="J207" s="105"/>
      <c r="K207" s="105"/>
      <c r="L207" s="121"/>
      <c r="M207" s="122"/>
      <c r="N207" s="122"/>
      <c r="O207" s="122"/>
    </row>
    <row r="208" spans="1:22" ht="21" x14ac:dyDescent="0.35">
      <c r="A208" s="113" t="s">
        <v>270</v>
      </c>
      <c r="B208" s="107"/>
      <c r="C208" s="107"/>
      <c r="D208" s="107"/>
      <c r="E208" s="107"/>
      <c r="F208" s="107"/>
      <c r="G208" s="128"/>
      <c r="H208" s="160"/>
      <c r="I208" s="160"/>
      <c r="J208" s="160"/>
      <c r="K208" s="160"/>
      <c r="L208" s="160"/>
      <c r="M208" s="160"/>
      <c r="N208" s="160"/>
      <c r="O208" s="160"/>
    </row>
    <row r="209" spans="1:15" ht="21" x14ac:dyDescent="0.35">
      <c r="A209" s="113" t="s">
        <v>271</v>
      </c>
      <c r="B209" s="107"/>
      <c r="C209" s="107"/>
      <c r="D209" s="107"/>
      <c r="E209" s="107"/>
      <c r="F209" s="107"/>
      <c r="G209" s="128"/>
      <c r="H209" s="160"/>
      <c r="I209" s="160"/>
      <c r="J209" s="160"/>
      <c r="K209" s="160"/>
      <c r="L209" s="160"/>
      <c r="M209" s="160"/>
      <c r="N209" s="160"/>
      <c r="O209" s="160"/>
    </row>
    <row r="210" spans="1:15" ht="21" x14ac:dyDescent="0.35">
      <c r="A210" s="161"/>
      <c r="B210" s="162" t="s">
        <v>272</v>
      </c>
    </row>
  </sheetData>
  <mergeCells count="173">
    <mergeCell ref="G188:G189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B180:B183"/>
    <mergeCell ref="C180:C183"/>
    <mergeCell ref="I180:I183"/>
    <mergeCell ref="P180:P183"/>
    <mergeCell ref="Q180:Q183"/>
    <mergeCell ref="R180:R183"/>
    <mergeCell ref="S180:S183"/>
    <mergeCell ref="T180:T183"/>
    <mergeCell ref="V177:V178"/>
    <mergeCell ref="Q170:Q173"/>
    <mergeCell ref="R170:R173"/>
    <mergeCell ref="S170:S173"/>
    <mergeCell ref="T170:T173"/>
    <mergeCell ref="U170:U173"/>
    <mergeCell ref="U180:U183"/>
    <mergeCell ref="Q177:Q178"/>
    <mergeCell ref="R177:R178"/>
    <mergeCell ref="S177:S178"/>
    <mergeCell ref="T177:T178"/>
    <mergeCell ref="U177:U178"/>
    <mergeCell ref="A176:V176"/>
    <mergeCell ref="A177:C177"/>
    <mergeCell ref="D177:D178"/>
    <mergeCell ref="E177:E178"/>
    <mergeCell ref="F177:F178"/>
    <mergeCell ref="G177:G178"/>
    <mergeCell ref="H177:H178"/>
    <mergeCell ref="B170:B173"/>
    <mergeCell ref="C170:C173"/>
    <mergeCell ref="I170:I173"/>
    <mergeCell ref="P170:P173"/>
    <mergeCell ref="R167:R168"/>
    <mergeCell ref="S167:S168"/>
    <mergeCell ref="T167:T168"/>
    <mergeCell ref="U167:U168"/>
    <mergeCell ref="V167:V168"/>
    <mergeCell ref="A166:V166"/>
    <mergeCell ref="A167:C167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O167:O168"/>
    <mergeCell ref="P167:P168"/>
    <mergeCell ref="Q167:Q168"/>
    <mergeCell ref="V157:V158"/>
    <mergeCell ref="B160:B163"/>
    <mergeCell ref="C160:C163"/>
    <mergeCell ref="I160:I163"/>
    <mergeCell ref="P160:P163"/>
    <mergeCell ref="Q160:Q163"/>
    <mergeCell ref="R160:R163"/>
    <mergeCell ref="S160:S163"/>
    <mergeCell ref="T160:T163"/>
    <mergeCell ref="U160:U163"/>
    <mergeCell ref="Q157:Q158"/>
    <mergeCell ref="R157:R158"/>
    <mergeCell ref="S157:S158"/>
    <mergeCell ref="T157:T158"/>
    <mergeCell ref="U157:U158"/>
    <mergeCell ref="M131:N131"/>
    <mergeCell ref="A156:V156"/>
    <mergeCell ref="A157:C157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O157:O158"/>
    <mergeCell ref="P157:P158"/>
    <mergeCell ref="B150:B153"/>
    <mergeCell ref="C150:C153"/>
    <mergeCell ref="I150:I153"/>
    <mergeCell ref="P150:P153"/>
    <mergeCell ref="Q150:Q153"/>
    <mergeCell ref="U147:U148"/>
    <mergeCell ref="R150:R153"/>
    <mergeCell ref="S150:S153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T150:T153"/>
    <mergeCell ref="U150:U153"/>
    <mergeCell ref="P147:P148"/>
    <mergeCell ref="Q147:Q148"/>
    <mergeCell ref="R147:R148"/>
    <mergeCell ref="S147:S148"/>
    <mergeCell ref="T147:T148"/>
    <mergeCell ref="A144:V144"/>
    <mergeCell ref="A146:V146"/>
    <mergeCell ref="A147:C147"/>
    <mergeCell ref="D147:D148"/>
    <mergeCell ref="E147:E148"/>
    <mergeCell ref="F147:F148"/>
    <mergeCell ref="G147:G148"/>
    <mergeCell ref="H147:H148"/>
    <mergeCell ref="I147:I148"/>
    <mergeCell ref="J147:J148"/>
    <mergeCell ref="V147:V148"/>
    <mergeCell ref="K147:K148"/>
    <mergeCell ref="L147:L148"/>
    <mergeCell ref="M147:M148"/>
    <mergeCell ref="N147:N148"/>
    <mergeCell ref="O147:O148"/>
    <mergeCell ref="A6:A7"/>
    <mergeCell ref="B6:B7"/>
    <mergeCell ref="A16:A17"/>
    <mergeCell ref="B16:B17"/>
    <mergeCell ref="D16:D17"/>
    <mergeCell ref="F16:F17"/>
    <mergeCell ref="G16:G17"/>
    <mergeCell ref="H16:H17"/>
    <mergeCell ref="A51:A57"/>
    <mergeCell ref="B51:B57"/>
    <mergeCell ref="C51:C57"/>
    <mergeCell ref="E51:E57"/>
    <mergeCell ref="F51:F57"/>
    <mergeCell ref="G51:G57"/>
    <mergeCell ref="E16:E17"/>
    <mergeCell ref="I58:I64"/>
    <mergeCell ref="A65:A69"/>
    <mergeCell ref="B65:B69"/>
    <mergeCell ref="C65:C69"/>
    <mergeCell ref="E65:E69"/>
    <mergeCell ref="F65:F69"/>
    <mergeCell ref="G65:G69"/>
    <mergeCell ref="A58:A64"/>
    <mergeCell ref="B58:B64"/>
    <mergeCell ref="C58:C64"/>
    <mergeCell ref="E58:E64"/>
    <mergeCell ref="F58:F64"/>
    <mergeCell ref="G58:G64"/>
    <mergeCell ref="B140:G140"/>
    <mergeCell ref="B88:B90"/>
    <mergeCell ref="G70:G75"/>
    <mergeCell ref="A70:A75"/>
    <mergeCell ref="B70:B75"/>
    <mergeCell ref="C70:C75"/>
    <mergeCell ref="E70:E75"/>
    <mergeCell ref="F70:F75"/>
    <mergeCell ref="I70:I75"/>
    <mergeCell ref="B79:B81"/>
    <mergeCell ref="B82:B84"/>
    <mergeCell ref="B85:B8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8"/>
  <sheetViews>
    <sheetView topLeftCell="A13" zoomScaleNormal="100" workbookViewId="0">
      <selection activeCell="E62" sqref="E62"/>
    </sheetView>
  </sheetViews>
  <sheetFormatPr defaultRowHeight="15" x14ac:dyDescent="0.25"/>
  <cols>
    <col min="3" max="3" width="23.7109375" customWidth="1"/>
    <col min="5" max="5" width="10" bestFit="1" customWidth="1"/>
    <col min="7" max="7" width="11" customWidth="1"/>
    <col min="8" max="8" width="11.5703125" bestFit="1" customWidth="1"/>
    <col min="10" max="10" width="14" customWidth="1"/>
    <col min="12" max="12" width="14.42578125" customWidth="1"/>
    <col min="15" max="15" width="17.140625" customWidth="1"/>
    <col min="19" max="19" width="24.42578125" customWidth="1"/>
    <col min="27" max="27" width="13.85546875" customWidth="1"/>
    <col min="29" max="29" width="12.7109375" customWidth="1"/>
  </cols>
  <sheetData>
    <row r="1" spans="1:20" ht="21" x14ac:dyDescent="0.35">
      <c r="A1" s="252" t="s">
        <v>322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  <c r="P1" s="210"/>
      <c r="Q1" s="210"/>
      <c r="R1" s="210"/>
      <c r="S1" s="210"/>
      <c r="T1" s="210"/>
    </row>
    <row r="3" spans="1:20" x14ac:dyDescent="0.25">
      <c r="A3" s="211" t="s">
        <v>323</v>
      </c>
      <c r="B3" s="210"/>
      <c r="C3" s="210"/>
      <c r="D3" s="210"/>
      <c r="E3" s="210"/>
      <c r="F3" s="210"/>
      <c r="G3" s="210"/>
      <c r="H3" s="210"/>
      <c r="I3" s="210"/>
      <c r="J3" s="210"/>
      <c r="K3" s="210"/>
      <c r="L3" s="210"/>
      <c r="M3" s="210"/>
      <c r="N3" s="210"/>
      <c r="O3" s="210"/>
      <c r="P3" s="210"/>
      <c r="Q3" s="210"/>
      <c r="R3" s="210"/>
      <c r="S3" s="210"/>
      <c r="T3" s="210"/>
    </row>
    <row r="4" spans="1:20" ht="60" x14ac:dyDescent="0.25">
      <c r="A4" s="213" t="s">
        <v>46</v>
      </c>
      <c r="B4" s="213" t="s">
        <v>324</v>
      </c>
      <c r="C4" s="213" t="s">
        <v>325</v>
      </c>
      <c r="D4" s="213" t="s">
        <v>326</v>
      </c>
      <c r="E4" s="213" t="s">
        <v>327</v>
      </c>
      <c r="F4" s="213" t="s">
        <v>178</v>
      </c>
      <c r="G4" s="213" t="s">
        <v>328</v>
      </c>
      <c r="H4" s="213" t="s">
        <v>395</v>
      </c>
      <c r="I4" s="213" t="s">
        <v>329</v>
      </c>
      <c r="J4" s="213" t="s">
        <v>330</v>
      </c>
      <c r="K4" s="213" t="s">
        <v>331</v>
      </c>
      <c r="L4" s="213" t="s">
        <v>332</v>
      </c>
      <c r="M4" s="213" t="s">
        <v>333</v>
      </c>
      <c r="N4" s="213" t="s">
        <v>334</v>
      </c>
      <c r="O4" s="213" t="s">
        <v>102</v>
      </c>
      <c r="P4" s="215"/>
      <c r="Q4" s="215"/>
      <c r="R4" s="215"/>
      <c r="S4" s="215"/>
      <c r="T4" s="215"/>
    </row>
    <row r="5" spans="1:20" ht="30" x14ac:dyDescent="0.25">
      <c r="A5" s="216">
        <v>1</v>
      </c>
      <c r="B5" s="217" t="s">
        <v>335</v>
      </c>
      <c r="C5" s="214" t="s">
        <v>336</v>
      </c>
      <c r="D5" s="212">
        <v>584</v>
      </c>
      <c r="E5" s="212">
        <v>25</v>
      </c>
      <c r="F5" s="212">
        <v>93</v>
      </c>
      <c r="G5" s="212">
        <v>16.13</v>
      </c>
      <c r="H5" s="212">
        <v>197079.872</v>
      </c>
      <c r="I5" s="212">
        <v>5</v>
      </c>
      <c r="J5" s="212">
        <v>146000000</v>
      </c>
      <c r="K5" s="212">
        <v>0.51</v>
      </c>
      <c r="L5" s="212">
        <v>0.69</v>
      </c>
      <c r="M5" s="212">
        <v>433</v>
      </c>
      <c r="N5" s="212">
        <v>151</v>
      </c>
      <c r="O5" s="212" t="s">
        <v>337</v>
      </c>
      <c r="P5" s="210"/>
      <c r="Q5" s="210"/>
      <c r="R5" s="210"/>
      <c r="S5" s="215"/>
      <c r="T5" s="435"/>
    </row>
    <row r="6" spans="1:20" ht="30" x14ac:dyDescent="0.25">
      <c r="A6" s="216">
        <v>2</v>
      </c>
      <c r="B6" s="217" t="s">
        <v>338</v>
      </c>
      <c r="C6" s="214" t="s">
        <v>339</v>
      </c>
      <c r="D6" s="212">
        <v>645</v>
      </c>
      <c r="E6" s="212">
        <v>21</v>
      </c>
      <c r="F6" s="212">
        <v>101</v>
      </c>
      <c r="G6" s="212">
        <v>12.48</v>
      </c>
      <c r="H6" s="212">
        <v>178549.14300000001</v>
      </c>
      <c r="I6" s="212">
        <v>5</v>
      </c>
      <c r="J6" s="212">
        <v>146000000</v>
      </c>
      <c r="K6" s="212">
        <v>0.5</v>
      </c>
      <c r="L6" s="212">
        <v>0.61</v>
      </c>
      <c r="M6" s="212">
        <v>527</v>
      </c>
      <c r="N6" s="212">
        <v>118</v>
      </c>
      <c r="O6" s="212" t="s">
        <v>337</v>
      </c>
      <c r="P6" s="210"/>
      <c r="Q6" s="210"/>
      <c r="R6" s="210"/>
      <c r="S6" s="215"/>
      <c r="T6" s="435"/>
    </row>
    <row r="7" spans="1:20" ht="45" x14ac:dyDescent="0.25">
      <c r="A7" s="216">
        <v>3</v>
      </c>
      <c r="B7" s="217" t="s">
        <v>340</v>
      </c>
      <c r="C7" s="214" t="s">
        <v>341</v>
      </c>
      <c r="D7" s="212">
        <v>522</v>
      </c>
      <c r="E7" s="212">
        <v>13</v>
      </c>
      <c r="F7" s="212">
        <v>66</v>
      </c>
      <c r="G7" s="212">
        <v>11.82</v>
      </c>
      <c r="H7" s="212">
        <v>89648.932000000001</v>
      </c>
      <c r="I7" s="212">
        <v>4</v>
      </c>
      <c r="J7" s="212">
        <v>91250000</v>
      </c>
      <c r="K7" s="212">
        <v>0.61</v>
      </c>
      <c r="L7" s="212">
        <v>0.6</v>
      </c>
      <c r="M7" s="212">
        <v>531</v>
      </c>
      <c r="N7" s="212">
        <v>-9</v>
      </c>
      <c r="O7" s="212" t="s">
        <v>342</v>
      </c>
      <c r="P7" s="210"/>
      <c r="Q7" s="210"/>
      <c r="R7" s="210"/>
      <c r="S7" s="215"/>
      <c r="T7" s="435"/>
    </row>
    <row r="8" spans="1:20" ht="30" x14ac:dyDescent="0.25">
      <c r="A8" s="216">
        <v>4</v>
      </c>
      <c r="B8" s="217" t="s">
        <v>343</v>
      </c>
      <c r="C8" s="214" t="s">
        <v>344</v>
      </c>
      <c r="D8" s="212">
        <v>335</v>
      </c>
      <c r="E8" s="212">
        <v>16</v>
      </c>
      <c r="F8" s="212">
        <v>64</v>
      </c>
      <c r="G8" s="212">
        <v>15</v>
      </c>
      <c r="H8" s="212">
        <v>103272.758</v>
      </c>
      <c r="I8" s="212">
        <v>4</v>
      </c>
      <c r="J8" s="212">
        <v>100375000</v>
      </c>
      <c r="K8" s="212">
        <v>0.53</v>
      </c>
      <c r="L8" s="212">
        <v>0.54</v>
      </c>
      <c r="M8" s="212">
        <v>326</v>
      </c>
      <c r="N8" s="212">
        <v>9</v>
      </c>
      <c r="O8" s="212" t="s">
        <v>337</v>
      </c>
      <c r="P8" s="210"/>
      <c r="Q8" s="210"/>
      <c r="R8" s="210"/>
      <c r="S8" s="215"/>
      <c r="T8" s="435"/>
    </row>
    <row r="9" spans="1:20" ht="30" x14ac:dyDescent="0.25">
      <c r="A9" s="216">
        <v>5</v>
      </c>
      <c r="B9" s="217" t="s">
        <v>345</v>
      </c>
      <c r="C9" s="214" t="s">
        <v>346</v>
      </c>
      <c r="D9" s="212">
        <v>490</v>
      </c>
      <c r="E9" s="212">
        <v>24</v>
      </c>
      <c r="F9" s="212">
        <v>59</v>
      </c>
      <c r="G9" s="212">
        <v>24.41</v>
      </c>
      <c r="H9" s="212">
        <v>160550.45199999999</v>
      </c>
      <c r="I9" s="212">
        <v>5</v>
      </c>
      <c r="J9" s="212">
        <v>127750000</v>
      </c>
      <c r="K9" s="212">
        <v>0.56999999999999995</v>
      </c>
      <c r="L9" s="212">
        <v>0.72</v>
      </c>
      <c r="M9" s="212">
        <v>390</v>
      </c>
      <c r="N9" s="212">
        <v>100</v>
      </c>
      <c r="O9" s="212" t="s">
        <v>337</v>
      </c>
      <c r="P9" s="210"/>
      <c r="Q9" s="210"/>
      <c r="R9" s="210"/>
      <c r="S9" s="215"/>
      <c r="T9" s="435"/>
    </row>
    <row r="10" spans="1:20" ht="45" x14ac:dyDescent="0.25">
      <c r="A10" s="216">
        <v>6</v>
      </c>
      <c r="B10" s="217" t="s">
        <v>347</v>
      </c>
      <c r="C10" s="214" t="s">
        <v>348</v>
      </c>
      <c r="D10" s="212">
        <v>992</v>
      </c>
      <c r="E10" s="212">
        <v>21</v>
      </c>
      <c r="F10" s="212">
        <v>66</v>
      </c>
      <c r="G10" s="212">
        <v>19.09</v>
      </c>
      <c r="H10" s="212">
        <v>187081.111</v>
      </c>
      <c r="I10" s="212">
        <v>6</v>
      </c>
      <c r="J10" s="212">
        <v>127750000</v>
      </c>
      <c r="K10" s="212">
        <v>0.59</v>
      </c>
      <c r="L10" s="212">
        <v>0.87</v>
      </c>
      <c r="M10" s="212">
        <v>677</v>
      </c>
      <c r="N10" s="212">
        <v>315</v>
      </c>
      <c r="O10" s="212" t="s">
        <v>337</v>
      </c>
      <c r="P10" s="210"/>
      <c r="Q10" s="210"/>
      <c r="R10" s="210"/>
      <c r="S10" s="215"/>
      <c r="T10" s="435"/>
    </row>
    <row r="11" spans="1:20" ht="30" x14ac:dyDescent="0.25">
      <c r="A11" s="216">
        <v>7</v>
      </c>
      <c r="B11" s="217" t="s">
        <v>349</v>
      </c>
      <c r="C11" s="214" t="s">
        <v>350</v>
      </c>
      <c r="D11" s="212">
        <v>14</v>
      </c>
      <c r="E11" s="212">
        <v>27</v>
      </c>
      <c r="F11" s="212">
        <v>41</v>
      </c>
      <c r="G11" s="212">
        <v>39.51</v>
      </c>
      <c r="H11" s="212">
        <v>167938.519</v>
      </c>
      <c r="I11" s="212">
        <v>6</v>
      </c>
      <c r="J11" s="212">
        <v>109500000</v>
      </c>
      <c r="K11" s="212">
        <v>0.38</v>
      </c>
      <c r="L11" s="212">
        <v>0.59</v>
      </c>
      <c r="M11" s="212">
        <v>9</v>
      </c>
      <c r="N11" s="212">
        <v>5</v>
      </c>
      <c r="O11" s="212" t="s">
        <v>337</v>
      </c>
      <c r="P11" s="210"/>
      <c r="Q11" s="210"/>
      <c r="R11" s="210"/>
      <c r="S11" s="215"/>
      <c r="T11" s="435"/>
    </row>
    <row r="12" spans="1:20" ht="60" x14ac:dyDescent="0.25">
      <c r="A12" s="216">
        <v>8</v>
      </c>
      <c r="B12" s="217" t="s">
        <v>351</v>
      </c>
      <c r="C12" s="214" t="s">
        <v>352</v>
      </c>
      <c r="D12" s="212">
        <v>8</v>
      </c>
      <c r="E12" s="212">
        <v>18</v>
      </c>
      <c r="F12" s="212">
        <v>52</v>
      </c>
      <c r="G12" s="212">
        <v>20.77</v>
      </c>
      <c r="H12" s="212">
        <v>180930.606</v>
      </c>
      <c r="I12" s="212">
        <v>7</v>
      </c>
      <c r="J12" s="212">
        <v>127750000</v>
      </c>
      <c r="K12" s="212">
        <v>0.45</v>
      </c>
      <c r="L12" s="212">
        <v>0.64</v>
      </c>
      <c r="M12" s="212">
        <v>6</v>
      </c>
      <c r="N12" s="212">
        <v>2</v>
      </c>
      <c r="O12" s="212" t="s">
        <v>337</v>
      </c>
      <c r="P12" s="210"/>
      <c r="Q12" s="210"/>
      <c r="R12" s="210"/>
      <c r="S12" s="215"/>
      <c r="T12" s="435"/>
    </row>
    <row r="13" spans="1:20" ht="45" x14ac:dyDescent="0.25">
      <c r="A13" s="216">
        <v>9</v>
      </c>
      <c r="B13" s="217" t="s">
        <v>353</v>
      </c>
      <c r="C13" s="214" t="s">
        <v>354</v>
      </c>
      <c r="D13" s="212">
        <v>7</v>
      </c>
      <c r="E13" s="212">
        <v>18</v>
      </c>
      <c r="F13" s="212">
        <v>70</v>
      </c>
      <c r="G13" s="212">
        <v>15.43</v>
      </c>
      <c r="H13" s="212">
        <v>115161.24</v>
      </c>
      <c r="I13" s="212">
        <v>4</v>
      </c>
      <c r="J13" s="212">
        <v>127750000</v>
      </c>
      <c r="K13" s="212">
        <v>0.5</v>
      </c>
      <c r="L13" s="212">
        <v>0.45</v>
      </c>
      <c r="M13" s="212">
        <v>8</v>
      </c>
      <c r="N13" s="212">
        <v>-1</v>
      </c>
      <c r="O13" s="212" t="s">
        <v>342</v>
      </c>
      <c r="P13" s="210"/>
      <c r="Q13" s="210"/>
      <c r="R13" s="210"/>
      <c r="S13" s="215"/>
      <c r="T13" s="435"/>
    </row>
    <row r="14" spans="1:20" ht="30" x14ac:dyDescent="0.25">
      <c r="A14" s="216">
        <v>10</v>
      </c>
      <c r="B14" s="217" t="s">
        <v>355</v>
      </c>
      <c r="C14" s="214" t="s">
        <v>356</v>
      </c>
      <c r="D14" s="212">
        <v>1</v>
      </c>
      <c r="E14" s="212">
        <v>16</v>
      </c>
      <c r="F14" s="212">
        <v>66</v>
      </c>
      <c r="G14" s="212">
        <v>14.55</v>
      </c>
      <c r="H14" s="212">
        <v>52123.133999999998</v>
      </c>
      <c r="I14" s="212">
        <v>2</v>
      </c>
      <c r="J14" s="212">
        <v>281050000</v>
      </c>
      <c r="K14" s="212">
        <v>0.45</v>
      </c>
      <c r="L14" s="212">
        <v>0.08</v>
      </c>
      <c r="M14" s="212">
        <v>5</v>
      </c>
      <c r="N14" s="212">
        <v>-4</v>
      </c>
      <c r="O14" s="212" t="s">
        <v>342</v>
      </c>
      <c r="P14" s="210"/>
      <c r="Q14" s="210"/>
      <c r="R14" s="210"/>
      <c r="S14" s="215"/>
      <c r="T14" s="435"/>
    </row>
    <row r="15" spans="1:20" ht="30" x14ac:dyDescent="0.25">
      <c r="A15" s="216">
        <v>11</v>
      </c>
      <c r="B15" s="217" t="s">
        <v>357</v>
      </c>
      <c r="C15" s="214" t="s">
        <v>358</v>
      </c>
      <c r="D15" s="212">
        <v>10</v>
      </c>
      <c r="E15" s="212">
        <v>19</v>
      </c>
      <c r="F15" s="212">
        <v>56</v>
      </c>
      <c r="G15" s="212">
        <v>20.36</v>
      </c>
      <c r="H15" s="212">
        <v>82520.589000000007</v>
      </c>
      <c r="I15" s="212">
        <v>3</v>
      </c>
      <c r="J15" s="212">
        <v>255500000</v>
      </c>
      <c r="K15" s="212">
        <v>0.57999999999999996</v>
      </c>
      <c r="L15" s="212">
        <v>0.19</v>
      </c>
      <c r="M15" s="212">
        <v>31</v>
      </c>
      <c r="N15" s="212">
        <v>-21</v>
      </c>
      <c r="O15" s="212" t="s">
        <v>342</v>
      </c>
      <c r="P15" s="210"/>
      <c r="Q15" s="210"/>
      <c r="R15" s="210"/>
      <c r="S15" s="215"/>
      <c r="T15" s="435"/>
    </row>
    <row r="16" spans="1:20" ht="45" x14ac:dyDescent="0.25">
      <c r="A16" s="216">
        <v>12</v>
      </c>
      <c r="B16" s="217" t="s">
        <v>359</v>
      </c>
      <c r="C16" s="214" t="s">
        <v>360</v>
      </c>
      <c r="D16" s="212">
        <v>2</v>
      </c>
      <c r="E16" s="212">
        <v>7</v>
      </c>
      <c r="F16" s="212">
        <v>29</v>
      </c>
      <c r="G16" s="212">
        <v>14.48</v>
      </c>
      <c r="H16" s="212">
        <v>68500.335999999996</v>
      </c>
      <c r="I16" s="212">
        <v>6</v>
      </c>
      <c r="J16" s="212">
        <v>91250000</v>
      </c>
      <c r="K16" s="212">
        <v>0.61</v>
      </c>
      <c r="L16" s="212">
        <v>0.46</v>
      </c>
      <c r="M16" s="212">
        <v>3</v>
      </c>
      <c r="N16" s="212">
        <v>-1</v>
      </c>
      <c r="O16" s="212" t="s">
        <v>342</v>
      </c>
      <c r="P16" s="210"/>
      <c r="Q16" s="210"/>
      <c r="R16" s="210"/>
      <c r="S16" s="215"/>
      <c r="T16" s="435"/>
    </row>
    <row r="17" spans="1:20" x14ac:dyDescent="0.25">
      <c r="A17" s="210"/>
      <c r="B17" s="210"/>
      <c r="C17" s="210"/>
      <c r="D17" s="210"/>
      <c r="E17" s="210">
        <v>18.75</v>
      </c>
      <c r="F17" s="210"/>
      <c r="G17" s="210"/>
      <c r="H17" s="210">
        <f>SUM(H5:H16)</f>
        <v>1583356.692</v>
      </c>
      <c r="I17" s="210">
        <v>57</v>
      </c>
      <c r="J17" s="210"/>
      <c r="K17" s="210" t="s">
        <v>361</v>
      </c>
      <c r="L17" s="210"/>
      <c r="M17" s="210"/>
      <c r="N17" s="218">
        <v>664</v>
      </c>
      <c r="O17" s="210"/>
      <c r="P17" s="210"/>
      <c r="Q17" s="210"/>
      <c r="R17" s="210"/>
      <c r="S17" s="215"/>
      <c r="T17" s="210"/>
    </row>
    <row r="18" spans="1:20" x14ac:dyDescent="0.25">
      <c r="A18" s="210"/>
      <c r="B18" s="210"/>
      <c r="C18" s="210"/>
      <c r="D18" s="210"/>
      <c r="E18" s="210"/>
      <c r="F18" s="210"/>
      <c r="G18" s="210"/>
      <c r="H18" s="210"/>
      <c r="I18" s="251">
        <v>5</v>
      </c>
      <c r="J18" s="210"/>
      <c r="K18" s="210"/>
      <c r="L18" s="210"/>
      <c r="M18" s="210"/>
      <c r="N18" s="210"/>
      <c r="O18" s="210"/>
      <c r="P18" s="210"/>
      <c r="Q18" s="210"/>
      <c r="R18" s="210"/>
      <c r="S18" s="215"/>
      <c r="T18" s="435"/>
    </row>
    <row r="19" spans="1:20" x14ac:dyDescent="0.25">
      <c r="A19" s="211" t="s">
        <v>364</v>
      </c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5"/>
      <c r="T19" s="435"/>
    </row>
    <row r="20" spans="1:20" ht="60" x14ac:dyDescent="0.25">
      <c r="A20" s="213" t="s">
        <v>46</v>
      </c>
      <c r="B20" s="213" t="s">
        <v>324</v>
      </c>
      <c r="C20" s="213" t="s">
        <v>325</v>
      </c>
      <c r="D20" s="213" t="s">
        <v>326</v>
      </c>
      <c r="E20" s="213" t="s">
        <v>327</v>
      </c>
      <c r="F20" s="213" t="s">
        <v>178</v>
      </c>
      <c r="G20" s="213" t="s">
        <v>328</v>
      </c>
      <c r="H20" s="213" t="s">
        <v>395</v>
      </c>
      <c r="I20" s="213" t="s">
        <v>329</v>
      </c>
      <c r="J20" s="213" t="s">
        <v>330</v>
      </c>
      <c r="K20" s="213" t="s">
        <v>331</v>
      </c>
      <c r="L20" s="213" t="s">
        <v>332</v>
      </c>
      <c r="M20" s="213" t="s">
        <v>333</v>
      </c>
      <c r="N20" s="213" t="s">
        <v>334</v>
      </c>
      <c r="O20" s="213" t="s">
        <v>102</v>
      </c>
      <c r="P20" s="210"/>
      <c r="Q20" s="210"/>
      <c r="R20" s="210"/>
      <c r="S20" s="215"/>
      <c r="T20" s="435"/>
    </row>
    <row r="21" spans="1:20" ht="105" x14ac:dyDescent="0.25">
      <c r="A21" s="216">
        <v>1</v>
      </c>
      <c r="B21" s="217" t="s">
        <v>367</v>
      </c>
      <c r="C21" s="214" t="s">
        <v>362</v>
      </c>
      <c r="D21" s="212">
        <v>23</v>
      </c>
      <c r="E21" s="212">
        <v>42</v>
      </c>
      <c r="F21" s="212">
        <v>104</v>
      </c>
      <c r="G21" s="212">
        <v>24.23</v>
      </c>
      <c r="H21" s="212">
        <f>480493564/1000</f>
        <v>480493.56400000001</v>
      </c>
      <c r="I21" s="212">
        <v>4</v>
      </c>
      <c r="J21" s="212">
        <v>237250000</v>
      </c>
      <c r="K21" s="212">
        <v>0.64</v>
      </c>
      <c r="L21" s="212">
        <v>1.3</v>
      </c>
      <c r="M21" s="212">
        <v>11</v>
      </c>
      <c r="N21" s="212">
        <v>12</v>
      </c>
      <c r="O21" s="212" t="s">
        <v>337</v>
      </c>
      <c r="P21" s="210"/>
      <c r="Q21" s="210"/>
      <c r="R21" s="210"/>
      <c r="S21" s="215"/>
      <c r="T21" s="435"/>
    </row>
    <row r="22" spans="1:20" x14ac:dyDescent="0.25">
      <c r="A22" s="210"/>
      <c r="B22" s="210"/>
      <c r="C22" s="210"/>
      <c r="D22" s="210"/>
      <c r="E22" s="210"/>
      <c r="F22" s="210"/>
      <c r="G22" s="210"/>
      <c r="H22" s="210"/>
      <c r="I22" s="210"/>
      <c r="J22" s="210"/>
      <c r="K22" s="210" t="s">
        <v>369</v>
      </c>
      <c r="L22" s="210" t="s">
        <v>370</v>
      </c>
      <c r="M22" s="210"/>
      <c r="N22" s="210">
        <v>12</v>
      </c>
      <c r="O22" s="210"/>
      <c r="P22" s="210"/>
      <c r="Q22" s="210"/>
      <c r="R22" s="210"/>
      <c r="S22" s="215"/>
      <c r="T22" s="435"/>
    </row>
    <row r="23" spans="1:20" x14ac:dyDescent="0.25">
      <c r="A23" s="210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0"/>
      <c r="R23" s="210"/>
      <c r="S23" s="215"/>
      <c r="T23" s="210"/>
    </row>
    <row r="24" spans="1:20" x14ac:dyDescent="0.25">
      <c r="A24" s="211" t="s">
        <v>372</v>
      </c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</row>
    <row r="25" spans="1:20" ht="60" x14ac:dyDescent="0.25">
      <c r="A25" s="213" t="s">
        <v>46</v>
      </c>
      <c r="B25" s="213" t="s">
        <v>324</v>
      </c>
      <c r="C25" s="213" t="s">
        <v>325</v>
      </c>
      <c r="D25" s="213" t="s">
        <v>326</v>
      </c>
      <c r="E25" s="213" t="s">
        <v>327</v>
      </c>
      <c r="F25" s="213" t="s">
        <v>178</v>
      </c>
      <c r="G25" s="213" t="s">
        <v>328</v>
      </c>
      <c r="H25" s="213" t="s">
        <v>395</v>
      </c>
      <c r="I25" s="213" t="s">
        <v>329</v>
      </c>
      <c r="J25" s="213" t="s">
        <v>330</v>
      </c>
      <c r="K25" s="213" t="s">
        <v>331</v>
      </c>
      <c r="L25" s="213" t="s">
        <v>332</v>
      </c>
      <c r="M25" s="213" t="s">
        <v>333</v>
      </c>
      <c r="N25" s="213" t="s">
        <v>334</v>
      </c>
      <c r="O25" s="213" t="s">
        <v>102</v>
      </c>
      <c r="P25" s="210"/>
      <c r="Q25" s="210"/>
      <c r="R25" s="210"/>
      <c r="S25" s="210"/>
      <c r="T25" s="210"/>
    </row>
    <row r="26" spans="1:20" ht="90" x14ac:dyDescent="0.25">
      <c r="A26" s="216">
        <v>1</v>
      </c>
      <c r="B26" s="217" t="s">
        <v>373</v>
      </c>
      <c r="C26" s="214" t="s">
        <v>363</v>
      </c>
      <c r="D26" s="212">
        <v>11</v>
      </c>
      <c r="E26" s="212">
        <v>73</v>
      </c>
      <c r="F26" s="212">
        <v>93</v>
      </c>
      <c r="G26" s="212">
        <v>47.1</v>
      </c>
      <c r="H26" s="212">
        <v>274961.33500000002</v>
      </c>
      <c r="I26" s="212">
        <v>2</v>
      </c>
      <c r="J26" s="212">
        <v>255500000</v>
      </c>
      <c r="K26" s="212">
        <v>0.53</v>
      </c>
      <c r="L26" s="212">
        <v>0.56999999999999995</v>
      </c>
      <c r="M26" s="212">
        <v>10</v>
      </c>
      <c r="N26" s="212">
        <v>1</v>
      </c>
      <c r="O26" s="212" t="s">
        <v>337</v>
      </c>
      <c r="P26" s="210"/>
      <c r="Q26" s="210"/>
      <c r="R26" s="210"/>
      <c r="S26" s="210"/>
      <c r="T26" s="210"/>
    </row>
    <row r="27" spans="1:20" ht="75" x14ac:dyDescent="0.25">
      <c r="A27" s="216">
        <v>2</v>
      </c>
      <c r="B27" s="217" t="s">
        <v>374</v>
      </c>
      <c r="C27" s="214" t="s">
        <v>365</v>
      </c>
      <c r="D27" s="212">
        <v>25</v>
      </c>
      <c r="E27" s="212">
        <v>75</v>
      </c>
      <c r="F27" s="212">
        <v>150</v>
      </c>
      <c r="G27" s="212">
        <v>30</v>
      </c>
      <c r="H27" s="212">
        <v>377111.511</v>
      </c>
      <c r="I27" s="212">
        <v>2</v>
      </c>
      <c r="J27" s="212">
        <v>438000000</v>
      </c>
      <c r="K27" s="212">
        <v>0.68</v>
      </c>
      <c r="L27" s="212">
        <v>0.59</v>
      </c>
      <c r="M27" s="212">
        <v>29</v>
      </c>
      <c r="N27" s="212">
        <v>-4</v>
      </c>
      <c r="O27" s="212" t="s">
        <v>342</v>
      </c>
      <c r="P27" s="210"/>
      <c r="Q27" s="210"/>
      <c r="R27" s="210"/>
      <c r="S27" s="210"/>
      <c r="T27" s="210"/>
    </row>
    <row r="28" spans="1:20" ht="60" x14ac:dyDescent="0.25">
      <c r="A28" s="216">
        <v>3</v>
      </c>
      <c r="B28" s="217" t="s">
        <v>375</v>
      </c>
      <c r="C28" s="214" t="s">
        <v>366</v>
      </c>
      <c r="D28" s="212">
        <v>10</v>
      </c>
      <c r="E28" s="212">
        <v>84</v>
      </c>
      <c r="F28" s="212">
        <v>115</v>
      </c>
      <c r="G28" s="212">
        <v>43.83</v>
      </c>
      <c r="H28" s="212">
        <v>329121.36</v>
      </c>
      <c r="I28" s="212">
        <v>2</v>
      </c>
      <c r="J28" s="212">
        <v>821250000</v>
      </c>
      <c r="K28" s="212">
        <v>0.79</v>
      </c>
      <c r="L28" s="212">
        <v>0.32</v>
      </c>
      <c r="M28" s="212">
        <v>25</v>
      </c>
      <c r="N28" s="212">
        <v>-15</v>
      </c>
      <c r="O28" s="212" t="s">
        <v>342</v>
      </c>
      <c r="P28" s="210"/>
      <c r="Q28" s="210"/>
      <c r="R28" s="210"/>
      <c r="S28" s="210"/>
      <c r="T28" s="210"/>
    </row>
    <row r="29" spans="1:20" ht="60" x14ac:dyDescent="0.25">
      <c r="A29" s="216">
        <v>4</v>
      </c>
      <c r="B29" s="217" t="s">
        <v>376</v>
      </c>
      <c r="C29" s="214" t="s">
        <v>368</v>
      </c>
      <c r="D29" s="212">
        <v>6</v>
      </c>
      <c r="E29" s="212">
        <v>81</v>
      </c>
      <c r="F29" s="212">
        <v>104</v>
      </c>
      <c r="G29" s="212">
        <v>46.81</v>
      </c>
      <c r="H29" s="212">
        <v>306048.00300000003</v>
      </c>
      <c r="I29" s="212">
        <v>2</v>
      </c>
      <c r="J29" s="212">
        <v>292000000</v>
      </c>
      <c r="K29" s="212">
        <v>0.32</v>
      </c>
      <c r="L29" s="212">
        <v>0.34</v>
      </c>
      <c r="M29" s="212">
        <v>6</v>
      </c>
      <c r="N29" s="212">
        <v>0</v>
      </c>
      <c r="O29" s="212" t="s">
        <v>89</v>
      </c>
      <c r="P29" s="210"/>
      <c r="Q29" s="210"/>
      <c r="R29" s="210"/>
      <c r="S29" s="210"/>
      <c r="T29" s="210"/>
    </row>
    <row r="30" spans="1:20" ht="60" x14ac:dyDescent="0.25">
      <c r="A30" s="216">
        <v>5</v>
      </c>
      <c r="B30" s="217" t="s">
        <v>377</v>
      </c>
      <c r="C30" s="214" t="s">
        <v>371</v>
      </c>
      <c r="D30" s="212">
        <v>6</v>
      </c>
      <c r="E30" s="212">
        <v>73</v>
      </c>
      <c r="F30" s="212">
        <v>139</v>
      </c>
      <c r="G30" s="212">
        <v>31.62</v>
      </c>
      <c r="H30" s="212">
        <v>354626.08600000001</v>
      </c>
      <c r="I30" s="212">
        <v>2</v>
      </c>
      <c r="J30" s="212">
        <v>246375000</v>
      </c>
      <c r="K30" s="212">
        <v>0.35</v>
      </c>
      <c r="L30" s="212">
        <v>0.5</v>
      </c>
      <c r="M30" s="212">
        <v>4</v>
      </c>
      <c r="N30" s="212">
        <v>2</v>
      </c>
      <c r="O30" s="212" t="s">
        <v>337</v>
      </c>
      <c r="P30" s="210"/>
      <c r="Q30" s="210"/>
      <c r="R30" s="210"/>
      <c r="S30" s="210"/>
      <c r="T30" s="210"/>
    </row>
    <row r="31" spans="1:20" x14ac:dyDescent="0.25">
      <c r="A31" s="210"/>
      <c r="B31" s="210"/>
      <c r="C31" s="210"/>
      <c r="D31" s="210"/>
      <c r="E31" s="210">
        <v>77.2</v>
      </c>
      <c r="F31" s="210"/>
      <c r="G31" s="210"/>
      <c r="H31" s="210">
        <f>SUM(H26:H30)</f>
        <v>1641868.2949999999</v>
      </c>
      <c r="I31" s="210">
        <v>10</v>
      </c>
      <c r="J31" s="210"/>
      <c r="K31" s="210" t="s">
        <v>378</v>
      </c>
      <c r="L31" s="210"/>
      <c r="M31" s="210"/>
      <c r="N31" s="218">
        <v>-16</v>
      </c>
      <c r="O31" s="210"/>
      <c r="P31" s="210"/>
      <c r="Q31" s="210"/>
      <c r="R31" s="210"/>
      <c r="S31" s="210"/>
      <c r="T31" s="210"/>
    </row>
    <row r="33" spans="1:29" ht="21" x14ac:dyDescent="0.35">
      <c r="A33" s="252" t="s">
        <v>379</v>
      </c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>
        <f>SUM(N26:N30)</f>
        <v>-16</v>
      </c>
      <c r="O33" s="210"/>
    </row>
    <row r="34" spans="1:29" ht="33.75" x14ac:dyDescent="0.25">
      <c r="A34" s="436" t="s">
        <v>380</v>
      </c>
      <c r="B34" s="436"/>
      <c r="C34" s="436"/>
      <c r="D34" s="436"/>
      <c r="E34" s="436"/>
      <c r="F34" s="436"/>
      <c r="G34" s="436"/>
      <c r="H34" s="436"/>
      <c r="I34" s="436"/>
      <c r="J34" s="436"/>
      <c r="K34" s="436"/>
      <c r="L34" s="436"/>
      <c r="M34" s="210"/>
      <c r="N34" s="210"/>
      <c r="O34" s="210"/>
      <c r="S34" s="211" t="s">
        <v>416</v>
      </c>
    </row>
    <row r="35" spans="1:29" ht="15.75" x14ac:dyDescent="0.25">
      <c r="A35" s="210"/>
      <c r="B35" s="431" t="s">
        <v>381</v>
      </c>
      <c r="C35" s="432" t="s">
        <v>382</v>
      </c>
      <c r="D35" s="382" t="s">
        <v>383</v>
      </c>
      <c r="E35" s="382" t="s">
        <v>83</v>
      </c>
      <c r="F35" s="432" t="s">
        <v>70</v>
      </c>
      <c r="G35" s="431" t="s">
        <v>68</v>
      </c>
      <c r="H35" s="433" t="s">
        <v>384</v>
      </c>
      <c r="I35" s="434"/>
      <c r="J35" s="427" t="s">
        <v>72</v>
      </c>
      <c r="K35" s="431" t="s">
        <v>73</v>
      </c>
      <c r="L35" s="427" t="s">
        <v>385</v>
      </c>
      <c r="M35" s="210"/>
      <c r="N35" s="210"/>
      <c r="O35" s="210"/>
      <c r="S35" s="431" t="s">
        <v>381</v>
      </c>
      <c r="T35" s="432" t="s">
        <v>382</v>
      </c>
      <c r="U35" s="382" t="s">
        <v>383</v>
      </c>
      <c r="V35" s="382" t="s">
        <v>83</v>
      </c>
      <c r="W35" s="432" t="s">
        <v>70</v>
      </c>
      <c r="X35" s="431" t="s">
        <v>68</v>
      </c>
      <c r="Y35" s="433" t="s">
        <v>384</v>
      </c>
      <c r="Z35" s="434"/>
      <c r="AA35" s="427" t="s">
        <v>72</v>
      </c>
      <c r="AB35" s="431" t="s">
        <v>73</v>
      </c>
      <c r="AC35" s="427" t="s">
        <v>385</v>
      </c>
    </row>
    <row r="36" spans="1:29" ht="94.5" x14ac:dyDescent="0.25">
      <c r="A36" s="210"/>
      <c r="B36" s="431"/>
      <c r="C36" s="432"/>
      <c r="D36" s="383"/>
      <c r="E36" s="383"/>
      <c r="F36" s="432"/>
      <c r="G36" s="431"/>
      <c r="H36" s="224" t="s">
        <v>386</v>
      </c>
      <c r="I36" s="224" t="s">
        <v>387</v>
      </c>
      <c r="J36" s="427"/>
      <c r="K36" s="431"/>
      <c r="L36" s="427"/>
      <c r="M36" s="210"/>
      <c r="N36" s="210"/>
      <c r="O36" s="210"/>
      <c r="S36" s="431"/>
      <c r="T36" s="432"/>
      <c r="U36" s="383"/>
      <c r="V36" s="383"/>
      <c r="W36" s="432"/>
      <c r="X36" s="431"/>
      <c r="Y36" s="260" t="s">
        <v>386</v>
      </c>
      <c r="Z36" s="260" t="s">
        <v>387</v>
      </c>
      <c r="AA36" s="427"/>
      <c r="AB36" s="431"/>
      <c r="AC36" s="427"/>
    </row>
    <row r="37" spans="1:29" ht="15.75" x14ac:dyDescent="0.25">
      <c r="A37" s="210"/>
      <c r="B37" s="225">
        <v>1</v>
      </c>
      <c r="C37" s="222">
        <v>2</v>
      </c>
      <c r="D37" s="222">
        <v>3</v>
      </c>
      <c r="E37" s="222">
        <v>4</v>
      </c>
      <c r="F37" s="224">
        <v>5</v>
      </c>
      <c r="G37" s="230">
        <v>6</v>
      </c>
      <c r="H37" s="224">
        <v>7</v>
      </c>
      <c r="I37" s="224">
        <v>8</v>
      </c>
      <c r="J37" s="226">
        <v>9</v>
      </c>
      <c r="K37" s="231">
        <v>10</v>
      </c>
      <c r="L37" s="229">
        <v>11</v>
      </c>
      <c r="M37" s="210"/>
      <c r="N37" s="210"/>
      <c r="O37" s="210"/>
      <c r="S37" s="258">
        <v>1</v>
      </c>
      <c r="T37" s="256">
        <v>2</v>
      </c>
      <c r="U37" s="256">
        <v>3</v>
      </c>
      <c r="V37" s="256">
        <v>4</v>
      </c>
      <c r="W37" s="260">
        <v>5</v>
      </c>
      <c r="X37" s="255">
        <v>6</v>
      </c>
      <c r="Y37" s="260">
        <v>7</v>
      </c>
      <c r="Z37" s="260">
        <v>8</v>
      </c>
      <c r="AA37" s="259">
        <v>9</v>
      </c>
      <c r="AB37" s="254">
        <v>10</v>
      </c>
      <c r="AC37" s="253">
        <v>11</v>
      </c>
    </row>
    <row r="38" spans="1:29" ht="15.75" x14ac:dyDescent="0.25">
      <c r="A38" s="210"/>
      <c r="B38" s="220"/>
      <c r="C38" s="227"/>
      <c r="D38" s="227"/>
      <c r="E38" s="227"/>
      <c r="F38" s="227"/>
      <c r="G38" s="367">
        <v>300</v>
      </c>
      <c r="H38" s="234"/>
      <c r="I38" s="234"/>
      <c r="J38" s="228">
        <v>0</v>
      </c>
      <c r="K38" s="223"/>
      <c r="L38" s="249"/>
      <c r="M38" s="210"/>
      <c r="N38" s="210"/>
      <c r="O38" s="210"/>
      <c r="S38" s="220"/>
      <c r="T38" s="227"/>
      <c r="U38" s="227"/>
      <c r="V38" s="227"/>
      <c r="W38" s="227"/>
      <c r="X38" s="367">
        <v>300</v>
      </c>
      <c r="Y38" s="234"/>
      <c r="Z38" s="234"/>
      <c r="AA38" s="228">
        <v>0</v>
      </c>
      <c r="AB38" s="223"/>
      <c r="AC38" s="249"/>
    </row>
    <row r="39" spans="1:29" ht="63" x14ac:dyDescent="0.25">
      <c r="A39" s="210"/>
      <c r="B39" s="220" t="s">
        <v>388</v>
      </c>
      <c r="C39" s="227" t="s">
        <v>86</v>
      </c>
      <c r="D39" s="227">
        <v>676</v>
      </c>
      <c r="E39" s="227">
        <v>4</v>
      </c>
      <c r="F39" s="227">
        <v>42</v>
      </c>
      <c r="G39" s="359"/>
      <c r="H39" s="234">
        <f>(1/5.5)*1.05</f>
        <v>0.19090909090909092</v>
      </c>
      <c r="I39" s="234"/>
      <c r="J39" s="228">
        <f>D39*E39*F39*G38*(H39-I39)</f>
        <v>6504349.0909090908</v>
      </c>
      <c r="K39" s="223">
        <v>2.66</v>
      </c>
      <c r="L39" s="249">
        <f>(J39*K39)/1000</f>
        <v>17301.568581818181</v>
      </c>
      <c r="M39" s="210" t="s">
        <v>389</v>
      </c>
      <c r="N39" s="210"/>
      <c r="O39" s="210"/>
      <c r="S39" s="220" t="s">
        <v>388</v>
      </c>
      <c r="T39" s="227" t="s">
        <v>86</v>
      </c>
      <c r="U39" s="227">
        <v>42</v>
      </c>
      <c r="V39" s="227">
        <v>4</v>
      </c>
      <c r="W39" s="227">
        <v>42</v>
      </c>
      <c r="X39" s="359"/>
      <c r="Y39" s="234">
        <f>(1/5.5)*1.05</f>
        <v>0.19090909090909092</v>
      </c>
      <c r="Z39" s="234"/>
      <c r="AA39" s="228">
        <f>U39*V39*W39*X38*(Y39-Z39)</f>
        <v>404116.36363636365</v>
      </c>
      <c r="AB39" s="223">
        <v>2.66</v>
      </c>
      <c r="AC39" s="249">
        <f>(AA39*AB39)/1000</f>
        <v>1074.9495272727274</v>
      </c>
    </row>
    <row r="40" spans="1:29" ht="31.5" x14ac:dyDescent="0.25">
      <c r="A40" s="210"/>
      <c r="B40" s="220" t="s">
        <v>390</v>
      </c>
      <c r="C40" s="227" t="s">
        <v>86</v>
      </c>
      <c r="D40" s="227">
        <v>16</v>
      </c>
      <c r="E40" s="227">
        <v>10</v>
      </c>
      <c r="F40" s="227">
        <v>77.2</v>
      </c>
      <c r="G40" s="360"/>
      <c r="H40" s="234"/>
      <c r="I40" s="234">
        <f>(1/3)*0.95</f>
        <v>0.31666666666666665</v>
      </c>
      <c r="J40" s="228">
        <f>D40*E40*F40*G38*(H39-I40)</f>
        <v>-466007.27272727265</v>
      </c>
      <c r="K40" s="223">
        <v>2.66</v>
      </c>
      <c r="L40" s="249">
        <f>(J40*K40)/1000</f>
        <v>-1239.5793454545453</v>
      </c>
      <c r="M40" s="210" t="s">
        <v>391</v>
      </c>
      <c r="N40" s="210"/>
      <c r="O40" s="210"/>
      <c r="S40" s="220" t="s">
        <v>390</v>
      </c>
      <c r="T40" s="227" t="s">
        <v>86</v>
      </c>
      <c r="U40" s="227">
        <v>1</v>
      </c>
      <c r="V40" s="227">
        <v>10</v>
      </c>
      <c r="W40" s="227">
        <v>77.2</v>
      </c>
      <c r="X40" s="360"/>
      <c r="Y40" s="234"/>
      <c r="Z40" s="234">
        <f>(1/3)*0.95</f>
        <v>0.31666666666666665</v>
      </c>
      <c r="AA40" s="228">
        <f>U40*V40*W40*X38*(Y39-Z40)</f>
        <v>-29125.45454545454</v>
      </c>
      <c r="AB40" s="223">
        <v>2.66</v>
      </c>
      <c r="AC40" s="249">
        <f>(AA40*AB40)/1000</f>
        <v>-77.473709090909082</v>
      </c>
    </row>
    <row r="41" spans="1:29" ht="15.75" x14ac:dyDescent="0.25">
      <c r="A41" s="210"/>
      <c r="B41" s="428" t="s">
        <v>91</v>
      </c>
      <c r="C41" s="429"/>
      <c r="D41" s="429"/>
      <c r="E41" s="429"/>
      <c r="F41" s="429"/>
      <c r="G41" s="429"/>
      <c r="H41" s="429"/>
      <c r="I41" s="429"/>
      <c r="J41" s="429"/>
      <c r="K41" s="430"/>
      <c r="L41" s="250">
        <f>SUM(L39:L40)</f>
        <v>16061.989236363635</v>
      </c>
      <c r="M41" s="210" t="s">
        <v>392</v>
      </c>
      <c r="N41" s="210"/>
      <c r="O41" s="210"/>
      <c r="S41" s="428" t="s">
        <v>91</v>
      </c>
      <c r="T41" s="429"/>
      <c r="U41" s="429"/>
      <c r="V41" s="429"/>
      <c r="W41" s="429"/>
      <c r="X41" s="429"/>
      <c r="Y41" s="429"/>
      <c r="Z41" s="429"/>
      <c r="AA41" s="429"/>
      <c r="AB41" s="430"/>
      <c r="AC41" s="250">
        <f>SUM(AC39:AC40)</f>
        <v>997.47581818181834</v>
      </c>
    </row>
    <row r="42" spans="1:29" ht="15.75" x14ac:dyDescent="0.25">
      <c r="A42" s="210"/>
      <c r="B42" s="219"/>
      <c r="C42" s="219"/>
      <c r="D42" s="219"/>
      <c r="E42" s="219"/>
      <c r="F42" s="219"/>
      <c r="G42" s="219"/>
      <c r="H42" s="221"/>
      <c r="I42" s="219"/>
      <c r="J42" s="219"/>
      <c r="K42" s="219"/>
      <c r="L42" s="219"/>
      <c r="M42" s="210"/>
      <c r="N42" s="210"/>
      <c r="O42" s="210"/>
    </row>
    <row r="43" spans="1:29" ht="21" x14ac:dyDescent="0.3">
      <c r="A43" s="210"/>
      <c r="B43" s="235" t="s">
        <v>265</v>
      </c>
      <c r="C43" s="235"/>
      <c r="D43" s="236"/>
      <c r="E43" s="237"/>
      <c r="F43" s="237"/>
      <c r="G43" s="237"/>
      <c r="H43" s="237"/>
      <c r="I43" s="238"/>
      <c r="J43" s="238"/>
      <c r="K43" s="232"/>
      <c r="L43" s="261"/>
      <c r="M43" s="210"/>
      <c r="N43" s="210"/>
      <c r="O43" s="210"/>
      <c r="S43" s="211" t="s">
        <v>417</v>
      </c>
    </row>
    <row r="44" spans="1:29" ht="21" x14ac:dyDescent="0.3">
      <c r="A44" s="210"/>
      <c r="B44" s="239"/>
      <c r="C44" s="236" t="s">
        <v>266</v>
      </c>
      <c r="D44" s="236"/>
      <c r="E44" s="240"/>
      <c r="F44" s="240"/>
      <c r="G44" s="240"/>
      <c r="H44" s="241"/>
      <c r="I44" s="242" t="s">
        <v>393</v>
      </c>
      <c r="J44" s="238"/>
      <c r="K44" s="232"/>
      <c r="L44" s="232"/>
      <c r="M44" s="210"/>
      <c r="N44" s="210"/>
      <c r="O44" s="210"/>
      <c r="S44" s="431" t="s">
        <v>381</v>
      </c>
      <c r="T44" s="432" t="s">
        <v>382</v>
      </c>
      <c r="U44" s="382" t="s">
        <v>383</v>
      </c>
      <c r="V44" s="382" t="s">
        <v>83</v>
      </c>
      <c r="W44" s="432" t="s">
        <v>70</v>
      </c>
      <c r="X44" s="431" t="s">
        <v>68</v>
      </c>
      <c r="Y44" s="433" t="s">
        <v>384</v>
      </c>
      <c r="Z44" s="434"/>
      <c r="AA44" s="427" t="s">
        <v>72</v>
      </c>
      <c r="AB44" s="431" t="s">
        <v>73</v>
      </c>
      <c r="AC44" s="427" t="s">
        <v>385</v>
      </c>
    </row>
    <row r="45" spans="1:29" ht="94.5" x14ac:dyDescent="0.3">
      <c r="A45" s="210"/>
      <c r="B45" s="243"/>
      <c r="C45" s="236" t="s">
        <v>267</v>
      </c>
      <c r="D45" s="236"/>
      <c r="E45" s="244"/>
      <c r="F45" s="245"/>
      <c r="G45" s="245"/>
      <c r="H45" s="245"/>
      <c r="I45" s="242"/>
      <c r="J45" s="242"/>
      <c r="K45" s="233"/>
      <c r="L45" s="233"/>
      <c r="M45" s="210"/>
      <c r="N45" s="210"/>
      <c r="O45" s="210"/>
      <c r="S45" s="431"/>
      <c r="T45" s="432"/>
      <c r="U45" s="383"/>
      <c r="V45" s="383"/>
      <c r="W45" s="432"/>
      <c r="X45" s="431"/>
      <c r="Y45" s="260" t="s">
        <v>386</v>
      </c>
      <c r="Z45" s="260" t="s">
        <v>387</v>
      </c>
      <c r="AA45" s="427"/>
      <c r="AB45" s="431"/>
      <c r="AC45" s="427"/>
    </row>
    <row r="46" spans="1:29" ht="21" x14ac:dyDescent="0.3">
      <c r="A46" s="210"/>
      <c r="B46" s="246"/>
      <c r="C46" s="236" t="s">
        <v>268</v>
      </c>
      <c r="D46" s="236"/>
      <c r="E46" s="247"/>
      <c r="F46" s="245"/>
      <c r="G46" s="245"/>
      <c r="H46" s="245"/>
      <c r="I46" s="242"/>
      <c r="J46" s="242"/>
      <c r="K46" s="233"/>
      <c r="L46" s="233"/>
      <c r="M46" s="210"/>
      <c r="N46" s="210"/>
      <c r="O46" s="210"/>
      <c r="S46" s="258">
        <v>1</v>
      </c>
      <c r="T46" s="256">
        <v>2</v>
      </c>
      <c r="U46" s="256">
        <v>3</v>
      </c>
      <c r="V46" s="256">
        <v>4</v>
      </c>
      <c r="W46" s="260">
        <v>5</v>
      </c>
      <c r="X46" s="255">
        <v>6</v>
      </c>
      <c r="Y46" s="260">
        <v>7</v>
      </c>
      <c r="Z46" s="260">
        <v>8</v>
      </c>
      <c r="AA46" s="259">
        <v>9</v>
      </c>
      <c r="AB46" s="254">
        <v>10</v>
      </c>
      <c r="AC46" s="253">
        <v>11</v>
      </c>
    </row>
    <row r="47" spans="1:29" ht="21" x14ac:dyDescent="0.3">
      <c r="A47" s="210"/>
      <c r="B47" s="248" t="s">
        <v>394</v>
      </c>
      <c r="C47" s="236"/>
      <c r="D47" s="236"/>
      <c r="E47" s="247"/>
      <c r="F47" s="245"/>
      <c r="G47" s="245"/>
      <c r="H47" s="245"/>
      <c r="I47" s="242"/>
      <c r="J47" s="242"/>
      <c r="K47" s="233"/>
      <c r="L47" s="233"/>
      <c r="M47" s="210"/>
      <c r="N47" s="210"/>
      <c r="O47" s="210"/>
      <c r="S47" s="220"/>
      <c r="T47" s="227"/>
      <c r="U47" s="227"/>
      <c r="V47" s="227"/>
      <c r="W47" s="227"/>
      <c r="X47" s="367">
        <v>300</v>
      </c>
      <c r="Y47" s="234"/>
      <c r="Z47" s="234"/>
      <c r="AA47" s="228">
        <v>0</v>
      </c>
      <c r="AB47" s="223"/>
      <c r="AC47" s="249"/>
    </row>
    <row r="48" spans="1:29" ht="15.75" x14ac:dyDescent="0.25">
      <c r="M48">
        <f>D39+D40</f>
        <v>692</v>
      </c>
      <c r="S48" s="220" t="s">
        <v>388</v>
      </c>
      <c r="T48" s="227" t="s">
        <v>86</v>
      </c>
      <c r="U48" s="227">
        <v>43</v>
      </c>
      <c r="V48" s="227">
        <v>4</v>
      </c>
      <c r="W48" s="227">
        <v>42</v>
      </c>
      <c r="X48" s="359"/>
      <c r="Y48" s="234">
        <f>(1/5.5)*1.05</f>
        <v>0.19090909090909092</v>
      </c>
      <c r="Z48" s="234"/>
      <c r="AA48" s="228">
        <f>U48*V48*W48*X47*(Y48-Z48)</f>
        <v>413738.18181818182</v>
      </c>
      <c r="AB48" s="223">
        <v>2.66</v>
      </c>
      <c r="AC48" s="249">
        <f>(AA48*AB48)/1000</f>
        <v>1100.5435636363636</v>
      </c>
    </row>
    <row r="49" spans="4:29" ht="15.75" x14ac:dyDescent="0.25">
      <c r="S49" s="220" t="s">
        <v>390</v>
      </c>
      <c r="T49" s="227" t="s">
        <v>86</v>
      </c>
      <c r="U49" s="227">
        <v>1</v>
      </c>
      <c r="V49" s="227">
        <v>10</v>
      </c>
      <c r="W49" s="227">
        <v>77.2</v>
      </c>
      <c r="X49" s="360"/>
      <c r="Y49" s="234"/>
      <c r="Z49" s="234">
        <f>(1/3)*0.95</f>
        <v>0.31666666666666665</v>
      </c>
      <c r="AA49" s="228">
        <f>U49*V49*W49*X47*(Y48-Z49)</f>
        <v>-29125.45454545454</v>
      </c>
      <c r="AB49" s="223">
        <v>2.66</v>
      </c>
      <c r="AC49" s="249">
        <f>(AA49*AB49)/1000</f>
        <v>-77.473709090909082</v>
      </c>
    </row>
    <row r="50" spans="4:29" ht="15.75" x14ac:dyDescent="0.25">
      <c r="S50" s="428" t="s">
        <v>91</v>
      </c>
      <c r="T50" s="429"/>
      <c r="U50" s="429"/>
      <c r="V50" s="429"/>
      <c r="W50" s="429"/>
      <c r="X50" s="429"/>
      <c r="Y50" s="429"/>
      <c r="Z50" s="429"/>
      <c r="AA50" s="429"/>
      <c r="AB50" s="430"/>
      <c r="AC50" s="250">
        <f>SUM(AC48:AC49)</f>
        <v>1023.0698545454545</v>
      </c>
    </row>
    <row r="51" spans="4:29" ht="30" x14ac:dyDescent="0.25">
      <c r="D51" s="213" t="s">
        <v>418</v>
      </c>
      <c r="E51" s="213" t="s">
        <v>419</v>
      </c>
    </row>
    <row r="52" spans="4:29" x14ac:dyDescent="0.25">
      <c r="D52" s="8">
        <v>2015</v>
      </c>
      <c r="E52" s="325">
        <v>997.47581818181834</v>
      </c>
    </row>
    <row r="53" spans="4:29" x14ac:dyDescent="0.25">
      <c r="D53" s="8">
        <v>2016</v>
      </c>
      <c r="E53" s="325">
        <f>E52</f>
        <v>997.47581818181834</v>
      </c>
    </row>
    <row r="54" spans="4:29" x14ac:dyDescent="0.25">
      <c r="D54" s="8">
        <v>2017</v>
      </c>
      <c r="E54" s="325">
        <f t="shared" ref="E54:E63" si="0">E53</f>
        <v>997.47581818181834</v>
      </c>
    </row>
    <row r="55" spans="4:29" x14ac:dyDescent="0.25">
      <c r="D55" s="8">
        <v>2018</v>
      </c>
      <c r="E55" s="325">
        <f t="shared" si="0"/>
        <v>997.47581818181834</v>
      </c>
    </row>
    <row r="56" spans="4:29" x14ac:dyDescent="0.25">
      <c r="D56" s="8">
        <v>2019</v>
      </c>
      <c r="E56" s="325">
        <f t="shared" si="0"/>
        <v>997.47581818181834</v>
      </c>
      <c r="L56">
        <f>676/16</f>
        <v>42.25</v>
      </c>
    </row>
    <row r="57" spans="4:29" x14ac:dyDescent="0.25">
      <c r="D57" s="8">
        <v>2020</v>
      </c>
      <c r="E57" s="325">
        <f t="shared" si="0"/>
        <v>997.47581818181834</v>
      </c>
    </row>
    <row r="58" spans="4:29" x14ac:dyDescent="0.25">
      <c r="D58" s="8">
        <v>2021</v>
      </c>
      <c r="E58" s="325">
        <f t="shared" si="0"/>
        <v>997.47581818181834</v>
      </c>
    </row>
    <row r="59" spans="4:29" x14ac:dyDescent="0.25">
      <c r="D59" s="8">
        <v>2022</v>
      </c>
      <c r="E59" s="325">
        <f t="shared" si="0"/>
        <v>997.47581818181834</v>
      </c>
    </row>
    <row r="60" spans="4:29" x14ac:dyDescent="0.25">
      <c r="D60" s="8">
        <v>2023</v>
      </c>
      <c r="E60" s="325">
        <f t="shared" si="0"/>
        <v>997.47581818181834</v>
      </c>
    </row>
    <row r="61" spans="4:29" x14ac:dyDescent="0.25">
      <c r="D61" s="8">
        <v>2024</v>
      </c>
      <c r="E61" s="325">
        <f t="shared" si="0"/>
        <v>997.47581818181834</v>
      </c>
    </row>
    <row r="62" spans="4:29" x14ac:dyDescent="0.25">
      <c r="D62" s="8">
        <v>2025</v>
      </c>
      <c r="E62" s="325">
        <f t="shared" si="0"/>
        <v>997.47581818181834</v>
      </c>
    </row>
    <row r="63" spans="4:29" x14ac:dyDescent="0.25">
      <c r="D63" s="8">
        <v>2026</v>
      </c>
      <c r="E63" s="325">
        <f t="shared" si="0"/>
        <v>997.47581818181834</v>
      </c>
    </row>
    <row r="64" spans="4:29" x14ac:dyDescent="0.25">
      <c r="D64" s="8">
        <v>2027</v>
      </c>
      <c r="E64" s="8">
        <v>1023.0698545454545</v>
      </c>
    </row>
    <row r="65" spans="4:5" x14ac:dyDescent="0.25">
      <c r="D65" s="8">
        <v>2028</v>
      </c>
      <c r="E65" s="8">
        <v>1023.0698545454545</v>
      </c>
    </row>
    <row r="66" spans="4:5" x14ac:dyDescent="0.25">
      <c r="D66" s="8">
        <v>2029</v>
      </c>
      <c r="E66" s="8">
        <v>1023.0698545454545</v>
      </c>
    </row>
    <row r="67" spans="4:5" x14ac:dyDescent="0.25">
      <c r="D67" s="8">
        <v>2030</v>
      </c>
      <c r="E67" s="8">
        <v>1023.0698545454545</v>
      </c>
    </row>
    <row r="68" spans="4:5" x14ac:dyDescent="0.25">
      <c r="E68" s="325">
        <f>SUM(E52:E67)</f>
        <v>16061.989236363634</v>
      </c>
    </row>
  </sheetData>
  <mergeCells count="39">
    <mergeCell ref="B41:K41"/>
    <mergeCell ref="J35:J36"/>
    <mergeCell ref="G38:G40"/>
    <mergeCell ref="F35:F36"/>
    <mergeCell ref="T5:T16"/>
    <mergeCell ref="T18:T22"/>
    <mergeCell ref="K35:K36"/>
    <mergeCell ref="L35:L36"/>
    <mergeCell ref="B35:B36"/>
    <mergeCell ref="D35:D36"/>
    <mergeCell ref="H35:I35"/>
    <mergeCell ref="G35:G36"/>
    <mergeCell ref="C35:C36"/>
    <mergeCell ref="E35:E36"/>
    <mergeCell ref="A34:L34"/>
    <mergeCell ref="S35:S36"/>
    <mergeCell ref="T35:T36"/>
    <mergeCell ref="U35:U36"/>
    <mergeCell ref="V35:V36"/>
    <mergeCell ref="W35:W36"/>
    <mergeCell ref="X35:X36"/>
    <mergeCell ref="Y35:Z35"/>
    <mergeCell ref="AA35:AA36"/>
    <mergeCell ref="AB35:AB36"/>
    <mergeCell ref="AC35:AC36"/>
    <mergeCell ref="X38:X40"/>
    <mergeCell ref="AC44:AC45"/>
    <mergeCell ref="X47:X49"/>
    <mergeCell ref="S50:AB50"/>
    <mergeCell ref="S41:AB41"/>
    <mergeCell ref="S44:S45"/>
    <mergeCell ref="T44:T45"/>
    <mergeCell ref="U44:U45"/>
    <mergeCell ref="V44:V45"/>
    <mergeCell ref="W44:W45"/>
    <mergeCell ref="X44:X45"/>
    <mergeCell ref="Y44:Z44"/>
    <mergeCell ref="AA44:AA45"/>
    <mergeCell ref="AB44:AB45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5"/>
  <sheetViews>
    <sheetView zoomScale="55" zoomScaleNormal="55" workbookViewId="0">
      <selection activeCell="F31" sqref="F31"/>
    </sheetView>
  </sheetViews>
  <sheetFormatPr defaultRowHeight="15" x14ac:dyDescent="0.25"/>
  <cols>
    <col min="1" max="1" width="24.42578125" style="210" customWidth="1"/>
    <col min="2" max="2" width="18.5703125" style="210" customWidth="1"/>
    <col min="3" max="3" width="29" style="210" bestFit="1" customWidth="1"/>
    <col min="4" max="4" width="24" style="210" bestFit="1" customWidth="1"/>
    <col min="5" max="6" width="24" style="210" customWidth="1"/>
    <col min="7" max="7" width="22.85546875" style="210" bestFit="1" customWidth="1"/>
    <col min="8" max="8" width="22" style="210" bestFit="1" customWidth="1"/>
    <col min="9" max="9" width="24.140625" style="210" customWidth="1"/>
    <col min="10" max="10" width="29.7109375" style="210" bestFit="1" customWidth="1"/>
    <col min="11" max="11" width="17.42578125" style="210" customWidth="1"/>
    <col min="12" max="12" width="25.5703125" style="210" customWidth="1"/>
    <col min="13" max="256" width="9.140625" style="210"/>
    <col min="257" max="257" width="24.42578125" style="210" customWidth="1"/>
    <col min="258" max="258" width="18.5703125" style="210" customWidth="1"/>
    <col min="259" max="259" width="29" style="210" bestFit="1" customWidth="1"/>
    <col min="260" max="260" width="24" style="210" bestFit="1" customWidth="1"/>
    <col min="261" max="262" width="24" style="210" customWidth="1"/>
    <col min="263" max="263" width="22.85546875" style="210" bestFit="1" customWidth="1"/>
    <col min="264" max="264" width="22" style="210" bestFit="1" customWidth="1"/>
    <col min="265" max="265" width="24.140625" style="210" customWidth="1"/>
    <col min="266" max="266" width="29.7109375" style="210" bestFit="1" customWidth="1"/>
    <col min="267" max="267" width="17.42578125" style="210" customWidth="1"/>
    <col min="268" max="268" width="25.5703125" style="210" customWidth="1"/>
    <col min="269" max="512" width="9.140625" style="210"/>
    <col min="513" max="513" width="24.42578125" style="210" customWidth="1"/>
    <col min="514" max="514" width="18.5703125" style="210" customWidth="1"/>
    <col min="515" max="515" width="29" style="210" bestFit="1" customWidth="1"/>
    <col min="516" max="516" width="24" style="210" bestFit="1" customWidth="1"/>
    <col min="517" max="518" width="24" style="210" customWidth="1"/>
    <col min="519" max="519" width="22.85546875" style="210" bestFit="1" customWidth="1"/>
    <col min="520" max="520" width="22" style="210" bestFit="1" customWidth="1"/>
    <col min="521" max="521" width="24.140625" style="210" customWidth="1"/>
    <col min="522" max="522" width="29.7109375" style="210" bestFit="1" customWidth="1"/>
    <col min="523" max="523" width="17.42578125" style="210" customWidth="1"/>
    <col min="524" max="524" width="25.5703125" style="210" customWidth="1"/>
    <col min="525" max="768" width="9.140625" style="210"/>
    <col min="769" max="769" width="24.42578125" style="210" customWidth="1"/>
    <col min="770" max="770" width="18.5703125" style="210" customWidth="1"/>
    <col min="771" max="771" width="29" style="210" bestFit="1" customWidth="1"/>
    <col min="772" max="772" width="24" style="210" bestFit="1" customWidth="1"/>
    <col min="773" max="774" width="24" style="210" customWidth="1"/>
    <col min="775" max="775" width="22.85546875" style="210" bestFit="1" customWidth="1"/>
    <col min="776" max="776" width="22" style="210" bestFit="1" customWidth="1"/>
    <col min="777" max="777" width="24.140625" style="210" customWidth="1"/>
    <col min="778" max="778" width="29.7109375" style="210" bestFit="1" customWidth="1"/>
    <col min="779" max="779" width="17.42578125" style="210" customWidth="1"/>
    <col min="780" max="780" width="25.5703125" style="210" customWidth="1"/>
    <col min="781" max="1024" width="9.140625" style="210"/>
    <col min="1025" max="1025" width="24.42578125" style="210" customWidth="1"/>
    <col min="1026" max="1026" width="18.5703125" style="210" customWidth="1"/>
    <col min="1027" max="1027" width="29" style="210" bestFit="1" customWidth="1"/>
    <col min="1028" max="1028" width="24" style="210" bestFit="1" customWidth="1"/>
    <col min="1029" max="1030" width="24" style="210" customWidth="1"/>
    <col min="1031" max="1031" width="22.85546875" style="210" bestFit="1" customWidth="1"/>
    <col min="1032" max="1032" width="22" style="210" bestFit="1" customWidth="1"/>
    <col min="1033" max="1033" width="24.140625" style="210" customWidth="1"/>
    <col min="1034" max="1034" width="29.7109375" style="210" bestFit="1" customWidth="1"/>
    <col min="1035" max="1035" width="17.42578125" style="210" customWidth="1"/>
    <col min="1036" max="1036" width="25.5703125" style="210" customWidth="1"/>
    <col min="1037" max="1280" width="9.140625" style="210"/>
    <col min="1281" max="1281" width="24.42578125" style="210" customWidth="1"/>
    <col min="1282" max="1282" width="18.5703125" style="210" customWidth="1"/>
    <col min="1283" max="1283" width="29" style="210" bestFit="1" customWidth="1"/>
    <col min="1284" max="1284" width="24" style="210" bestFit="1" customWidth="1"/>
    <col min="1285" max="1286" width="24" style="210" customWidth="1"/>
    <col min="1287" max="1287" width="22.85546875" style="210" bestFit="1" customWidth="1"/>
    <col min="1288" max="1288" width="22" style="210" bestFit="1" customWidth="1"/>
    <col min="1289" max="1289" width="24.140625" style="210" customWidth="1"/>
    <col min="1290" max="1290" width="29.7109375" style="210" bestFit="1" customWidth="1"/>
    <col min="1291" max="1291" width="17.42578125" style="210" customWidth="1"/>
    <col min="1292" max="1292" width="25.5703125" style="210" customWidth="1"/>
    <col min="1293" max="1536" width="9.140625" style="210"/>
    <col min="1537" max="1537" width="24.42578125" style="210" customWidth="1"/>
    <col min="1538" max="1538" width="18.5703125" style="210" customWidth="1"/>
    <col min="1539" max="1539" width="29" style="210" bestFit="1" customWidth="1"/>
    <col min="1540" max="1540" width="24" style="210" bestFit="1" customWidth="1"/>
    <col min="1541" max="1542" width="24" style="210" customWidth="1"/>
    <col min="1543" max="1543" width="22.85546875" style="210" bestFit="1" customWidth="1"/>
    <col min="1544" max="1544" width="22" style="210" bestFit="1" customWidth="1"/>
    <col min="1545" max="1545" width="24.140625" style="210" customWidth="1"/>
    <col min="1546" max="1546" width="29.7109375" style="210" bestFit="1" customWidth="1"/>
    <col min="1547" max="1547" width="17.42578125" style="210" customWidth="1"/>
    <col min="1548" max="1548" width="25.5703125" style="210" customWidth="1"/>
    <col min="1549" max="1792" width="9.140625" style="210"/>
    <col min="1793" max="1793" width="24.42578125" style="210" customWidth="1"/>
    <col min="1794" max="1794" width="18.5703125" style="210" customWidth="1"/>
    <col min="1795" max="1795" width="29" style="210" bestFit="1" customWidth="1"/>
    <col min="1796" max="1796" width="24" style="210" bestFit="1" customWidth="1"/>
    <col min="1797" max="1798" width="24" style="210" customWidth="1"/>
    <col min="1799" max="1799" width="22.85546875" style="210" bestFit="1" customWidth="1"/>
    <col min="1800" max="1800" width="22" style="210" bestFit="1" customWidth="1"/>
    <col min="1801" max="1801" width="24.140625" style="210" customWidth="1"/>
    <col min="1802" max="1802" width="29.7109375" style="210" bestFit="1" customWidth="1"/>
    <col min="1803" max="1803" width="17.42578125" style="210" customWidth="1"/>
    <col min="1804" max="1804" width="25.5703125" style="210" customWidth="1"/>
    <col min="1805" max="2048" width="9.140625" style="210"/>
    <col min="2049" max="2049" width="24.42578125" style="210" customWidth="1"/>
    <col min="2050" max="2050" width="18.5703125" style="210" customWidth="1"/>
    <col min="2051" max="2051" width="29" style="210" bestFit="1" customWidth="1"/>
    <col min="2052" max="2052" width="24" style="210" bestFit="1" customWidth="1"/>
    <col min="2053" max="2054" width="24" style="210" customWidth="1"/>
    <col min="2055" max="2055" width="22.85546875" style="210" bestFit="1" customWidth="1"/>
    <col min="2056" max="2056" width="22" style="210" bestFit="1" customWidth="1"/>
    <col min="2057" max="2057" width="24.140625" style="210" customWidth="1"/>
    <col min="2058" max="2058" width="29.7109375" style="210" bestFit="1" customWidth="1"/>
    <col min="2059" max="2059" width="17.42578125" style="210" customWidth="1"/>
    <col min="2060" max="2060" width="25.5703125" style="210" customWidth="1"/>
    <col min="2061" max="2304" width="9.140625" style="210"/>
    <col min="2305" max="2305" width="24.42578125" style="210" customWidth="1"/>
    <col min="2306" max="2306" width="18.5703125" style="210" customWidth="1"/>
    <col min="2307" max="2307" width="29" style="210" bestFit="1" customWidth="1"/>
    <col min="2308" max="2308" width="24" style="210" bestFit="1" customWidth="1"/>
    <col min="2309" max="2310" width="24" style="210" customWidth="1"/>
    <col min="2311" max="2311" width="22.85546875" style="210" bestFit="1" customWidth="1"/>
    <col min="2312" max="2312" width="22" style="210" bestFit="1" customWidth="1"/>
    <col min="2313" max="2313" width="24.140625" style="210" customWidth="1"/>
    <col min="2314" max="2314" width="29.7109375" style="210" bestFit="1" customWidth="1"/>
    <col min="2315" max="2315" width="17.42578125" style="210" customWidth="1"/>
    <col min="2316" max="2316" width="25.5703125" style="210" customWidth="1"/>
    <col min="2317" max="2560" width="9.140625" style="210"/>
    <col min="2561" max="2561" width="24.42578125" style="210" customWidth="1"/>
    <col min="2562" max="2562" width="18.5703125" style="210" customWidth="1"/>
    <col min="2563" max="2563" width="29" style="210" bestFit="1" customWidth="1"/>
    <col min="2564" max="2564" width="24" style="210" bestFit="1" customWidth="1"/>
    <col min="2565" max="2566" width="24" style="210" customWidth="1"/>
    <col min="2567" max="2567" width="22.85546875" style="210" bestFit="1" customWidth="1"/>
    <col min="2568" max="2568" width="22" style="210" bestFit="1" customWidth="1"/>
    <col min="2569" max="2569" width="24.140625" style="210" customWidth="1"/>
    <col min="2570" max="2570" width="29.7109375" style="210" bestFit="1" customWidth="1"/>
    <col min="2571" max="2571" width="17.42578125" style="210" customWidth="1"/>
    <col min="2572" max="2572" width="25.5703125" style="210" customWidth="1"/>
    <col min="2573" max="2816" width="9.140625" style="210"/>
    <col min="2817" max="2817" width="24.42578125" style="210" customWidth="1"/>
    <col min="2818" max="2818" width="18.5703125" style="210" customWidth="1"/>
    <col min="2819" max="2819" width="29" style="210" bestFit="1" customWidth="1"/>
    <col min="2820" max="2820" width="24" style="210" bestFit="1" customWidth="1"/>
    <col min="2821" max="2822" width="24" style="210" customWidth="1"/>
    <col min="2823" max="2823" width="22.85546875" style="210" bestFit="1" customWidth="1"/>
    <col min="2824" max="2824" width="22" style="210" bestFit="1" customWidth="1"/>
    <col min="2825" max="2825" width="24.140625" style="210" customWidth="1"/>
    <col min="2826" max="2826" width="29.7109375" style="210" bestFit="1" customWidth="1"/>
    <col min="2827" max="2827" width="17.42578125" style="210" customWidth="1"/>
    <col min="2828" max="2828" width="25.5703125" style="210" customWidth="1"/>
    <col min="2829" max="3072" width="9.140625" style="210"/>
    <col min="3073" max="3073" width="24.42578125" style="210" customWidth="1"/>
    <col min="3074" max="3074" width="18.5703125" style="210" customWidth="1"/>
    <col min="3075" max="3075" width="29" style="210" bestFit="1" customWidth="1"/>
    <col min="3076" max="3076" width="24" style="210" bestFit="1" customWidth="1"/>
    <col min="3077" max="3078" width="24" style="210" customWidth="1"/>
    <col min="3079" max="3079" width="22.85546875" style="210" bestFit="1" customWidth="1"/>
    <col min="3080" max="3080" width="22" style="210" bestFit="1" customWidth="1"/>
    <col min="3081" max="3081" width="24.140625" style="210" customWidth="1"/>
    <col min="3082" max="3082" width="29.7109375" style="210" bestFit="1" customWidth="1"/>
    <col min="3083" max="3083" width="17.42578125" style="210" customWidth="1"/>
    <col min="3084" max="3084" width="25.5703125" style="210" customWidth="1"/>
    <col min="3085" max="3328" width="9.140625" style="210"/>
    <col min="3329" max="3329" width="24.42578125" style="210" customWidth="1"/>
    <col min="3330" max="3330" width="18.5703125" style="210" customWidth="1"/>
    <col min="3331" max="3331" width="29" style="210" bestFit="1" customWidth="1"/>
    <col min="3332" max="3332" width="24" style="210" bestFit="1" customWidth="1"/>
    <col min="3333" max="3334" width="24" style="210" customWidth="1"/>
    <col min="3335" max="3335" width="22.85546875" style="210" bestFit="1" customWidth="1"/>
    <col min="3336" max="3336" width="22" style="210" bestFit="1" customWidth="1"/>
    <col min="3337" max="3337" width="24.140625" style="210" customWidth="1"/>
    <col min="3338" max="3338" width="29.7109375" style="210" bestFit="1" customWidth="1"/>
    <col min="3339" max="3339" width="17.42578125" style="210" customWidth="1"/>
    <col min="3340" max="3340" width="25.5703125" style="210" customWidth="1"/>
    <col min="3341" max="3584" width="9.140625" style="210"/>
    <col min="3585" max="3585" width="24.42578125" style="210" customWidth="1"/>
    <col min="3586" max="3586" width="18.5703125" style="210" customWidth="1"/>
    <col min="3587" max="3587" width="29" style="210" bestFit="1" customWidth="1"/>
    <col min="3588" max="3588" width="24" style="210" bestFit="1" customWidth="1"/>
    <col min="3589" max="3590" width="24" style="210" customWidth="1"/>
    <col min="3591" max="3591" width="22.85546875" style="210" bestFit="1" customWidth="1"/>
    <col min="3592" max="3592" width="22" style="210" bestFit="1" customWidth="1"/>
    <col min="3593" max="3593" width="24.140625" style="210" customWidth="1"/>
    <col min="3594" max="3594" width="29.7109375" style="210" bestFit="1" customWidth="1"/>
    <col min="3595" max="3595" width="17.42578125" style="210" customWidth="1"/>
    <col min="3596" max="3596" width="25.5703125" style="210" customWidth="1"/>
    <col min="3597" max="3840" width="9.140625" style="210"/>
    <col min="3841" max="3841" width="24.42578125" style="210" customWidth="1"/>
    <col min="3842" max="3842" width="18.5703125" style="210" customWidth="1"/>
    <col min="3843" max="3843" width="29" style="210" bestFit="1" customWidth="1"/>
    <col min="3844" max="3844" width="24" style="210" bestFit="1" customWidth="1"/>
    <col min="3845" max="3846" width="24" style="210" customWidth="1"/>
    <col min="3847" max="3847" width="22.85546875" style="210" bestFit="1" customWidth="1"/>
    <col min="3848" max="3848" width="22" style="210" bestFit="1" customWidth="1"/>
    <col min="3849" max="3849" width="24.140625" style="210" customWidth="1"/>
    <col min="3850" max="3850" width="29.7109375" style="210" bestFit="1" customWidth="1"/>
    <col min="3851" max="3851" width="17.42578125" style="210" customWidth="1"/>
    <col min="3852" max="3852" width="25.5703125" style="210" customWidth="1"/>
    <col min="3853" max="4096" width="9.140625" style="210"/>
    <col min="4097" max="4097" width="24.42578125" style="210" customWidth="1"/>
    <col min="4098" max="4098" width="18.5703125" style="210" customWidth="1"/>
    <col min="4099" max="4099" width="29" style="210" bestFit="1" customWidth="1"/>
    <col min="4100" max="4100" width="24" style="210" bestFit="1" customWidth="1"/>
    <col min="4101" max="4102" width="24" style="210" customWidth="1"/>
    <col min="4103" max="4103" width="22.85546875" style="210" bestFit="1" customWidth="1"/>
    <col min="4104" max="4104" width="22" style="210" bestFit="1" customWidth="1"/>
    <col min="4105" max="4105" width="24.140625" style="210" customWidth="1"/>
    <col min="4106" max="4106" width="29.7109375" style="210" bestFit="1" customWidth="1"/>
    <col min="4107" max="4107" width="17.42578125" style="210" customWidth="1"/>
    <col min="4108" max="4108" width="25.5703125" style="210" customWidth="1"/>
    <col min="4109" max="4352" width="9.140625" style="210"/>
    <col min="4353" max="4353" width="24.42578125" style="210" customWidth="1"/>
    <col min="4354" max="4354" width="18.5703125" style="210" customWidth="1"/>
    <col min="4355" max="4355" width="29" style="210" bestFit="1" customWidth="1"/>
    <col min="4356" max="4356" width="24" style="210" bestFit="1" customWidth="1"/>
    <col min="4357" max="4358" width="24" style="210" customWidth="1"/>
    <col min="4359" max="4359" width="22.85546875" style="210" bestFit="1" customWidth="1"/>
    <col min="4360" max="4360" width="22" style="210" bestFit="1" customWidth="1"/>
    <col min="4361" max="4361" width="24.140625" style="210" customWidth="1"/>
    <col min="4362" max="4362" width="29.7109375" style="210" bestFit="1" customWidth="1"/>
    <col min="4363" max="4363" width="17.42578125" style="210" customWidth="1"/>
    <col min="4364" max="4364" width="25.5703125" style="210" customWidth="1"/>
    <col min="4365" max="4608" width="9.140625" style="210"/>
    <col min="4609" max="4609" width="24.42578125" style="210" customWidth="1"/>
    <col min="4610" max="4610" width="18.5703125" style="210" customWidth="1"/>
    <col min="4611" max="4611" width="29" style="210" bestFit="1" customWidth="1"/>
    <col min="4612" max="4612" width="24" style="210" bestFit="1" customWidth="1"/>
    <col min="4613" max="4614" width="24" style="210" customWidth="1"/>
    <col min="4615" max="4615" width="22.85546875" style="210" bestFit="1" customWidth="1"/>
    <col min="4616" max="4616" width="22" style="210" bestFit="1" customWidth="1"/>
    <col min="4617" max="4617" width="24.140625" style="210" customWidth="1"/>
    <col min="4618" max="4618" width="29.7109375" style="210" bestFit="1" customWidth="1"/>
    <col min="4619" max="4619" width="17.42578125" style="210" customWidth="1"/>
    <col min="4620" max="4620" width="25.5703125" style="210" customWidth="1"/>
    <col min="4621" max="4864" width="9.140625" style="210"/>
    <col min="4865" max="4865" width="24.42578125" style="210" customWidth="1"/>
    <col min="4866" max="4866" width="18.5703125" style="210" customWidth="1"/>
    <col min="4867" max="4867" width="29" style="210" bestFit="1" customWidth="1"/>
    <col min="4868" max="4868" width="24" style="210" bestFit="1" customWidth="1"/>
    <col min="4869" max="4870" width="24" style="210" customWidth="1"/>
    <col min="4871" max="4871" width="22.85546875" style="210" bestFit="1" customWidth="1"/>
    <col min="4872" max="4872" width="22" style="210" bestFit="1" customWidth="1"/>
    <col min="4873" max="4873" width="24.140625" style="210" customWidth="1"/>
    <col min="4874" max="4874" width="29.7109375" style="210" bestFit="1" customWidth="1"/>
    <col min="4875" max="4875" width="17.42578125" style="210" customWidth="1"/>
    <col min="4876" max="4876" width="25.5703125" style="210" customWidth="1"/>
    <col min="4877" max="5120" width="9.140625" style="210"/>
    <col min="5121" max="5121" width="24.42578125" style="210" customWidth="1"/>
    <col min="5122" max="5122" width="18.5703125" style="210" customWidth="1"/>
    <col min="5123" max="5123" width="29" style="210" bestFit="1" customWidth="1"/>
    <col min="5124" max="5124" width="24" style="210" bestFit="1" customWidth="1"/>
    <col min="5125" max="5126" width="24" style="210" customWidth="1"/>
    <col min="5127" max="5127" width="22.85546875" style="210" bestFit="1" customWidth="1"/>
    <col min="5128" max="5128" width="22" style="210" bestFit="1" customWidth="1"/>
    <col min="5129" max="5129" width="24.140625" style="210" customWidth="1"/>
    <col min="5130" max="5130" width="29.7109375" style="210" bestFit="1" customWidth="1"/>
    <col min="5131" max="5131" width="17.42578125" style="210" customWidth="1"/>
    <col min="5132" max="5132" width="25.5703125" style="210" customWidth="1"/>
    <col min="5133" max="5376" width="9.140625" style="210"/>
    <col min="5377" max="5377" width="24.42578125" style="210" customWidth="1"/>
    <col min="5378" max="5378" width="18.5703125" style="210" customWidth="1"/>
    <col min="5379" max="5379" width="29" style="210" bestFit="1" customWidth="1"/>
    <col min="5380" max="5380" width="24" style="210" bestFit="1" customWidth="1"/>
    <col min="5381" max="5382" width="24" style="210" customWidth="1"/>
    <col min="5383" max="5383" width="22.85546875" style="210" bestFit="1" customWidth="1"/>
    <col min="5384" max="5384" width="22" style="210" bestFit="1" customWidth="1"/>
    <col min="5385" max="5385" width="24.140625" style="210" customWidth="1"/>
    <col min="5386" max="5386" width="29.7109375" style="210" bestFit="1" customWidth="1"/>
    <col min="5387" max="5387" width="17.42578125" style="210" customWidth="1"/>
    <col min="5388" max="5388" width="25.5703125" style="210" customWidth="1"/>
    <col min="5389" max="5632" width="9.140625" style="210"/>
    <col min="5633" max="5633" width="24.42578125" style="210" customWidth="1"/>
    <col min="5634" max="5634" width="18.5703125" style="210" customWidth="1"/>
    <col min="5635" max="5635" width="29" style="210" bestFit="1" customWidth="1"/>
    <col min="5636" max="5636" width="24" style="210" bestFit="1" customWidth="1"/>
    <col min="5637" max="5638" width="24" style="210" customWidth="1"/>
    <col min="5639" max="5639" width="22.85546875" style="210" bestFit="1" customWidth="1"/>
    <col min="5640" max="5640" width="22" style="210" bestFit="1" customWidth="1"/>
    <col min="5641" max="5641" width="24.140625" style="210" customWidth="1"/>
    <col min="5642" max="5642" width="29.7109375" style="210" bestFit="1" customWidth="1"/>
    <col min="5643" max="5643" width="17.42578125" style="210" customWidth="1"/>
    <col min="5644" max="5644" width="25.5703125" style="210" customWidth="1"/>
    <col min="5645" max="5888" width="9.140625" style="210"/>
    <col min="5889" max="5889" width="24.42578125" style="210" customWidth="1"/>
    <col min="5890" max="5890" width="18.5703125" style="210" customWidth="1"/>
    <col min="5891" max="5891" width="29" style="210" bestFit="1" customWidth="1"/>
    <col min="5892" max="5892" width="24" style="210" bestFit="1" customWidth="1"/>
    <col min="5893" max="5894" width="24" style="210" customWidth="1"/>
    <col min="5895" max="5895" width="22.85546875" style="210" bestFit="1" customWidth="1"/>
    <col min="5896" max="5896" width="22" style="210" bestFit="1" customWidth="1"/>
    <col min="5897" max="5897" width="24.140625" style="210" customWidth="1"/>
    <col min="5898" max="5898" width="29.7109375" style="210" bestFit="1" customWidth="1"/>
    <col min="5899" max="5899" width="17.42578125" style="210" customWidth="1"/>
    <col min="5900" max="5900" width="25.5703125" style="210" customWidth="1"/>
    <col min="5901" max="6144" width="9.140625" style="210"/>
    <col min="6145" max="6145" width="24.42578125" style="210" customWidth="1"/>
    <col min="6146" max="6146" width="18.5703125" style="210" customWidth="1"/>
    <col min="6147" max="6147" width="29" style="210" bestFit="1" customWidth="1"/>
    <col min="6148" max="6148" width="24" style="210" bestFit="1" customWidth="1"/>
    <col min="6149" max="6150" width="24" style="210" customWidth="1"/>
    <col min="6151" max="6151" width="22.85546875" style="210" bestFit="1" customWidth="1"/>
    <col min="6152" max="6152" width="22" style="210" bestFit="1" customWidth="1"/>
    <col min="6153" max="6153" width="24.140625" style="210" customWidth="1"/>
    <col min="6154" max="6154" width="29.7109375" style="210" bestFit="1" customWidth="1"/>
    <col min="6155" max="6155" width="17.42578125" style="210" customWidth="1"/>
    <col min="6156" max="6156" width="25.5703125" style="210" customWidth="1"/>
    <col min="6157" max="6400" width="9.140625" style="210"/>
    <col min="6401" max="6401" width="24.42578125" style="210" customWidth="1"/>
    <col min="6402" max="6402" width="18.5703125" style="210" customWidth="1"/>
    <col min="6403" max="6403" width="29" style="210" bestFit="1" customWidth="1"/>
    <col min="6404" max="6404" width="24" style="210" bestFit="1" customWidth="1"/>
    <col min="6405" max="6406" width="24" style="210" customWidth="1"/>
    <col min="6407" max="6407" width="22.85546875" style="210" bestFit="1" customWidth="1"/>
    <col min="6408" max="6408" width="22" style="210" bestFit="1" customWidth="1"/>
    <col min="6409" max="6409" width="24.140625" style="210" customWidth="1"/>
    <col min="6410" max="6410" width="29.7109375" style="210" bestFit="1" customWidth="1"/>
    <col min="6411" max="6411" width="17.42578125" style="210" customWidth="1"/>
    <col min="6412" max="6412" width="25.5703125" style="210" customWidth="1"/>
    <col min="6413" max="6656" width="9.140625" style="210"/>
    <col min="6657" max="6657" width="24.42578125" style="210" customWidth="1"/>
    <col min="6658" max="6658" width="18.5703125" style="210" customWidth="1"/>
    <col min="6659" max="6659" width="29" style="210" bestFit="1" customWidth="1"/>
    <col min="6660" max="6660" width="24" style="210" bestFit="1" customWidth="1"/>
    <col min="6661" max="6662" width="24" style="210" customWidth="1"/>
    <col min="6663" max="6663" width="22.85546875" style="210" bestFit="1" customWidth="1"/>
    <col min="6664" max="6664" width="22" style="210" bestFit="1" customWidth="1"/>
    <col min="6665" max="6665" width="24.140625" style="210" customWidth="1"/>
    <col min="6666" max="6666" width="29.7109375" style="210" bestFit="1" customWidth="1"/>
    <col min="6667" max="6667" width="17.42578125" style="210" customWidth="1"/>
    <col min="6668" max="6668" width="25.5703125" style="210" customWidth="1"/>
    <col min="6669" max="6912" width="9.140625" style="210"/>
    <col min="6913" max="6913" width="24.42578125" style="210" customWidth="1"/>
    <col min="6914" max="6914" width="18.5703125" style="210" customWidth="1"/>
    <col min="6915" max="6915" width="29" style="210" bestFit="1" customWidth="1"/>
    <col min="6916" max="6916" width="24" style="210" bestFit="1" customWidth="1"/>
    <col min="6917" max="6918" width="24" style="210" customWidth="1"/>
    <col min="6919" max="6919" width="22.85546875" style="210" bestFit="1" customWidth="1"/>
    <col min="6920" max="6920" width="22" style="210" bestFit="1" customWidth="1"/>
    <col min="6921" max="6921" width="24.140625" style="210" customWidth="1"/>
    <col min="6922" max="6922" width="29.7109375" style="210" bestFit="1" customWidth="1"/>
    <col min="6923" max="6923" width="17.42578125" style="210" customWidth="1"/>
    <col min="6924" max="6924" width="25.5703125" style="210" customWidth="1"/>
    <col min="6925" max="7168" width="9.140625" style="210"/>
    <col min="7169" max="7169" width="24.42578125" style="210" customWidth="1"/>
    <col min="7170" max="7170" width="18.5703125" style="210" customWidth="1"/>
    <col min="7171" max="7171" width="29" style="210" bestFit="1" customWidth="1"/>
    <col min="7172" max="7172" width="24" style="210" bestFit="1" customWidth="1"/>
    <col min="7173" max="7174" width="24" style="210" customWidth="1"/>
    <col min="7175" max="7175" width="22.85546875" style="210" bestFit="1" customWidth="1"/>
    <col min="7176" max="7176" width="22" style="210" bestFit="1" customWidth="1"/>
    <col min="7177" max="7177" width="24.140625" style="210" customWidth="1"/>
    <col min="7178" max="7178" width="29.7109375" style="210" bestFit="1" customWidth="1"/>
    <col min="7179" max="7179" width="17.42578125" style="210" customWidth="1"/>
    <col min="7180" max="7180" width="25.5703125" style="210" customWidth="1"/>
    <col min="7181" max="7424" width="9.140625" style="210"/>
    <col min="7425" max="7425" width="24.42578125" style="210" customWidth="1"/>
    <col min="7426" max="7426" width="18.5703125" style="210" customWidth="1"/>
    <col min="7427" max="7427" width="29" style="210" bestFit="1" customWidth="1"/>
    <col min="7428" max="7428" width="24" style="210" bestFit="1" customWidth="1"/>
    <col min="7429" max="7430" width="24" style="210" customWidth="1"/>
    <col min="7431" max="7431" width="22.85546875" style="210" bestFit="1" customWidth="1"/>
    <col min="7432" max="7432" width="22" style="210" bestFit="1" customWidth="1"/>
    <col min="7433" max="7433" width="24.140625" style="210" customWidth="1"/>
    <col min="7434" max="7434" width="29.7109375" style="210" bestFit="1" customWidth="1"/>
    <col min="7435" max="7435" width="17.42578125" style="210" customWidth="1"/>
    <col min="7436" max="7436" width="25.5703125" style="210" customWidth="1"/>
    <col min="7437" max="7680" width="9.140625" style="210"/>
    <col min="7681" max="7681" width="24.42578125" style="210" customWidth="1"/>
    <col min="7682" max="7682" width="18.5703125" style="210" customWidth="1"/>
    <col min="7683" max="7683" width="29" style="210" bestFit="1" customWidth="1"/>
    <col min="7684" max="7684" width="24" style="210" bestFit="1" customWidth="1"/>
    <col min="7685" max="7686" width="24" style="210" customWidth="1"/>
    <col min="7687" max="7687" width="22.85546875" style="210" bestFit="1" customWidth="1"/>
    <col min="7688" max="7688" width="22" style="210" bestFit="1" customWidth="1"/>
    <col min="7689" max="7689" width="24.140625" style="210" customWidth="1"/>
    <col min="7690" max="7690" width="29.7109375" style="210" bestFit="1" customWidth="1"/>
    <col min="7691" max="7691" width="17.42578125" style="210" customWidth="1"/>
    <col min="7692" max="7692" width="25.5703125" style="210" customWidth="1"/>
    <col min="7693" max="7936" width="9.140625" style="210"/>
    <col min="7937" max="7937" width="24.42578125" style="210" customWidth="1"/>
    <col min="7938" max="7938" width="18.5703125" style="210" customWidth="1"/>
    <col min="7939" max="7939" width="29" style="210" bestFit="1" customWidth="1"/>
    <col min="7940" max="7940" width="24" style="210" bestFit="1" customWidth="1"/>
    <col min="7941" max="7942" width="24" style="210" customWidth="1"/>
    <col min="7943" max="7943" width="22.85546875" style="210" bestFit="1" customWidth="1"/>
    <col min="7944" max="7944" width="22" style="210" bestFit="1" customWidth="1"/>
    <col min="7945" max="7945" width="24.140625" style="210" customWidth="1"/>
    <col min="7946" max="7946" width="29.7109375" style="210" bestFit="1" customWidth="1"/>
    <col min="7947" max="7947" width="17.42578125" style="210" customWidth="1"/>
    <col min="7948" max="7948" width="25.5703125" style="210" customWidth="1"/>
    <col min="7949" max="8192" width="9.140625" style="210"/>
    <col min="8193" max="8193" width="24.42578125" style="210" customWidth="1"/>
    <col min="8194" max="8194" width="18.5703125" style="210" customWidth="1"/>
    <col min="8195" max="8195" width="29" style="210" bestFit="1" customWidth="1"/>
    <col min="8196" max="8196" width="24" style="210" bestFit="1" customWidth="1"/>
    <col min="8197" max="8198" width="24" style="210" customWidth="1"/>
    <col min="8199" max="8199" width="22.85546875" style="210" bestFit="1" customWidth="1"/>
    <col min="8200" max="8200" width="22" style="210" bestFit="1" customWidth="1"/>
    <col min="8201" max="8201" width="24.140625" style="210" customWidth="1"/>
    <col min="8202" max="8202" width="29.7109375" style="210" bestFit="1" customWidth="1"/>
    <col min="8203" max="8203" width="17.42578125" style="210" customWidth="1"/>
    <col min="8204" max="8204" width="25.5703125" style="210" customWidth="1"/>
    <col min="8205" max="8448" width="9.140625" style="210"/>
    <col min="8449" max="8449" width="24.42578125" style="210" customWidth="1"/>
    <col min="8450" max="8450" width="18.5703125" style="210" customWidth="1"/>
    <col min="8451" max="8451" width="29" style="210" bestFit="1" customWidth="1"/>
    <col min="8452" max="8452" width="24" style="210" bestFit="1" customWidth="1"/>
    <col min="8453" max="8454" width="24" style="210" customWidth="1"/>
    <col min="8455" max="8455" width="22.85546875" style="210" bestFit="1" customWidth="1"/>
    <col min="8456" max="8456" width="22" style="210" bestFit="1" customWidth="1"/>
    <col min="8457" max="8457" width="24.140625" style="210" customWidth="1"/>
    <col min="8458" max="8458" width="29.7109375" style="210" bestFit="1" customWidth="1"/>
    <col min="8459" max="8459" width="17.42578125" style="210" customWidth="1"/>
    <col min="8460" max="8460" width="25.5703125" style="210" customWidth="1"/>
    <col min="8461" max="8704" width="9.140625" style="210"/>
    <col min="8705" max="8705" width="24.42578125" style="210" customWidth="1"/>
    <col min="8706" max="8706" width="18.5703125" style="210" customWidth="1"/>
    <col min="8707" max="8707" width="29" style="210" bestFit="1" customWidth="1"/>
    <col min="8708" max="8708" width="24" style="210" bestFit="1" customWidth="1"/>
    <col min="8709" max="8710" width="24" style="210" customWidth="1"/>
    <col min="8711" max="8711" width="22.85546875" style="210" bestFit="1" customWidth="1"/>
    <col min="8712" max="8712" width="22" style="210" bestFit="1" customWidth="1"/>
    <col min="8713" max="8713" width="24.140625" style="210" customWidth="1"/>
    <col min="8714" max="8714" width="29.7109375" style="210" bestFit="1" customWidth="1"/>
    <col min="8715" max="8715" width="17.42578125" style="210" customWidth="1"/>
    <col min="8716" max="8716" width="25.5703125" style="210" customWidth="1"/>
    <col min="8717" max="8960" width="9.140625" style="210"/>
    <col min="8961" max="8961" width="24.42578125" style="210" customWidth="1"/>
    <col min="8962" max="8962" width="18.5703125" style="210" customWidth="1"/>
    <col min="8963" max="8963" width="29" style="210" bestFit="1" customWidth="1"/>
    <col min="8964" max="8964" width="24" style="210" bestFit="1" customWidth="1"/>
    <col min="8965" max="8966" width="24" style="210" customWidth="1"/>
    <col min="8967" max="8967" width="22.85546875" style="210" bestFit="1" customWidth="1"/>
    <col min="8968" max="8968" width="22" style="210" bestFit="1" customWidth="1"/>
    <col min="8969" max="8969" width="24.140625" style="210" customWidth="1"/>
    <col min="8970" max="8970" width="29.7109375" style="210" bestFit="1" customWidth="1"/>
    <col min="8971" max="8971" width="17.42578125" style="210" customWidth="1"/>
    <col min="8972" max="8972" width="25.5703125" style="210" customWidth="1"/>
    <col min="8973" max="9216" width="9.140625" style="210"/>
    <col min="9217" max="9217" width="24.42578125" style="210" customWidth="1"/>
    <col min="9218" max="9218" width="18.5703125" style="210" customWidth="1"/>
    <col min="9219" max="9219" width="29" style="210" bestFit="1" customWidth="1"/>
    <col min="9220" max="9220" width="24" style="210" bestFit="1" customWidth="1"/>
    <col min="9221" max="9222" width="24" style="210" customWidth="1"/>
    <col min="9223" max="9223" width="22.85546875" style="210" bestFit="1" customWidth="1"/>
    <col min="9224" max="9224" width="22" style="210" bestFit="1" customWidth="1"/>
    <col min="9225" max="9225" width="24.140625" style="210" customWidth="1"/>
    <col min="9226" max="9226" width="29.7109375" style="210" bestFit="1" customWidth="1"/>
    <col min="9227" max="9227" width="17.42578125" style="210" customWidth="1"/>
    <col min="9228" max="9228" width="25.5703125" style="210" customWidth="1"/>
    <col min="9229" max="9472" width="9.140625" style="210"/>
    <col min="9473" max="9473" width="24.42578125" style="210" customWidth="1"/>
    <col min="9474" max="9474" width="18.5703125" style="210" customWidth="1"/>
    <col min="9475" max="9475" width="29" style="210" bestFit="1" customWidth="1"/>
    <col min="9476" max="9476" width="24" style="210" bestFit="1" customWidth="1"/>
    <col min="9477" max="9478" width="24" style="210" customWidth="1"/>
    <col min="9479" max="9479" width="22.85546875" style="210" bestFit="1" customWidth="1"/>
    <col min="9480" max="9480" width="22" style="210" bestFit="1" customWidth="1"/>
    <col min="9481" max="9481" width="24.140625" style="210" customWidth="1"/>
    <col min="9482" max="9482" width="29.7109375" style="210" bestFit="1" customWidth="1"/>
    <col min="9483" max="9483" width="17.42578125" style="210" customWidth="1"/>
    <col min="9484" max="9484" width="25.5703125" style="210" customWidth="1"/>
    <col min="9485" max="9728" width="9.140625" style="210"/>
    <col min="9729" max="9729" width="24.42578125" style="210" customWidth="1"/>
    <col min="9730" max="9730" width="18.5703125" style="210" customWidth="1"/>
    <col min="9731" max="9731" width="29" style="210" bestFit="1" customWidth="1"/>
    <col min="9732" max="9732" width="24" style="210" bestFit="1" customWidth="1"/>
    <col min="9733" max="9734" width="24" style="210" customWidth="1"/>
    <col min="9735" max="9735" width="22.85546875" style="210" bestFit="1" customWidth="1"/>
    <col min="9736" max="9736" width="22" style="210" bestFit="1" customWidth="1"/>
    <col min="9737" max="9737" width="24.140625" style="210" customWidth="1"/>
    <col min="9738" max="9738" width="29.7109375" style="210" bestFit="1" customWidth="1"/>
    <col min="9739" max="9739" width="17.42578125" style="210" customWidth="1"/>
    <col min="9740" max="9740" width="25.5703125" style="210" customWidth="1"/>
    <col min="9741" max="9984" width="9.140625" style="210"/>
    <col min="9985" max="9985" width="24.42578125" style="210" customWidth="1"/>
    <col min="9986" max="9986" width="18.5703125" style="210" customWidth="1"/>
    <col min="9987" max="9987" width="29" style="210" bestFit="1" customWidth="1"/>
    <col min="9988" max="9988" width="24" style="210" bestFit="1" customWidth="1"/>
    <col min="9989" max="9990" width="24" style="210" customWidth="1"/>
    <col min="9991" max="9991" width="22.85546875" style="210" bestFit="1" customWidth="1"/>
    <col min="9992" max="9992" width="22" style="210" bestFit="1" customWidth="1"/>
    <col min="9993" max="9993" width="24.140625" style="210" customWidth="1"/>
    <col min="9994" max="9994" width="29.7109375" style="210" bestFit="1" customWidth="1"/>
    <col min="9995" max="9995" width="17.42578125" style="210" customWidth="1"/>
    <col min="9996" max="9996" width="25.5703125" style="210" customWidth="1"/>
    <col min="9997" max="10240" width="9.140625" style="210"/>
    <col min="10241" max="10241" width="24.42578125" style="210" customWidth="1"/>
    <col min="10242" max="10242" width="18.5703125" style="210" customWidth="1"/>
    <col min="10243" max="10243" width="29" style="210" bestFit="1" customWidth="1"/>
    <col min="10244" max="10244" width="24" style="210" bestFit="1" customWidth="1"/>
    <col min="10245" max="10246" width="24" style="210" customWidth="1"/>
    <col min="10247" max="10247" width="22.85546875" style="210" bestFit="1" customWidth="1"/>
    <col min="10248" max="10248" width="22" style="210" bestFit="1" customWidth="1"/>
    <col min="10249" max="10249" width="24.140625" style="210" customWidth="1"/>
    <col min="10250" max="10250" width="29.7109375" style="210" bestFit="1" customWidth="1"/>
    <col min="10251" max="10251" width="17.42578125" style="210" customWidth="1"/>
    <col min="10252" max="10252" width="25.5703125" style="210" customWidth="1"/>
    <col min="10253" max="10496" width="9.140625" style="210"/>
    <col min="10497" max="10497" width="24.42578125" style="210" customWidth="1"/>
    <col min="10498" max="10498" width="18.5703125" style="210" customWidth="1"/>
    <col min="10499" max="10499" width="29" style="210" bestFit="1" customWidth="1"/>
    <col min="10500" max="10500" width="24" style="210" bestFit="1" customWidth="1"/>
    <col min="10501" max="10502" width="24" style="210" customWidth="1"/>
    <col min="10503" max="10503" width="22.85546875" style="210" bestFit="1" customWidth="1"/>
    <col min="10504" max="10504" width="22" style="210" bestFit="1" customWidth="1"/>
    <col min="10505" max="10505" width="24.140625" style="210" customWidth="1"/>
    <col min="10506" max="10506" width="29.7109375" style="210" bestFit="1" customWidth="1"/>
    <col min="10507" max="10507" width="17.42578125" style="210" customWidth="1"/>
    <col min="10508" max="10508" width="25.5703125" style="210" customWidth="1"/>
    <col min="10509" max="10752" width="9.140625" style="210"/>
    <col min="10753" max="10753" width="24.42578125" style="210" customWidth="1"/>
    <col min="10754" max="10754" width="18.5703125" style="210" customWidth="1"/>
    <col min="10755" max="10755" width="29" style="210" bestFit="1" customWidth="1"/>
    <col min="10756" max="10756" width="24" style="210" bestFit="1" customWidth="1"/>
    <col min="10757" max="10758" width="24" style="210" customWidth="1"/>
    <col min="10759" max="10759" width="22.85546875" style="210" bestFit="1" customWidth="1"/>
    <col min="10760" max="10760" width="22" style="210" bestFit="1" customWidth="1"/>
    <col min="10761" max="10761" width="24.140625" style="210" customWidth="1"/>
    <col min="10762" max="10762" width="29.7109375" style="210" bestFit="1" customWidth="1"/>
    <col min="10763" max="10763" width="17.42578125" style="210" customWidth="1"/>
    <col min="10764" max="10764" width="25.5703125" style="210" customWidth="1"/>
    <col min="10765" max="11008" width="9.140625" style="210"/>
    <col min="11009" max="11009" width="24.42578125" style="210" customWidth="1"/>
    <col min="11010" max="11010" width="18.5703125" style="210" customWidth="1"/>
    <col min="11011" max="11011" width="29" style="210" bestFit="1" customWidth="1"/>
    <col min="11012" max="11012" width="24" style="210" bestFit="1" customWidth="1"/>
    <col min="11013" max="11014" width="24" style="210" customWidth="1"/>
    <col min="11015" max="11015" width="22.85546875" style="210" bestFit="1" customWidth="1"/>
    <col min="11016" max="11016" width="22" style="210" bestFit="1" customWidth="1"/>
    <col min="11017" max="11017" width="24.140625" style="210" customWidth="1"/>
    <col min="11018" max="11018" width="29.7109375" style="210" bestFit="1" customWidth="1"/>
    <col min="11019" max="11019" width="17.42578125" style="210" customWidth="1"/>
    <col min="11020" max="11020" width="25.5703125" style="210" customWidth="1"/>
    <col min="11021" max="11264" width="9.140625" style="210"/>
    <col min="11265" max="11265" width="24.42578125" style="210" customWidth="1"/>
    <col min="11266" max="11266" width="18.5703125" style="210" customWidth="1"/>
    <col min="11267" max="11267" width="29" style="210" bestFit="1" customWidth="1"/>
    <col min="11268" max="11268" width="24" style="210" bestFit="1" customWidth="1"/>
    <col min="11269" max="11270" width="24" style="210" customWidth="1"/>
    <col min="11271" max="11271" width="22.85546875" style="210" bestFit="1" customWidth="1"/>
    <col min="11272" max="11272" width="22" style="210" bestFit="1" customWidth="1"/>
    <col min="11273" max="11273" width="24.140625" style="210" customWidth="1"/>
    <col min="11274" max="11274" width="29.7109375" style="210" bestFit="1" customWidth="1"/>
    <col min="11275" max="11275" width="17.42578125" style="210" customWidth="1"/>
    <col min="11276" max="11276" width="25.5703125" style="210" customWidth="1"/>
    <col min="11277" max="11520" width="9.140625" style="210"/>
    <col min="11521" max="11521" width="24.42578125" style="210" customWidth="1"/>
    <col min="11522" max="11522" width="18.5703125" style="210" customWidth="1"/>
    <col min="11523" max="11523" width="29" style="210" bestFit="1" customWidth="1"/>
    <col min="11524" max="11524" width="24" style="210" bestFit="1" customWidth="1"/>
    <col min="11525" max="11526" width="24" style="210" customWidth="1"/>
    <col min="11527" max="11527" width="22.85546875" style="210" bestFit="1" customWidth="1"/>
    <col min="11528" max="11528" width="22" style="210" bestFit="1" customWidth="1"/>
    <col min="11529" max="11529" width="24.140625" style="210" customWidth="1"/>
    <col min="11530" max="11530" width="29.7109375" style="210" bestFit="1" customWidth="1"/>
    <col min="11531" max="11531" width="17.42578125" style="210" customWidth="1"/>
    <col min="11532" max="11532" width="25.5703125" style="210" customWidth="1"/>
    <col min="11533" max="11776" width="9.140625" style="210"/>
    <col min="11777" max="11777" width="24.42578125" style="210" customWidth="1"/>
    <col min="11778" max="11778" width="18.5703125" style="210" customWidth="1"/>
    <col min="11779" max="11779" width="29" style="210" bestFit="1" customWidth="1"/>
    <col min="11780" max="11780" width="24" style="210" bestFit="1" customWidth="1"/>
    <col min="11781" max="11782" width="24" style="210" customWidth="1"/>
    <col min="11783" max="11783" width="22.85546875" style="210" bestFit="1" customWidth="1"/>
    <col min="11784" max="11784" width="22" style="210" bestFit="1" customWidth="1"/>
    <col min="11785" max="11785" width="24.140625" style="210" customWidth="1"/>
    <col min="11786" max="11786" width="29.7109375" style="210" bestFit="1" customWidth="1"/>
    <col min="11787" max="11787" width="17.42578125" style="210" customWidth="1"/>
    <col min="11788" max="11788" width="25.5703125" style="210" customWidth="1"/>
    <col min="11789" max="12032" width="9.140625" style="210"/>
    <col min="12033" max="12033" width="24.42578125" style="210" customWidth="1"/>
    <col min="12034" max="12034" width="18.5703125" style="210" customWidth="1"/>
    <col min="12035" max="12035" width="29" style="210" bestFit="1" customWidth="1"/>
    <col min="12036" max="12036" width="24" style="210" bestFit="1" customWidth="1"/>
    <col min="12037" max="12038" width="24" style="210" customWidth="1"/>
    <col min="12039" max="12039" width="22.85546875" style="210" bestFit="1" customWidth="1"/>
    <col min="12040" max="12040" width="22" style="210" bestFit="1" customWidth="1"/>
    <col min="12041" max="12041" width="24.140625" style="210" customWidth="1"/>
    <col min="12042" max="12042" width="29.7109375" style="210" bestFit="1" customWidth="1"/>
    <col min="12043" max="12043" width="17.42578125" style="210" customWidth="1"/>
    <col min="12044" max="12044" width="25.5703125" style="210" customWidth="1"/>
    <col min="12045" max="12288" width="9.140625" style="210"/>
    <col min="12289" max="12289" width="24.42578125" style="210" customWidth="1"/>
    <col min="12290" max="12290" width="18.5703125" style="210" customWidth="1"/>
    <col min="12291" max="12291" width="29" style="210" bestFit="1" customWidth="1"/>
    <col min="12292" max="12292" width="24" style="210" bestFit="1" customWidth="1"/>
    <col min="12293" max="12294" width="24" style="210" customWidth="1"/>
    <col min="12295" max="12295" width="22.85546875" style="210" bestFit="1" customWidth="1"/>
    <col min="12296" max="12296" width="22" style="210" bestFit="1" customWidth="1"/>
    <col min="12297" max="12297" width="24.140625" style="210" customWidth="1"/>
    <col min="12298" max="12298" width="29.7109375" style="210" bestFit="1" customWidth="1"/>
    <col min="12299" max="12299" width="17.42578125" style="210" customWidth="1"/>
    <col min="12300" max="12300" width="25.5703125" style="210" customWidth="1"/>
    <col min="12301" max="12544" width="9.140625" style="210"/>
    <col min="12545" max="12545" width="24.42578125" style="210" customWidth="1"/>
    <col min="12546" max="12546" width="18.5703125" style="210" customWidth="1"/>
    <col min="12547" max="12547" width="29" style="210" bestFit="1" customWidth="1"/>
    <col min="12548" max="12548" width="24" style="210" bestFit="1" customWidth="1"/>
    <col min="12549" max="12550" width="24" style="210" customWidth="1"/>
    <col min="12551" max="12551" width="22.85546875" style="210" bestFit="1" customWidth="1"/>
    <col min="12552" max="12552" width="22" style="210" bestFit="1" customWidth="1"/>
    <col min="12553" max="12553" width="24.140625" style="210" customWidth="1"/>
    <col min="12554" max="12554" width="29.7109375" style="210" bestFit="1" customWidth="1"/>
    <col min="12555" max="12555" width="17.42578125" style="210" customWidth="1"/>
    <col min="12556" max="12556" width="25.5703125" style="210" customWidth="1"/>
    <col min="12557" max="12800" width="9.140625" style="210"/>
    <col min="12801" max="12801" width="24.42578125" style="210" customWidth="1"/>
    <col min="12802" max="12802" width="18.5703125" style="210" customWidth="1"/>
    <col min="12803" max="12803" width="29" style="210" bestFit="1" customWidth="1"/>
    <col min="12804" max="12804" width="24" style="210" bestFit="1" customWidth="1"/>
    <col min="12805" max="12806" width="24" style="210" customWidth="1"/>
    <col min="12807" max="12807" width="22.85546875" style="210" bestFit="1" customWidth="1"/>
    <col min="12808" max="12808" width="22" style="210" bestFit="1" customWidth="1"/>
    <col min="12809" max="12809" width="24.140625" style="210" customWidth="1"/>
    <col min="12810" max="12810" width="29.7109375" style="210" bestFit="1" customWidth="1"/>
    <col min="12811" max="12811" width="17.42578125" style="210" customWidth="1"/>
    <col min="12812" max="12812" width="25.5703125" style="210" customWidth="1"/>
    <col min="12813" max="13056" width="9.140625" style="210"/>
    <col min="13057" max="13057" width="24.42578125" style="210" customWidth="1"/>
    <col min="13058" max="13058" width="18.5703125" style="210" customWidth="1"/>
    <col min="13059" max="13059" width="29" style="210" bestFit="1" customWidth="1"/>
    <col min="13060" max="13060" width="24" style="210" bestFit="1" customWidth="1"/>
    <col min="13061" max="13062" width="24" style="210" customWidth="1"/>
    <col min="13063" max="13063" width="22.85546875" style="210" bestFit="1" customWidth="1"/>
    <col min="13064" max="13064" width="22" style="210" bestFit="1" customWidth="1"/>
    <col min="13065" max="13065" width="24.140625" style="210" customWidth="1"/>
    <col min="13066" max="13066" width="29.7109375" style="210" bestFit="1" customWidth="1"/>
    <col min="13067" max="13067" width="17.42578125" style="210" customWidth="1"/>
    <col min="13068" max="13068" width="25.5703125" style="210" customWidth="1"/>
    <col min="13069" max="13312" width="9.140625" style="210"/>
    <col min="13313" max="13313" width="24.42578125" style="210" customWidth="1"/>
    <col min="13314" max="13314" width="18.5703125" style="210" customWidth="1"/>
    <col min="13315" max="13315" width="29" style="210" bestFit="1" customWidth="1"/>
    <col min="13316" max="13316" width="24" style="210" bestFit="1" customWidth="1"/>
    <col min="13317" max="13318" width="24" style="210" customWidth="1"/>
    <col min="13319" max="13319" width="22.85546875" style="210" bestFit="1" customWidth="1"/>
    <col min="13320" max="13320" width="22" style="210" bestFit="1" customWidth="1"/>
    <col min="13321" max="13321" width="24.140625" style="210" customWidth="1"/>
    <col min="13322" max="13322" width="29.7109375" style="210" bestFit="1" customWidth="1"/>
    <col min="13323" max="13323" width="17.42578125" style="210" customWidth="1"/>
    <col min="13324" max="13324" width="25.5703125" style="210" customWidth="1"/>
    <col min="13325" max="13568" width="9.140625" style="210"/>
    <col min="13569" max="13569" width="24.42578125" style="210" customWidth="1"/>
    <col min="13570" max="13570" width="18.5703125" style="210" customWidth="1"/>
    <col min="13571" max="13571" width="29" style="210" bestFit="1" customWidth="1"/>
    <col min="13572" max="13572" width="24" style="210" bestFit="1" customWidth="1"/>
    <col min="13573" max="13574" width="24" style="210" customWidth="1"/>
    <col min="13575" max="13575" width="22.85546875" style="210" bestFit="1" customWidth="1"/>
    <col min="13576" max="13576" width="22" style="210" bestFit="1" customWidth="1"/>
    <col min="13577" max="13577" width="24.140625" style="210" customWidth="1"/>
    <col min="13578" max="13578" width="29.7109375" style="210" bestFit="1" customWidth="1"/>
    <col min="13579" max="13579" width="17.42578125" style="210" customWidth="1"/>
    <col min="13580" max="13580" width="25.5703125" style="210" customWidth="1"/>
    <col min="13581" max="13824" width="9.140625" style="210"/>
    <col min="13825" max="13825" width="24.42578125" style="210" customWidth="1"/>
    <col min="13826" max="13826" width="18.5703125" style="210" customWidth="1"/>
    <col min="13827" max="13827" width="29" style="210" bestFit="1" customWidth="1"/>
    <col min="13828" max="13828" width="24" style="210" bestFit="1" customWidth="1"/>
    <col min="13829" max="13830" width="24" style="210" customWidth="1"/>
    <col min="13831" max="13831" width="22.85546875" style="210" bestFit="1" customWidth="1"/>
    <col min="13832" max="13832" width="22" style="210" bestFit="1" customWidth="1"/>
    <col min="13833" max="13833" width="24.140625" style="210" customWidth="1"/>
    <col min="13834" max="13834" width="29.7109375" style="210" bestFit="1" customWidth="1"/>
    <col min="13835" max="13835" width="17.42578125" style="210" customWidth="1"/>
    <col min="13836" max="13836" width="25.5703125" style="210" customWidth="1"/>
    <col min="13837" max="14080" width="9.140625" style="210"/>
    <col min="14081" max="14081" width="24.42578125" style="210" customWidth="1"/>
    <col min="14082" max="14082" width="18.5703125" style="210" customWidth="1"/>
    <col min="14083" max="14083" width="29" style="210" bestFit="1" customWidth="1"/>
    <col min="14084" max="14084" width="24" style="210" bestFit="1" customWidth="1"/>
    <col min="14085" max="14086" width="24" style="210" customWidth="1"/>
    <col min="14087" max="14087" width="22.85546875" style="210" bestFit="1" customWidth="1"/>
    <col min="14088" max="14088" width="22" style="210" bestFit="1" customWidth="1"/>
    <col min="14089" max="14089" width="24.140625" style="210" customWidth="1"/>
    <col min="14090" max="14090" width="29.7109375" style="210" bestFit="1" customWidth="1"/>
    <col min="14091" max="14091" width="17.42578125" style="210" customWidth="1"/>
    <col min="14092" max="14092" width="25.5703125" style="210" customWidth="1"/>
    <col min="14093" max="14336" width="9.140625" style="210"/>
    <col min="14337" max="14337" width="24.42578125" style="210" customWidth="1"/>
    <col min="14338" max="14338" width="18.5703125" style="210" customWidth="1"/>
    <col min="14339" max="14339" width="29" style="210" bestFit="1" customWidth="1"/>
    <col min="14340" max="14340" width="24" style="210" bestFit="1" customWidth="1"/>
    <col min="14341" max="14342" width="24" style="210" customWidth="1"/>
    <col min="14343" max="14343" width="22.85546875" style="210" bestFit="1" customWidth="1"/>
    <col min="14344" max="14344" width="22" style="210" bestFit="1" customWidth="1"/>
    <col min="14345" max="14345" width="24.140625" style="210" customWidth="1"/>
    <col min="14346" max="14346" width="29.7109375" style="210" bestFit="1" customWidth="1"/>
    <col min="14347" max="14347" width="17.42578125" style="210" customWidth="1"/>
    <col min="14348" max="14348" width="25.5703125" style="210" customWidth="1"/>
    <col min="14349" max="14592" width="9.140625" style="210"/>
    <col min="14593" max="14593" width="24.42578125" style="210" customWidth="1"/>
    <col min="14594" max="14594" width="18.5703125" style="210" customWidth="1"/>
    <col min="14595" max="14595" width="29" style="210" bestFit="1" customWidth="1"/>
    <col min="14596" max="14596" width="24" style="210" bestFit="1" customWidth="1"/>
    <col min="14597" max="14598" width="24" style="210" customWidth="1"/>
    <col min="14599" max="14599" width="22.85546875" style="210" bestFit="1" customWidth="1"/>
    <col min="14600" max="14600" width="22" style="210" bestFit="1" customWidth="1"/>
    <col min="14601" max="14601" width="24.140625" style="210" customWidth="1"/>
    <col min="14602" max="14602" width="29.7109375" style="210" bestFit="1" customWidth="1"/>
    <col min="14603" max="14603" width="17.42578125" style="210" customWidth="1"/>
    <col min="14604" max="14604" width="25.5703125" style="210" customWidth="1"/>
    <col min="14605" max="14848" width="9.140625" style="210"/>
    <col min="14849" max="14849" width="24.42578125" style="210" customWidth="1"/>
    <col min="14850" max="14850" width="18.5703125" style="210" customWidth="1"/>
    <col min="14851" max="14851" width="29" style="210" bestFit="1" customWidth="1"/>
    <col min="14852" max="14852" width="24" style="210" bestFit="1" customWidth="1"/>
    <col min="14853" max="14854" width="24" style="210" customWidth="1"/>
    <col min="14855" max="14855" width="22.85546875" style="210" bestFit="1" customWidth="1"/>
    <col min="14856" max="14856" width="22" style="210" bestFit="1" customWidth="1"/>
    <col min="14857" max="14857" width="24.140625" style="210" customWidth="1"/>
    <col min="14858" max="14858" width="29.7109375" style="210" bestFit="1" customWidth="1"/>
    <col min="14859" max="14859" width="17.42578125" style="210" customWidth="1"/>
    <col min="14860" max="14860" width="25.5703125" style="210" customWidth="1"/>
    <col min="14861" max="15104" width="9.140625" style="210"/>
    <col min="15105" max="15105" width="24.42578125" style="210" customWidth="1"/>
    <col min="15106" max="15106" width="18.5703125" style="210" customWidth="1"/>
    <col min="15107" max="15107" width="29" style="210" bestFit="1" customWidth="1"/>
    <col min="15108" max="15108" width="24" style="210" bestFit="1" customWidth="1"/>
    <col min="15109" max="15110" width="24" style="210" customWidth="1"/>
    <col min="15111" max="15111" width="22.85546875" style="210" bestFit="1" customWidth="1"/>
    <col min="15112" max="15112" width="22" style="210" bestFit="1" customWidth="1"/>
    <col min="15113" max="15113" width="24.140625" style="210" customWidth="1"/>
    <col min="15114" max="15114" width="29.7109375" style="210" bestFit="1" customWidth="1"/>
    <col min="15115" max="15115" width="17.42578125" style="210" customWidth="1"/>
    <col min="15116" max="15116" width="25.5703125" style="210" customWidth="1"/>
    <col min="15117" max="15360" width="9.140625" style="210"/>
    <col min="15361" max="15361" width="24.42578125" style="210" customWidth="1"/>
    <col min="15362" max="15362" width="18.5703125" style="210" customWidth="1"/>
    <col min="15363" max="15363" width="29" style="210" bestFit="1" customWidth="1"/>
    <col min="15364" max="15364" width="24" style="210" bestFit="1" customWidth="1"/>
    <col min="15365" max="15366" width="24" style="210" customWidth="1"/>
    <col min="15367" max="15367" width="22.85546875" style="210" bestFit="1" customWidth="1"/>
    <col min="15368" max="15368" width="22" style="210" bestFit="1" customWidth="1"/>
    <col min="15369" max="15369" width="24.140625" style="210" customWidth="1"/>
    <col min="15370" max="15370" width="29.7109375" style="210" bestFit="1" customWidth="1"/>
    <col min="15371" max="15371" width="17.42578125" style="210" customWidth="1"/>
    <col min="15372" max="15372" width="25.5703125" style="210" customWidth="1"/>
    <col min="15373" max="15616" width="9.140625" style="210"/>
    <col min="15617" max="15617" width="24.42578125" style="210" customWidth="1"/>
    <col min="15618" max="15618" width="18.5703125" style="210" customWidth="1"/>
    <col min="15619" max="15619" width="29" style="210" bestFit="1" customWidth="1"/>
    <col min="15620" max="15620" width="24" style="210" bestFit="1" customWidth="1"/>
    <col min="15621" max="15622" width="24" style="210" customWidth="1"/>
    <col min="15623" max="15623" width="22.85546875" style="210" bestFit="1" customWidth="1"/>
    <col min="15624" max="15624" width="22" style="210" bestFit="1" customWidth="1"/>
    <col min="15625" max="15625" width="24.140625" style="210" customWidth="1"/>
    <col min="15626" max="15626" width="29.7109375" style="210" bestFit="1" customWidth="1"/>
    <col min="15627" max="15627" width="17.42578125" style="210" customWidth="1"/>
    <col min="15628" max="15628" width="25.5703125" style="210" customWidth="1"/>
    <col min="15629" max="15872" width="9.140625" style="210"/>
    <col min="15873" max="15873" width="24.42578125" style="210" customWidth="1"/>
    <col min="15874" max="15874" width="18.5703125" style="210" customWidth="1"/>
    <col min="15875" max="15875" width="29" style="210" bestFit="1" customWidth="1"/>
    <col min="15876" max="15876" width="24" style="210" bestFit="1" customWidth="1"/>
    <col min="15877" max="15878" width="24" style="210" customWidth="1"/>
    <col min="15879" max="15879" width="22.85546875" style="210" bestFit="1" customWidth="1"/>
    <col min="15880" max="15880" width="22" style="210" bestFit="1" customWidth="1"/>
    <col min="15881" max="15881" width="24.140625" style="210" customWidth="1"/>
    <col min="15882" max="15882" width="29.7109375" style="210" bestFit="1" customWidth="1"/>
    <col min="15883" max="15883" width="17.42578125" style="210" customWidth="1"/>
    <col min="15884" max="15884" width="25.5703125" style="210" customWidth="1"/>
    <col min="15885" max="16128" width="9.140625" style="210"/>
    <col min="16129" max="16129" width="24.42578125" style="210" customWidth="1"/>
    <col min="16130" max="16130" width="18.5703125" style="210" customWidth="1"/>
    <col min="16131" max="16131" width="29" style="210" bestFit="1" customWidth="1"/>
    <col min="16132" max="16132" width="24" style="210" bestFit="1" customWidth="1"/>
    <col min="16133" max="16134" width="24" style="210" customWidth="1"/>
    <col min="16135" max="16135" width="22.85546875" style="210" bestFit="1" customWidth="1"/>
    <col min="16136" max="16136" width="22" style="210" bestFit="1" customWidth="1"/>
    <col min="16137" max="16137" width="24.140625" style="210" customWidth="1"/>
    <col min="16138" max="16138" width="29.7109375" style="210" bestFit="1" customWidth="1"/>
    <col min="16139" max="16139" width="17.42578125" style="210" customWidth="1"/>
    <col min="16140" max="16140" width="25.5703125" style="210" customWidth="1"/>
    <col min="16141" max="16384" width="9.140625" style="210"/>
  </cols>
  <sheetData>
    <row r="1" spans="1:16" s="272" customFormat="1" ht="46.5" customHeight="1" x14ac:dyDescent="0.25">
      <c r="A1" s="456" t="s">
        <v>402</v>
      </c>
      <c r="B1" s="456"/>
      <c r="C1" s="456"/>
      <c r="D1" s="456"/>
      <c r="E1" s="456"/>
      <c r="F1" s="456"/>
      <c r="G1" s="456"/>
      <c r="H1" s="456"/>
      <c r="I1" s="456"/>
      <c r="J1" s="456"/>
      <c r="K1" s="456"/>
      <c r="L1" s="456"/>
      <c r="M1" s="271"/>
      <c r="N1" s="271"/>
      <c r="O1" s="271"/>
      <c r="P1" s="271"/>
    </row>
    <row r="2" spans="1:16" s="272" customFormat="1" ht="46.5" x14ac:dyDescent="0.25">
      <c r="A2" s="273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1"/>
      <c r="N2" s="271"/>
      <c r="O2" s="271"/>
      <c r="P2" s="271"/>
    </row>
    <row r="3" spans="1:16" ht="36" x14ac:dyDescent="0.55000000000000004">
      <c r="A3" s="457" t="s">
        <v>403</v>
      </c>
      <c r="B3" s="457"/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274"/>
      <c r="N3" s="274"/>
      <c r="O3" s="274"/>
      <c r="P3" s="275"/>
    </row>
    <row r="4" spans="1:16" ht="15.75" customHeight="1" x14ac:dyDescent="0.25">
      <c r="A4" s="450" t="s">
        <v>404</v>
      </c>
      <c r="B4" s="458" t="s">
        <v>382</v>
      </c>
      <c r="C4" s="458" t="s">
        <v>405</v>
      </c>
      <c r="D4" s="460" t="s">
        <v>406</v>
      </c>
      <c r="E4" s="461"/>
      <c r="F4" s="450" t="s">
        <v>68</v>
      </c>
      <c r="G4" s="458" t="s">
        <v>69</v>
      </c>
      <c r="H4" s="458" t="s">
        <v>70</v>
      </c>
      <c r="I4" s="450" t="s">
        <v>407</v>
      </c>
      <c r="J4" s="448" t="s">
        <v>408</v>
      </c>
      <c r="K4" s="450" t="s">
        <v>73</v>
      </c>
      <c r="L4" s="448" t="s">
        <v>385</v>
      </c>
    </row>
    <row r="5" spans="1:16" ht="31.5" x14ac:dyDescent="0.25">
      <c r="A5" s="451"/>
      <c r="B5" s="459"/>
      <c r="C5" s="459"/>
      <c r="D5" s="276" t="s">
        <v>409</v>
      </c>
      <c r="E5" s="276" t="s">
        <v>410</v>
      </c>
      <c r="F5" s="451"/>
      <c r="G5" s="459"/>
      <c r="H5" s="459"/>
      <c r="I5" s="451"/>
      <c r="J5" s="449"/>
      <c r="K5" s="451"/>
      <c r="L5" s="449"/>
    </row>
    <row r="6" spans="1:16" ht="15.75" x14ac:dyDescent="0.25">
      <c r="A6" s="277">
        <v>1</v>
      </c>
      <c r="B6" s="278">
        <v>2</v>
      </c>
      <c r="C6" s="279">
        <v>3</v>
      </c>
      <c r="D6" s="280">
        <v>4</v>
      </c>
      <c r="E6" s="280">
        <v>5</v>
      </c>
      <c r="F6" s="281">
        <v>6</v>
      </c>
      <c r="G6" s="280">
        <v>7</v>
      </c>
      <c r="H6" s="280">
        <v>8</v>
      </c>
      <c r="I6" s="282">
        <v>9</v>
      </c>
      <c r="J6" s="283">
        <v>10</v>
      </c>
      <c r="K6" s="282">
        <v>11</v>
      </c>
      <c r="L6" s="283">
        <v>12</v>
      </c>
    </row>
    <row r="7" spans="1:16" ht="15.75" x14ac:dyDescent="0.25">
      <c r="A7" s="284" t="s">
        <v>84</v>
      </c>
      <c r="B7" s="257" t="s">
        <v>85</v>
      </c>
      <c r="C7" s="285">
        <v>1000</v>
      </c>
      <c r="D7" s="452">
        <v>3</v>
      </c>
      <c r="E7" s="452">
        <f>4*12</f>
        <v>48</v>
      </c>
      <c r="F7" s="453"/>
      <c r="G7" s="286">
        <v>2</v>
      </c>
      <c r="H7" s="286">
        <v>3</v>
      </c>
      <c r="I7" s="287">
        <f>1/7.8</f>
        <v>0.12820512820512822</v>
      </c>
      <c r="J7" s="288">
        <f>C7*(D7*E7/24)*G7*H7*I7</f>
        <v>4615.3846153846162</v>
      </c>
      <c r="K7" s="289">
        <f>IF(B7="Bensin",2.16,IF(B7="Solar",2.66,0))</f>
        <v>2.16</v>
      </c>
      <c r="L7" s="290">
        <f>(J7*K7)/1000</f>
        <v>9.9692307692307711</v>
      </c>
    </row>
    <row r="8" spans="1:16" ht="15.75" x14ac:dyDescent="0.25">
      <c r="A8" s="284" t="s">
        <v>87</v>
      </c>
      <c r="B8" s="285" t="s">
        <v>85</v>
      </c>
      <c r="C8" s="8">
        <v>2000</v>
      </c>
      <c r="D8" s="444"/>
      <c r="E8" s="444"/>
      <c r="F8" s="454"/>
      <c r="G8" s="286">
        <v>2</v>
      </c>
      <c r="H8" s="286">
        <v>3</v>
      </c>
      <c r="I8" s="291">
        <f>1/21.5</f>
        <v>4.6511627906976744E-2</v>
      </c>
      <c r="J8" s="288">
        <f>C8*(D7*E7/24)*G8*H8*I8</f>
        <v>3348.8372093023254</v>
      </c>
      <c r="K8" s="289">
        <f t="shared" ref="K8:K13" si="0">IF(B8="Bensin",2.16,IF(B8="Solar",2.66,0))</f>
        <v>2.16</v>
      </c>
      <c r="L8" s="290">
        <f t="shared" ref="L8:L13" si="1">(J8*K8)/1000</f>
        <v>7.2334883720930225</v>
      </c>
    </row>
    <row r="9" spans="1:16" ht="15.75" x14ac:dyDescent="0.25">
      <c r="A9" s="284" t="s">
        <v>44</v>
      </c>
      <c r="B9" s="285" t="s">
        <v>411</v>
      </c>
      <c r="C9" s="8">
        <v>10</v>
      </c>
      <c r="D9" s="444"/>
      <c r="E9" s="444"/>
      <c r="F9" s="454"/>
      <c r="G9" s="292">
        <v>2</v>
      </c>
      <c r="H9" s="292">
        <v>3</v>
      </c>
      <c r="I9" s="291">
        <f>1/5.5</f>
        <v>0.18181818181818182</v>
      </c>
      <c r="J9" s="288">
        <f>C9*(D7*E7/24)*G9*H9*I9</f>
        <v>65.454545454545453</v>
      </c>
      <c r="K9" s="289">
        <f t="shared" si="0"/>
        <v>2.66</v>
      </c>
      <c r="L9" s="290">
        <f t="shared" si="1"/>
        <v>0.17410909090909094</v>
      </c>
    </row>
    <row r="10" spans="1:16" ht="16.5" thickBot="1" x14ac:dyDescent="0.3">
      <c r="A10" s="293" t="s">
        <v>412</v>
      </c>
      <c r="B10" s="294" t="s">
        <v>411</v>
      </c>
      <c r="C10" s="295">
        <v>10</v>
      </c>
      <c r="D10" s="444"/>
      <c r="E10" s="444"/>
      <c r="F10" s="455"/>
      <c r="G10" s="296">
        <v>2</v>
      </c>
      <c r="H10" s="296">
        <v>3</v>
      </c>
      <c r="I10" s="297"/>
      <c r="J10" s="288">
        <f>C10*(D7*E7/24)*G10*H10*I10</f>
        <v>0</v>
      </c>
      <c r="K10" s="289">
        <f t="shared" si="0"/>
        <v>2.66</v>
      </c>
      <c r="L10" s="290">
        <f t="shared" si="1"/>
        <v>0</v>
      </c>
      <c r="P10" s="275"/>
    </row>
    <row r="11" spans="1:16" ht="15.75" x14ac:dyDescent="0.25">
      <c r="A11" s="298" t="s">
        <v>413</v>
      </c>
      <c r="B11" s="299"/>
      <c r="C11" s="300"/>
      <c r="D11" s="437"/>
      <c r="E11" s="438"/>
      <c r="F11" s="443">
        <v>300</v>
      </c>
      <c r="G11" s="301"/>
      <c r="H11" s="301"/>
      <c r="I11" s="302"/>
      <c r="J11" s="303">
        <f>C11*(D11*E11/24)*G11*H11*I11</f>
        <v>0</v>
      </c>
      <c r="K11" s="289">
        <f t="shared" si="0"/>
        <v>0</v>
      </c>
      <c r="L11" s="304">
        <f t="shared" si="1"/>
        <v>0</v>
      </c>
    </row>
    <row r="12" spans="1:16" ht="15.75" x14ac:dyDescent="0.25">
      <c r="A12" s="284" t="s">
        <v>413</v>
      </c>
      <c r="B12" s="285"/>
      <c r="C12" s="8"/>
      <c r="D12" s="439"/>
      <c r="E12" s="440"/>
      <c r="F12" s="444"/>
      <c r="G12" s="292"/>
      <c r="H12" s="292"/>
      <c r="I12" s="305"/>
      <c r="J12" s="288">
        <f>C12*(D12*E12/24)*G12*H12*I12</f>
        <v>0</v>
      </c>
      <c r="K12" s="289">
        <f t="shared" si="0"/>
        <v>0</v>
      </c>
      <c r="L12" s="290">
        <f t="shared" si="1"/>
        <v>0</v>
      </c>
    </row>
    <row r="13" spans="1:16" ht="15.75" x14ac:dyDescent="0.25">
      <c r="A13" s="284" t="s">
        <v>413</v>
      </c>
      <c r="B13" s="285"/>
      <c r="C13" s="8"/>
      <c r="D13" s="441"/>
      <c r="E13" s="442"/>
      <c r="F13" s="445"/>
      <c r="G13" s="292"/>
      <c r="H13" s="292"/>
      <c r="I13" s="305"/>
      <c r="J13" s="288">
        <f>C13*(D13*E13/24)*G13*H13*I13</f>
        <v>0</v>
      </c>
      <c r="K13" s="289">
        <f t="shared" si="0"/>
        <v>0</v>
      </c>
      <c r="L13" s="290">
        <f t="shared" si="1"/>
        <v>0</v>
      </c>
    </row>
    <row r="14" spans="1:16" ht="15.75" x14ac:dyDescent="0.25">
      <c r="A14" s="446" t="s">
        <v>91</v>
      </c>
      <c r="B14" s="446"/>
      <c r="C14" s="446"/>
      <c r="D14" s="446"/>
      <c r="E14" s="446"/>
      <c r="F14" s="446"/>
      <c r="G14" s="446"/>
      <c r="H14" s="446"/>
      <c r="I14" s="446"/>
      <c r="J14" s="446"/>
      <c r="K14" s="446"/>
      <c r="L14" s="306">
        <f>SUM(L7:L10)</f>
        <v>17.376828232232885</v>
      </c>
    </row>
    <row r="15" spans="1:16" x14ac:dyDescent="0.25">
      <c r="D15" s="307"/>
      <c r="E15" s="307"/>
      <c r="F15" s="307"/>
      <c r="G15" s="307"/>
      <c r="H15" s="307"/>
      <c r="I15" s="307"/>
      <c r="J15" s="307"/>
      <c r="K15" s="307"/>
      <c r="L15" s="307"/>
    </row>
    <row r="16" spans="1:16" x14ac:dyDescent="0.25">
      <c r="D16" s="307"/>
      <c r="E16" s="307"/>
      <c r="F16" s="307"/>
      <c r="G16" s="307"/>
      <c r="H16" s="307"/>
      <c r="I16" s="307"/>
      <c r="J16" s="308"/>
      <c r="K16" s="307"/>
      <c r="L16" s="307"/>
    </row>
    <row r="17" spans="1:15" ht="21" x14ac:dyDescent="0.35">
      <c r="A17" s="309" t="s">
        <v>265</v>
      </c>
      <c r="B17" s="309"/>
      <c r="C17" s="252"/>
      <c r="D17" s="310"/>
      <c r="E17" s="310"/>
      <c r="F17" s="310"/>
      <c r="G17" s="310"/>
      <c r="H17" s="311"/>
      <c r="I17" s="311"/>
      <c r="J17" s="312"/>
      <c r="K17" s="312"/>
      <c r="L17" s="312"/>
      <c r="M17" s="310"/>
      <c r="N17" s="312"/>
      <c r="O17" s="312"/>
    </row>
    <row r="18" spans="1:15" ht="21" x14ac:dyDescent="0.35">
      <c r="A18" s="313"/>
      <c r="B18" s="252" t="s">
        <v>266</v>
      </c>
      <c r="C18" s="252"/>
      <c r="D18" s="312"/>
      <c r="E18" s="312"/>
      <c r="F18" s="312"/>
      <c r="G18" s="312"/>
      <c r="H18" s="311"/>
      <c r="I18" s="311"/>
      <c r="J18" s="312"/>
      <c r="K18" s="312"/>
      <c r="L18" s="312"/>
      <c r="M18" s="312"/>
      <c r="N18" s="312"/>
      <c r="O18" s="312"/>
    </row>
    <row r="19" spans="1:15" ht="21" x14ac:dyDescent="0.35">
      <c r="A19" s="314"/>
      <c r="B19" s="252" t="s">
        <v>267</v>
      </c>
      <c r="C19" s="252"/>
      <c r="D19" s="315"/>
      <c r="E19" s="316"/>
      <c r="F19" s="317"/>
      <c r="G19" s="317"/>
      <c r="H19" s="318"/>
      <c r="I19" s="318"/>
      <c r="J19" s="319"/>
      <c r="K19" s="319"/>
      <c r="L19" s="320"/>
      <c r="M19" s="122"/>
      <c r="N19" s="122"/>
      <c r="O19" s="122"/>
    </row>
    <row r="20" spans="1:15" ht="21" x14ac:dyDescent="0.35">
      <c r="A20" s="321"/>
      <c r="B20" s="252" t="s">
        <v>268</v>
      </c>
      <c r="C20" s="252"/>
      <c r="D20" s="322"/>
      <c r="E20" s="316"/>
      <c r="F20" s="317"/>
      <c r="G20" s="317"/>
      <c r="H20" s="318"/>
      <c r="I20" s="318"/>
      <c r="J20" s="319"/>
      <c r="K20" s="319"/>
      <c r="L20" s="320"/>
      <c r="M20" s="122"/>
      <c r="N20" s="122"/>
      <c r="O20" s="122"/>
    </row>
    <row r="21" spans="1:15" ht="21" x14ac:dyDescent="0.35">
      <c r="A21" s="323" t="s">
        <v>414</v>
      </c>
      <c r="B21" s="252"/>
      <c r="C21" s="252"/>
      <c r="D21" s="322"/>
      <c r="E21" s="316"/>
      <c r="F21" s="317"/>
      <c r="G21" s="317"/>
      <c r="H21" s="318"/>
      <c r="I21" s="318"/>
      <c r="J21" s="319"/>
      <c r="K21" s="319"/>
      <c r="L21" s="320"/>
      <c r="M21" s="122"/>
      <c r="N21" s="122"/>
      <c r="O21" s="122"/>
    </row>
    <row r="22" spans="1:15" ht="21" x14ac:dyDescent="0.35">
      <c r="A22" s="447" t="s">
        <v>415</v>
      </c>
      <c r="B22" s="447"/>
      <c r="C22" s="447"/>
      <c r="D22" s="447"/>
      <c r="E22" s="447"/>
      <c r="F22" s="447"/>
      <c r="G22" s="324"/>
      <c r="H22" s="324"/>
      <c r="I22" s="324"/>
      <c r="J22" s="324"/>
      <c r="K22" s="324"/>
      <c r="L22" s="324"/>
      <c r="M22" s="324"/>
      <c r="N22" s="324"/>
      <c r="O22" s="324"/>
    </row>
    <row r="23" spans="1:15" x14ac:dyDescent="0.25">
      <c r="A23" s="447"/>
      <c r="B23" s="447"/>
      <c r="C23" s="447"/>
      <c r="D23" s="447"/>
      <c r="E23" s="447"/>
      <c r="F23" s="447"/>
    </row>
    <row r="24" spans="1:15" x14ac:dyDescent="0.25">
      <c r="A24" s="447"/>
      <c r="B24" s="447"/>
      <c r="C24" s="447"/>
      <c r="D24" s="447"/>
      <c r="E24" s="447"/>
      <c r="F24" s="447"/>
    </row>
    <row r="25" spans="1:15" x14ac:dyDescent="0.25">
      <c r="A25" s="447"/>
      <c r="B25" s="447"/>
      <c r="C25" s="447"/>
      <c r="D25" s="447"/>
      <c r="E25" s="447"/>
      <c r="F25" s="447"/>
    </row>
  </sheetData>
  <mergeCells count="20">
    <mergeCell ref="L4:L5"/>
    <mergeCell ref="D7:D10"/>
    <mergeCell ref="E7:E10"/>
    <mergeCell ref="F7:F10"/>
    <mergeCell ref="A1:L1"/>
    <mergeCell ref="A3:L3"/>
    <mergeCell ref="A4:A5"/>
    <mergeCell ref="B4:B5"/>
    <mergeCell ref="C4:C5"/>
    <mergeCell ref="D4:E4"/>
    <mergeCell ref="F4:F5"/>
    <mergeCell ref="G4:G5"/>
    <mergeCell ref="H4:H5"/>
    <mergeCell ref="I4:I5"/>
    <mergeCell ref="D11:E13"/>
    <mergeCell ref="F11:F13"/>
    <mergeCell ref="A14:K14"/>
    <mergeCell ref="A22:F25"/>
    <mergeCell ref="J4:J5"/>
    <mergeCell ref="K4:K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3"/>
  <sheetViews>
    <sheetView topLeftCell="A26" zoomScale="85" zoomScaleNormal="85" workbookViewId="0">
      <selection activeCell="J24" sqref="J24"/>
    </sheetView>
  </sheetViews>
  <sheetFormatPr defaultRowHeight="15" x14ac:dyDescent="0.25"/>
  <cols>
    <col min="1" max="1" width="9.140625" style="24"/>
    <col min="2" max="2" width="11.42578125" style="24" customWidth="1"/>
    <col min="3" max="3" width="10.5703125" style="24" customWidth="1"/>
    <col min="4" max="7" width="9.140625" style="24"/>
    <col min="8" max="8" width="11.85546875" style="24" bestFit="1" customWidth="1"/>
    <col min="9" max="9" width="12.85546875" style="24" bestFit="1" customWidth="1"/>
    <col min="10" max="10" width="11.85546875" style="24" bestFit="1" customWidth="1"/>
    <col min="11" max="11" width="13.5703125" style="24" customWidth="1"/>
    <col min="12" max="13" width="11.85546875" style="24" bestFit="1" customWidth="1"/>
    <col min="14" max="14" width="10.85546875" style="24" customWidth="1"/>
    <col min="15" max="15" width="11.85546875" style="24" bestFit="1" customWidth="1"/>
    <col min="16" max="16" width="11.7109375" style="24" bestFit="1" customWidth="1"/>
    <col min="17" max="17" width="13.28515625" style="24" customWidth="1"/>
    <col min="18" max="18" width="9.42578125" style="24" bestFit="1" customWidth="1"/>
    <col min="19" max="19" width="14.5703125" style="24" customWidth="1"/>
    <col min="20" max="20" width="13.140625" style="24" bestFit="1" customWidth="1"/>
    <col min="21" max="21" width="15.7109375" style="24" customWidth="1"/>
    <col min="22" max="22" width="13.140625" style="24" bestFit="1" customWidth="1"/>
    <col min="23" max="23" width="12.42578125" style="24" customWidth="1"/>
    <col min="24" max="24" width="12.140625" style="24" bestFit="1" customWidth="1"/>
    <col min="25" max="25" width="11.85546875" style="24" bestFit="1" customWidth="1"/>
    <col min="26" max="26" width="12.140625" style="24" bestFit="1" customWidth="1"/>
    <col min="27" max="27" width="11.85546875" style="24" bestFit="1" customWidth="1"/>
    <col min="28" max="29" width="14.42578125" style="24" bestFit="1" customWidth="1"/>
    <col min="30" max="31" width="11.85546875" style="24" bestFit="1" customWidth="1"/>
    <col min="32" max="16384" width="9.140625" style="24"/>
  </cols>
  <sheetData>
    <row r="1" spans="1:31" x14ac:dyDescent="0.25">
      <c r="A1" s="94" t="s">
        <v>294</v>
      </c>
    </row>
    <row r="2" spans="1:31" x14ac:dyDescent="0.25">
      <c r="A2" s="203" t="s">
        <v>295</v>
      </c>
    </row>
    <row r="4" spans="1:31" x14ac:dyDescent="0.25">
      <c r="A4" s="471" t="s">
        <v>46</v>
      </c>
      <c r="B4" s="471" t="s">
        <v>296</v>
      </c>
      <c r="C4" s="471" t="s">
        <v>297</v>
      </c>
      <c r="D4" s="471" t="s">
        <v>298</v>
      </c>
      <c r="E4" s="471" t="s">
        <v>299</v>
      </c>
      <c r="F4" s="471"/>
      <c r="G4" s="471"/>
      <c r="H4" s="471"/>
      <c r="I4" s="471"/>
      <c r="J4" s="471"/>
      <c r="K4" s="471"/>
      <c r="L4" s="471"/>
      <c r="M4" s="471"/>
      <c r="N4" s="471"/>
      <c r="O4" s="471"/>
      <c r="R4" s="467" t="s">
        <v>46</v>
      </c>
      <c r="S4" s="467" t="s">
        <v>296</v>
      </c>
      <c r="T4" s="467" t="s">
        <v>297</v>
      </c>
      <c r="U4" s="467" t="s">
        <v>300</v>
      </c>
      <c r="V4" s="467" t="s">
        <v>299</v>
      </c>
      <c r="W4" s="467"/>
      <c r="X4" s="467"/>
      <c r="Y4" s="467"/>
      <c r="Z4" s="467"/>
      <c r="AA4" s="467"/>
      <c r="AB4" s="467"/>
      <c r="AC4" s="467"/>
      <c r="AD4" s="467"/>
      <c r="AE4" s="467"/>
    </row>
    <row r="5" spans="1:31" x14ac:dyDescent="0.25">
      <c r="A5" s="471"/>
      <c r="B5" s="471"/>
      <c r="C5" s="471"/>
      <c r="D5" s="471"/>
      <c r="E5" s="188">
        <v>2010</v>
      </c>
      <c r="F5" s="188">
        <v>2011</v>
      </c>
      <c r="G5" s="188">
        <v>2012</v>
      </c>
      <c r="H5" s="188">
        <v>2013</v>
      </c>
      <c r="I5" s="188">
        <v>2014</v>
      </c>
      <c r="J5" s="188">
        <v>2015</v>
      </c>
      <c r="K5" s="188">
        <v>2016</v>
      </c>
      <c r="L5" s="188">
        <v>2017</v>
      </c>
      <c r="M5" s="188">
        <v>2018</v>
      </c>
      <c r="N5" s="188">
        <v>2019</v>
      </c>
      <c r="O5" s="188">
        <v>2020</v>
      </c>
      <c r="R5" s="467"/>
      <c r="S5" s="467"/>
      <c r="T5" s="467"/>
      <c r="U5" s="467"/>
      <c r="V5" s="189">
        <v>2021</v>
      </c>
      <c r="W5" s="189">
        <v>2022</v>
      </c>
      <c r="X5" s="189">
        <v>2023</v>
      </c>
      <c r="Y5" s="189">
        <v>2024</v>
      </c>
      <c r="Z5" s="189">
        <v>2025</v>
      </c>
      <c r="AA5" s="189">
        <v>2026</v>
      </c>
      <c r="AB5" s="189">
        <v>2027</v>
      </c>
      <c r="AC5" s="189">
        <v>2028</v>
      </c>
      <c r="AD5" s="189">
        <v>2029</v>
      </c>
      <c r="AE5" s="189">
        <v>2030</v>
      </c>
    </row>
    <row r="6" spans="1:31" ht="36" x14ac:dyDescent="0.25">
      <c r="A6" s="468">
        <v>1</v>
      </c>
      <c r="B6" s="469" t="s">
        <v>301</v>
      </c>
      <c r="C6" s="190" t="s">
        <v>302</v>
      </c>
      <c r="D6" s="468" t="s">
        <v>303</v>
      </c>
      <c r="E6" s="191"/>
      <c r="F6" s="191"/>
      <c r="G6" s="191"/>
      <c r="H6" s="192"/>
      <c r="I6" s="191"/>
      <c r="J6" s="193"/>
      <c r="K6" s="193">
        <v>7</v>
      </c>
      <c r="L6" s="193">
        <v>6</v>
      </c>
      <c r="M6" s="193"/>
      <c r="N6" s="193">
        <v>1</v>
      </c>
      <c r="O6" s="193"/>
      <c r="R6" s="466">
        <v>1</v>
      </c>
      <c r="S6" s="470" t="s">
        <v>301</v>
      </c>
      <c r="T6" s="194" t="s">
        <v>302</v>
      </c>
      <c r="U6" s="468" t="s">
        <v>304</v>
      </c>
      <c r="V6" s="195">
        <v>1</v>
      </c>
      <c r="W6" s="195"/>
      <c r="X6" s="195">
        <v>1</v>
      </c>
      <c r="Y6" s="195"/>
      <c r="Z6" s="195">
        <v>1</v>
      </c>
      <c r="AA6" s="195"/>
      <c r="AB6" s="195">
        <v>1</v>
      </c>
      <c r="AC6" s="195"/>
      <c r="AD6" s="195">
        <v>1</v>
      </c>
      <c r="AE6" s="195"/>
    </row>
    <row r="7" spans="1:31" ht="48" x14ac:dyDescent="0.25">
      <c r="A7" s="468"/>
      <c r="B7" s="469"/>
      <c r="C7" s="190" t="s">
        <v>305</v>
      </c>
      <c r="D7" s="468"/>
      <c r="E7" s="191"/>
      <c r="F7" s="191"/>
      <c r="G7" s="191"/>
      <c r="H7" s="192"/>
      <c r="I7" s="192"/>
      <c r="J7" s="196"/>
      <c r="K7" s="196"/>
      <c r="L7" s="196"/>
      <c r="M7" s="196"/>
      <c r="N7" s="196"/>
      <c r="O7" s="196"/>
      <c r="R7" s="466"/>
      <c r="S7" s="470"/>
      <c r="T7" s="194" t="s">
        <v>305</v>
      </c>
      <c r="U7" s="468"/>
      <c r="V7" s="197"/>
      <c r="W7" s="197"/>
      <c r="X7" s="197"/>
      <c r="Y7" s="197"/>
      <c r="Z7" s="197"/>
      <c r="AA7" s="197"/>
      <c r="AB7" s="197"/>
      <c r="AC7" s="197"/>
      <c r="AD7" s="197"/>
      <c r="AE7" s="197"/>
    </row>
    <row r="8" spans="1:31" ht="36" x14ac:dyDescent="0.25">
      <c r="A8" s="468"/>
      <c r="B8" s="469"/>
      <c r="C8" s="190" t="s">
        <v>306</v>
      </c>
      <c r="D8" s="468"/>
      <c r="E8" s="191"/>
      <c r="F8" s="191"/>
      <c r="G8" s="191"/>
      <c r="H8" s="192"/>
      <c r="I8" s="192"/>
      <c r="J8" s="196"/>
      <c r="K8" s="196">
        <v>4731.1000000000004</v>
      </c>
      <c r="L8" s="196">
        <v>103.84</v>
      </c>
      <c r="M8" s="196"/>
      <c r="N8" s="196">
        <v>17.38</v>
      </c>
      <c r="O8" s="196"/>
      <c r="R8" s="466"/>
      <c r="S8" s="470"/>
      <c r="T8" s="194" t="s">
        <v>306</v>
      </c>
      <c r="U8" s="468"/>
      <c r="V8" s="197">
        <v>17.38</v>
      </c>
      <c r="W8" s="197"/>
      <c r="X8" s="197">
        <v>17.38</v>
      </c>
      <c r="Y8" s="197"/>
      <c r="Z8" s="197">
        <v>17.38</v>
      </c>
      <c r="AA8" s="197"/>
      <c r="AB8" s="197">
        <v>17.38</v>
      </c>
      <c r="AC8" s="197"/>
      <c r="AD8" s="197">
        <v>17.38</v>
      </c>
      <c r="AE8" s="197"/>
    </row>
    <row r="9" spans="1:31" ht="60" x14ac:dyDescent="0.25">
      <c r="A9" s="468">
        <v>2</v>
      </c>
      <c r="B9" s="469" t="s">
        <v>307</v>
      </c>
      <c r="C9" s="190" t="s">
        <v>308</v>
      </c>
      <c r="D9" s="468" t="s">
        <v>303</v>
      </c>
      <c r="E9" s="191"/>
      <c r="F9" s="191"/>
      <c r="G9" s="191"/>
      <c r="H9" s="193">
        <v>4</v>
      </c>
      <c r="I9" s="191"/>
      <c r="J9" s="192"/>
      <c r="K9" s="191"/>
      <c r="L9" s="196"/>
      <c r="M9" s="196"/>
      <c r="N9" s="196"/>
      <c r="O9" s="196"/>
      <c r="R9" s="466">
        <v>2</v>
      </c>
      <c r="S9" s="470" t="s">
        <v>309</v>
      </c>
      <c r="T9" s="194" t="s">
        <v>308</v>
      </c>
      <c r="U9" s="468" t="s">
        <v>304</v>
      </c>
      <c r="V9" s="196"/>
      <c r="W9" s="196"/>
      <c r="X9" s="196"/>
      <c r="Y9" s="196"/>
      <c r="Z9" s="196"/>
      <c r="AA9" s="196"/>
      <c r="AB9" s="196"/>
      <c r="AC9" s="196"/>
      <c r="AD9" s="196"/>
      <c r="AE9" s="196"/>
    </row>
    <row r="10" spans="1:31" ht="48" x14ac:dyDescent="0.25">
      <c r="A10" s="468"/>
      <c r="B10" s="469"/>
      <c r="C10" s="190" t="s">
        <v>305</v>
      </c>
      <c r="D10" s="468"/>
      <c r="E10" s="191"/>
      <c r="F10" s="191"/>
      <c r="G10" s="191"/>
      <c r="H10" s="198">
        <v>48460</v>
      </c>
      <c r="I10" s="191"/>
      <c r="J10" s="192"/>
      <c r="K10" s="191"/>
      <c r="L10" s="199"/>
      <c r="M10" s="199"/>
      <c r="N10" s="199"/>
      <c r="O10" s="199"/>
      <c r="R10" s="466"/>
      <c r="S10" s="470"/>
      <c r="T10" s="194" t="s">
        <v>305</v>
      </c>
      <c r="U10" s="468"/>
      <c r="V10" s="199"/>
      <c r="W10" s="199"/>
      <c r="X10" s="199"/>
      <c r="Y10" s="199"/>
      <c r="Z10" s="199"/>
      <c r="AA10" s="199"/>
      <c r="AB10" s="199"/>
      <c r="AC10" s="199"/>
      <c r="AD10" s="199"/>
      <c r="AE10" s="199"/>
    </row>
    <row r="11" spans="1:31" ht="36" x14ac:dyDescent="0.25">
      <c r="A11" s="468"/>
      <c r="B11" s="469"/>
      <c r="C11" s="190" t="s">
        <v>306</v>
      </c>
      <c r="D11" s="468"/>
      <c r="E11" s="191"/>
      <c r="F11" s="191"/>
      <c r="G11" s="191"/>
      <c r="H11" s="193">
        <v>924</v>
      </c>
      <c r="I11" s="191"/>
      <c r="J11" s="192"/>
      <c r="K11" s="191"/>
      <c r="L11" s="196"/>
      <c r="M11" s="196"/>
      <c r="N11" s="196"/>
      <c r="O11" s="196"/>
      <c r="R11" s="466"/>
      <c r="S11" s="470"/>
      <c r="T11" s="194" t="s">
        <v>306</v>
      </c>
      <c r="U11" s="468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</row>
    <row r="12" spans="1:31" ht="24" x14ac:dyDescent="0.25">
      <c r="A12" s="468">
        <v>3</v>
      </c>
      <c r="B12" s="469" t="s">
        <v>310</v>
      </c>
      <c r="C12" s="190" t="s">
        <v>311</v>
      </c>
      <c r="D12" s="468" t="s">
        <v>312</v>
      </c>
      <c r="E12" s="191"/>
      <c r="F12" s="191"/>
      <c r="G12" s="191"/>
      <c r="H12" s="205">
        <v>30</v>
      </c>
      <c r="I12" s="209"/>
      <c r="J12" s="262">
        <f>'BRT METRO BDG RAYA (ANGTN UMUM)'!K8</f>
        <v>21.48</v>
      </c>
      <c r="K12" s="262">
        <f>'BRT METRO BDG RAYA (DED)'!A150+'BRT METRO BDG RAYA (DED)'!A160+'BRT METRO BDG RAYA (DED)'!A170+'BRT METRO BDG RAYA (DED)'!A180</f>
        <v>46.621000000000009</v>
      </c>
      <c r="L12" s="263">
        <f>'BRT METRO BDG RAYA (ANGTN UMUM)'!K9</f>
        <v>117.62</v>
      </c>
      <c r="M12" s="262">
        <f>'BRT METRO BDG RAYA (ANGTN UMUM)'!K10</f>
        <v>20.84</v>
      </c>
      <c r="N12" s="262">
        <f>'BRT METRO BDG RAYA (ANGTN UMUM)'!K11</f>
        <v>20.84</v>
      </c>
      <c r="O12" s="262">
        <f>'BRT METRO BDG RAYA (ANGTN UMUM)'!K12</f>
        <v>20.84</v>
      </c>
      <c r="R12" s="466">
        <v>3</v>
      </c>
      <c r="S12" s="466" t="s">
        <v>310</v>
      </c>
      <c r="T12" s="194" t="s">
        <v>311</v>
      </c>
      <c r="U12" s="468" t="s">
        <v>304</v>
      </c>
      <c r="V12" s="262">
        <f>'BRT METRO BDG RAYA (ANGTN UMUM)'!K13</f>
        <v>82.233333333333334</v>
      </c>
      <c r="W12" s="262">
        <f>'BRT METRO BDG RAYA (ANGTN UMUM)'!K14</f>
        <v>49.06</v>
      </c>
      <c r="X12" s="262">
        <f>'BRT METRO BDG RAYA (ANGTN UMUM)'!K15</f>
        <v>107.24</v>
      </c>
      <c r="Y12" s="262">
        <f>'BRT METRO BDG RAYA (ANGTN UMUM)'!K16</f>
        <v>26.013333333333332</v>
      </c>
      <c r="Z12" s="262">
        <f>'BRT METRO BDG RAYA (ANGTN UMUM)'!K17</f>
        <v>47.94</v>
      </c>
      <c r="AA12" s="262">
        <f>'BRT METRO BDG RAYA (ANGTN UMUM)'!L18</f>
        <v>14.32</v>
      </c>
      <c r="AB12" s="262">
        <f>'BRT METRO BDG RAYA (ANGTN UMUM)'!K22</f>
        <v>26.013333333333335</v>
      </c>
      <c r="AC12" s="262">
        <f>'BRT METRO BDG RAYA (ANGTN UMUM)'!K24</f>
        <v>14.017142857142858</v>
      </c>
      <c r="AD12" s="262">
        <f>'BRT METRO BDG RAYA (ANGTN UMUM)'!K25</f>
        <v>14.017142857142858</v>
      </c>
      <c r="AE12" s="262">
        <f>'BRT METRO BDG RAYA (ANGTN UMUM)'!K26</f>
        <v>15.805714285714286</v>
      </c>
    </row>
    <row r="13" spans="1:31" ht="48" x14ac:dyDescent="0.25">
      <c r="A13" s="468"/>
      <c r="B13" s="469"/>
      <c r="C13" s="190" t="s">
        <v>305</v>
      </c>
      <c r="D13" s="468"/>
      <c r="E13" s="191"/>
      <c r="F13" s="191"/>
      <c r="G13" s="191"/>
      <c r="H13" s="204">
        <v>1500000</v>
      </c>
      <c r="I13" s="209"/>
      <c r="J13" s="346">
        <f>J12*($K$13/$K$12)</f>
        <v>3041205.1238712161</v>
      </c>
      <c r="K13" s="264">
        <f>'BRT METRO BDG RAYA (DED)'!F116/1000</f>
        <v>6600746</v>
      </c>
      <c r="L13" s="346">
        <f>L12*($K$13/$K$12)</f>
        <v>16653004.966002442</v>
      </c>
      <c r="M13" s="346">
        <f>M12*($K$13/$K$12)</f>
        <v>2950591.935822912</v>
      </c>
      <c r="N13" s="346">
        <f>N12*($K$13/$K$12)</f>
        <v>2950591.935822912</v>
      </c>
      <c r="O13" s="346">
        <f>O12*($K$13/$K$12)</f>
        <v>2950591.935822912</v>
      </c>
      <c r="R13" s="466"/>
      <c r="S13" s="466"/>
      <c r="T13" s="194" t="s">
        <v>305</v>
      </c>
      <c r="U13" s="468"/>
      <c r="V13" s="346">
        <f t="shared" ref="V13:AE13" si="0">V12*($K$13/$K$12)</f>
        <v>11642850.776831612</v>
      </c>
      <c r="W13" s="346">
        <f t="shared" si="0"/>
        <v>6946067.1963278344</v>
      </c>
      <c r="X13" s="346">
        <f t="shared" si="0"/>
        <v>15183372.322344005</v>
      </c>
      <c r="Y13" s="346">
        <f t="shared" si="0"/>
        <v>3683048.5392133719</v>
      </c>
      <c r="Z13" s="346">
        <f t="shared" si="0"/>
        <v>6787494.1172433011</v>
      </c>
      <c r="AA13" s="346">
        <f t="shared" si="0"/>
        <v>2027470.0825808109</v>
      </c>
      <c r="AB13" s="346">
        <f t="shared" si="0"/>
        <v>3683048.5392133729</v>
      </c>
      <c r="AC13" s="346">
        <f t="shared" si="0"/>
        <v>1984590.6275222383</v>
      </c>
      <c r="AD13" s="346">
        <f t="shared" si="0"/>
        <v>1984590.6275222383</v>
      </c>
      <c r="AE13" s="346">
        <f t="shared" si="0"/>
        <v>2237822.1262643747</v>
      </c>
    </row>
    <row r="14" spans="1:31" ht="36" x14ac:dyDescent="0.25">
      <c r="A14" s="468"/>
      <c r="B14" s="469"/>
      <c r="C14" s="190" t="s">
        <v>306</v>
      </c>
      <c r="D14" s="468"/>
      <c r="E14" s="191"/>
      <c r="F14" s="191"/>
      <c r="G14" s="191"/>
      <c r="H14" s="204">
        <v>5257</v>
      </c>
      <c r="I14" s="209"/>
      <c r="J14" s="265">
        <f>'BRT METRO BDG RAYA (ANGTN UMUM)'!N8</f>
        <v>152.28757754275495</v>
      </c>
      <c r="K14" s="266">
        <f>'BRT METRO BDG RAYA (DED)'!H140</f>
        <v>639.60152331518862</v>
      </c>
      <c r="L14" s="267">
        <f>'BRT METRO BDG RAYA (ANGTN UMUM)'!N9</f>
        <v>3752.6023200815744</v>
      </c>
      <c r="M14" s="265">
        <f>'BRT METRO BDG RAYA (ANGTN UMUM)'!N10</f>
        <v>523.98529160071575</v>
      </c>
      <c r="N14" s="265">
        <f>'BRT METRO BDG RAYA (ANGTN UMUM)'!N11</f>
        <v>277.40397790626128</v>
      </c>
      <c r="O14" s="265">
        <f>'BRT METRO BDG RAYA (ANGTN UMUM)'!N12</f>
        <v>424.9124423484796</v>
      </c>
      <c r="R14" s="466"/>
      <c r="S14" s="466"/>
      <c r="T14" s="194" t="s">
        <v>306</v>
      </c>
      <c r="U14" s="468"/>
      <c r="V14" s="265">
        <f>'BRT METRO BDG RAYA (ANGTN UMUM)'!N13</f>
        <v>3275.1686607906995</v>
      </c>
      <c r="W14" s="270">
        <f>'BRT METRO BDG RAYA (ANGTN UMUM)'!N14</f>
        <v>704.87300263041163</v>
      </c>
      <c r="X14" s="270">
        <f>'BRT METRO BDG RAYA (ANGTN UMUM)'!N15</f>
        <v>3308.1415305101987</v>
      </c>
      <c r="Y14" s="270">
        <f>'BRT METRO BDG RAYA (ANGTN UMUM)'!N16</f>
        <v>489.17069656100182</v>
      </c>
      <c r="Z14" s="270">
        <f>'BRT METRO BDG RAYA (ANGTN UMUM)'!N17</f>
        <v>1033.1719857144901</v>
      </c>
      <c r="AA14" s="270">
        <f>'BRT METRO BDG RAYA (ANGTN UMUM)'!N18</f>
        <v>254.15386843363152</v>
      </c>
      <c r="AB14" s="270">
        <f>'BRT METRO BDG RAYA (ANGTN UMUM)'!N22</f>
        <v>56.661529743112695</v>
      </c>
      <c r="AC14" s="270">
        <f>'BRT METRO BDG RAYA (ANGTN UMUM)'!N24</f>
        <v>285.79934770518798</v>
      </c>
      <c r="AD14" s="270">
        <f>'BRT METRO BDG RAYA (ANGTN UMUM)'!N25</f>
        <v>248.7787068107335</v>
      </c>
      <c r="AE14" s="270">
        <f>'BRT METRO BDG RAYA (ANGTN UMUM)'!N26</f>
        <v>320.59724094740608</v>
      </c>
    </row>
    <row r="15" spans="1:31" ht="48" x14ac:dyDescent="0.25">
      <c r="A15" s="468">
        <v>4</v>
      </c>
      <c r="B15" s="469" t="s">
        <v>313</v>
      </c>
      <c r="C15" s="190" t="s">
        <v>314</v>
      </c>
      <c r="D15" s="468" t="s">
        <v>312</v>
      </c>
      <c r="E15" s="191"/>
      <c r="F15" s="191"/>
      <c r="G15" s="191"/>
      <c r="H15" s="268">
        <f>41</f>
        <v>41</v>
      </c>
      <c r="I15" s="191"/>
      <c r="J15" s="193">
        <v>42</v>
      </c>
      <c r="K15" s="193">
        <v>42</v>
      </c>
      <c r="L15" s="193">
        <v>42</v>
      </c>
      <c r="M15" s="193">
        <v>42</v>
      </c>
      <c r="N15" s="193">
        <v>42</v>
      </c>
      <c r="O15" s="193">
        <v>42</v>
      </c>
      <c r="P15" s="24">
        <f>SUM(J15:O15)</f>
        <v>252</v>
      </c>
      <c r="R15" s="466">
        <v>4</v>
      </c>
      <c r="S15" s="466" t="s">
        <v>313</v>
      </c>
      <c r="T15" s="194" t="s">
        <v>314</v>
      </c>
      <c r="U15" s="468" t="s">
        <v>304</v>
      </c>
      <c r="V15" s="193">
        <v>42</v>
      </c>
      <c r="W15" s="193">
        <v>42</v>
      </c>
      <c r="X15" s="193">
        <v>42</v>
      </c>
      <c r="Y15" s="193">
        <v>42</v>
      </c>
      <c r="Z15" s="193">
        <v>42</v>
      </c>
      <c r="AA15" s="193">
        <v>42</v>
      </c>
      <c r="AB15" s="195">
        <v>43</v>
      </c>
      <c r="AC15" s="195">
        <v>43</v>
      </c>
      <c r="AD15" s="195">
        <v>43</v>
      </c>
      <c r="AE15" s="195">
        <v>43</v>
      </c>
    </row>
    <row r="16" spans="1:31" ht="48" x14ac:dyDescent="0.25">
      <c r="A16" s="468"/>
      <c r="B16" s="469"/>
      <c r="C16" s="190" t="s">
        <v>305</v>
      </c>
      <c r="D16" s="468"/>
      <c r="E16" s="191"/>
      <c r="F16" s="191"/>
      <c r="G16" s="191"/>
      <c r="H16" s="264">
        <f>600000</f>
        <v>600000</v>
      </c>
      <c r="I16" s="191"/>
      <c r="J16" s="343">
        <f>J15*($H$16/$H$15)</f>
        <v>614634.14634146343</v>
      </c>
      <c r="K16" s="343">
        <f t="shared" ref="K16:O16" si="1">K15*($H$16/$H$15)</f>
        <v>614634.14634146343</v>
      </c>
      <c r="L16" s="343">
        <f t="shared" si="1"/>
        <v>614634.14634146343</v>
      </c>
      <c r="M16" s="343">
        <f t="shared" si="1"/>
        <v>614634.14634146343</v>
      </c>
      <c r="N16" s="343">
        <f t="shared" si="1"/>
        <v>614634.14634146343</v>
      </c>
      <c r="O16" s="343">
        <f t="shared" si="1"/>
        <v>614634.14634146343</v>
      </c>
      <c r="R16" s="466"/>
      <c r="S16" s="466"/>
      <c r="T16" s="194" t="s">
        <v>305</v>
      </c>
      <c r="U16" s="468"/>
      <c r="V16" s="343">
        <f t="shared" ref="V16" si="2">V15*($H$16/$H$15)</f>
        <v>614634.14634146343</v>
      </c>
      <c r="W16" s="343">
        <f t="shared" ref="W16" si="3">W15*($H$16/$H$15)</f>
        <v>614634.14634146343</v>
      </c>
      <c r="X16" s="343">
        <f t="shared" ref="X16" si="4">X15*($H$16/$H$15)</f>
        <v>614634.14634146343</v>
      </c>
      <c r="Y16" s="343">
        <f t="shared" ref="Y16" si="5">Y15*($H$16/$H$15)</f>
        <v>614634.14634146343</v>
      </c>
      <c r="Z16" s="343">
        <f t="shared" ref="Z16" si="6">Z15*($H$16/$H$15)</f>
        <v>614634.14634146343</v>
      </c>
      <c r="AA16" s="343">
        <f t="shared" ref="AA16" si="7">AA15*($H$16/$H$15)</f>
        <v>614634.14634146343</v>
      </c>
      <c r="AB16" s="343">
        <f t="shared" ref="AB16" si="8">AB15*($H$16/$H$15)</f>
        <v>629268.29268292687</v>
      </c>
      <c r="AC16" s="343">
        <f t="shared" ref="AC16" si="9">AC15*($H$16/$H$15)</f>
        <v>629268.29268292687</v>
      </c>
      <c r="AD16" s="343">
        <f t="shared" ref="AD16" si="10">AD15*($H$16/$H$15)</f>
        <v>629268.29268292687</v>
      </c>
      <c r="AE16" s="343">
        <f t="shared" ref="AE16" si="11">AE15*($H$16/$H$15)</f>
        <v>629268.29268292687</v>
      </c>
    </row>
    <row r="17" spans="1:31" ht="36" x14ac:dyDescent="0.25">
      <c r="A17" s="468"/>
      <c r="B17" s="469"/>
      <c r="C17" s="190" t="s">
        <v>306</v>
      </c>
      <c r="D17" s="468"/>
      <c r="E17" s="191"/>
      <c r="F17" s="191"/>
      <c r="G17" s="191"/>
      <c r="H17" s="269">
        <f>46</f>
        <v>46</v>
      </c>
      <c r="I17" s="191"/>
      <c r="J17" s="326">
        <f>'PEREMAJAAN ANGKUTAN'!E52</f>
        <v>997.47581818181834</v>
      </c>
      <c r="K17" s="326">
        <f>'PEREMAJAAN ANGKUTAN'!E53</f>
        <v>997.47581818181834</v>
      </c>
      <c r="L17" s="326">
        <f>'PEREMAJAAN ANGKUTAN'!E54</f>
        <v>997.47581818181834</v>
      </c>
      <c r="M17" s="326">
        <f>'PEREMAJAAN ANGKUTAN'!E55</f>
        <v>997.47581818181834</v>
      </c>
      <c r="N17" s="326">
        <f>'PEREMAJAAN ANGKUTAN'!E56</f>
        <v>997.47581818181834</v>
      </c>
      <c r="O17" s="326">
        <f>'PEREMAJAAN ANGKUTAN'!E57</f>
        <v>997.47581818181834</v>
      </c>
      <c r="R17" s="466"/>
      <c r="S17" s="466"/>
      <c r="T17" s="194" t="s">
        <v>306</v>
      </c>
      <c r="U17" s="468"/>
      <c r="V17" s="327">
        <f>'PEREMAJAAN ANGKUTAN'!E58</f>
        <v>997.47581818181834</v>
      </c>
      <c r="W17" s="327">
        <f>'PEREMAJAAN ANGKUTAN'!E59</f>
        <v>997.47581818181834</v>
      </c>
      <c r="X17" s="327">
        <f>'PEREMAJAAN ANGKUTAN'!E60</f>
        <v>997.47581818181834</v>
      </c>
      <c r="Y17" s="327">
        <f>'PEREMAJAAN ANGKUTAN'!E61</f>
        <v>997.47581818181834</v>
      </c>
      <c r="Z17" s="327">
        <f>'PEREMAJAAN ANGKUTAN'!E62</f>
        <v>997.47581818181834</v>
      </c>
      <c r="AA17" s="327">
        <f>'PEREMAJAAN ANGKUTAN'!E63</f>
        <v>997.47581818181834</v>
      </c>
      <c r="AB17" s="327">
        <f>'PEREMAJAAN ANGKUTAN'!E64</f>
        <v>1023.0698545454545</v>
      </c>
      <c r="AC17" s="327">
        <f>'PEREMAJAAN ANGKUTAN'!E65</f>
        <v>1023.0698545454545</v>
      </c>
      <c r="AD17" s="327">
        <f>'PEREMAJAAN ANGKUTAN'!E66</f>
        <v>1023.0698545454545</v>
      </c>
      <c r="AE17" s="327">
        <f>'PEREMAJAAN ANGKUTAN'!E67</f>
        <v>1023.0698545454545</v>
      </c>
    </row>
    <row r="18" spans="1:31" ht="36" x14ac:dyDescent="0.25">
      <c r="A18" s="468">
        <v>5</v>
      </c>
      <c r="B18" s="469" t="s">
        <v>315</v>
      </c>
      <c r="C18" s="190" t="s">
        <v>316</v>
      </c>
      <c r="D18" s="468" t="s">
        <v>312</v>
      </c>
      <c r="E18" s="191"/>
      <c r="F18" s="191"/>
      <c r="G18" s="191"/>
      <c r="H18" s="193">
        <v>500</v>
      </c>
      <c r="I18" s="191"/>
      <c r="J18" s="192"/>
      <c r="K18" s="192"/>
      <c r="L18" s="192"/>
      <c r="M18" s="193">
        <v>500</v>
      </c>
      <c r="N18" s="192"/>
      <c r="O18" s="192"/>
      <c r="R18" s="466">
        <v>5</v>
      </c>
      <c r="S18" s="466" t="s">
        <v>315</v>
      </c>
      <c r="T18" s="194" t="s">
        <v>316</v>
      </c>
      <c r="U18" s="468" t="s">
        <v>304</v>
      </c>
      <c r="V18" s="192"/>
      <c r="W18" s="195">
        <v>500</v>
      </c>
      <c r="X18" s="192"/>
      <c r="Y18" s="192"/>
      <c r="Z18" s="192"/>
      <c r="AA18" s="195">
        <v>500</v>
      </c>
      <c r="AB18" s="192"/>
      <c r="AC18" s="192"/>
      <c r="AD18" s="195">
        <v>500</v>
      </c>
      <c r="AE18" s="192"/>
    </row>
    <row r="19" spans="1:31" ht="48" x14ac:dyDescent="0.25">
      <c r="A19" s="468"/>
      <c r="B19" s="469"/>
      <c r="C19" s="190" t="s">
        <v>305</v>
      </c>
      <c r="D19" s="468"/>
      <c r="E19" s="191"/>
      <c r="F19" s="191"/>
      <c r="G19" s="191"/>
      <c r="H19" s="199">
        <v>275000</v>
      </c>
      <c r="I19" s="191"/>
      <c r="J19" s="192"/>
      <c r="K19" s="192"/>
      <c r="L19" s="192"/>
      <c r="M19" s="199">
        <v>275000</v>
      </c>
      <c r="N19" s="192"/>
      <c r="O19" s="192"/>
      <c r="P19" s="342"/>
      <c r="R19" s="466"/>
      <c r="S19" s="466"/>
      <c r="T19" s="194" t="s">
        <v>305</v>
      </c>
      <c r="U19" s="468"/>
      <c r="V19" s="192"/>
      <c r="W19" s="201">
        <v>275000</v>
      </c>
      <c r="X19" s="192"/>
      <c r="Y19" s="192"/>
      <c r="Z19" s="191"/>
      <c r="AA19" s="201">
        <v>275000</v>
      </c>
      <c r="AB19" s="192"/>
      <c r="AC19" s="192"/>
      <c r="AD19" s="201">
        <v>275000</v>
      </c>
      <c r="AE19" s="192"/>
    </row>
    <row r="20" spans="1:31" ht="36" x14ac:dyDescent="0.25">
      <c r="A20" s="468"/>
      <c r="B20" s="469"/>
      <c r="C20" s="190" t="s">
        <v>306</v>
      </c>
      <c r="D20" s="468"/>
      <c r="E20" s="191"/>
      <c r="F20" s="191"/>
      <c r="G20" s="191"/>
      <c r="H20" s="199">
        <v>73600</v>
      </c>
      <c r="I20" s="191"/>
      <c r="J20" s="191"/>
      <c r="K20" s="191"/>
      <c r="L20" s="191"/>
      <c r="M20" s="199">
        <v>73600</v>
      </c>
      <c r="N20" s="191"/>
      <c r="O20" s="191"/>
      <c r="R20" s="466"/>
      <c r="S20" s="466"/>
      <c r="T20" s="194" t="s">
        <v>306</v>
      </c>
      <c r="U20" s="468"/>
      <c r="V20" s="191"/>
      <c r="W20" s="201">
        <v>73600</v>
      </c>
      <c r="X20" s="191"/>
      <c r="Y20" s="191"/>
      <c r="Z20" s="191"/>
      <c r="AA20" s="201">
        <v>73600</v>
      </c>
      <c r="AB20" s="191"/>
      <c r="AC20" s="191"/>
      <c r="AD20" s="201">
        <v>73600</v>
      </c>
      <c r="AE20" s="191"/>
    </row>
    <row r="21" spans="1:31" ht="48" x14ac:dyDescent="0.25">
      <c r="A21" s="468">
        <v>6</v>
      </c>
      <c r="B21" s="190" t="s">
        <v>317</v>
      </c>
      <c r="C21" s="190" t="s">
        <v>318</v>
      </c>
      <c r="D21" s="468" t="s">
        <v>312</v>
      </c>
      <c r="E21" s="191"/>
      <c r="F21" s="196">
        <v>20</v>
      </c>
      <c r="G21" s="193">
        <v>20</v>
      </c>
      <c r="H21" s="199">
        <v>2052</v>
      </c>
      <c r="I21" s="196">
        <v>26</v>
      </c>
      <c r="J21" s="193">
        <v>54</v>
      </c>
      <c r="K21" s="193">
        <v>54</v>
      </c>
      <c r="L21" s="193">
        <v>54</v>
      </c>
      <c r="M21" s="193">
        <v>54</v>
      </c>
      <c r="N21" s="193">
        <v>54</v>
      </c>
      <c r="O21" s="193">
        <v>54</v>
      </c>
      <c r="R21" s="466">
        <v>6</v>
      </c>
      <c r="S21" s="466" t="s">
        <v>319</v>
      </c>
      <c r="T21" s="194" t="s">
        <v>318</v>
      </c>
      <c r="U21" s="468" t="s">
        <v>304</v>
      </c>
      <c r="V21" s="195">
        <v>54</v>
      </c>
      <c r="W21" s="195">
        <v>54</v>
      </c>
      <c r="X21" s="195">
        <v>54</v>
      </c>
      <c r="Y21" s="195">
        <v>54</v>
      </c>
      <c r="Z21" s="195">
        <v>54</v>
      </c>
      <c r="AA21" s="195">
        <v>54</v>
      </c>
      <c r="AB21" s="195">
        <v>54</v>
      </c>
      <c r="AC21" s="195">
        <v>54</v>
      </c>
      <c r="AD21" s="195">
        <v>54</v>
      </c>
      <c r="AE21" s="195">
        <v>54</v>
      </c>
    </row>
    <row r="22" spans="1:31" ht="48" x14ac:dyDescent="0.25">
      <c r="A22" s="468"/>
      <c r="B22" s="190" t="s">
        <v>320</v>
      </c>
      <c r="C22" s="190" t="s">
        <v>305</v>
      </c>
      <c r="D22" s="468"/>
      <c r="E22" s="191"/>
      <c r="F22" s="199">
        <v>350000</v>
      </c>
      <c r="G22" s="199">
        <v>150000</v>
      </c>
      <c r="H22" s="199">
        <v>487000</v>
      </c>
      <c r="I22" s="199">
        <v>150000</v>
      </c>
      <c r="J22" s="198">
        <v>487500</v>
      </c>
      <c r="K22" s="198">
        <v>487500</v>
      </c>
      <c r="L22" s="198">
        <v>487500</v>
      </c>
      <c r="M22" s="198">
        <v>487500</v>
      </c>
      <c r="N22" s="198">
        <v>487500</v>
      </c>
      <c r="O22" s="198">
        <v>487500</v>
      </c>
      <c r="R22" s="466"/>
      <c r="S22" s="466"/>
      <c r="T22" s="194" t="s">
        <v>305</v>
      </c>
      <c r="U22" s="468"/>
      <c r="V22" s="200">
        <v>487500</v>
      </c>
      <c r="W22" s="200">
        <v>487500</v>
      </c>
      <c r="X22" s="200">
        <v>487500</v>
      </c>
      <c r="Y22" s="200">
        <v>487500</v>
      </c>
      <c r="Z22" s="200">
        <v>487500</v>
      </c>
      <c r="AA22" s="200">
        <v>487500</v>
      </c>
      <c r="AB22" s="200">
        <v>487500</v>
      </c>
      <c r="AC22" s="200">
        <v>487500</v>
      </c>
      <c r="AD22" s="200">
        <v>487500</v>
      </c>
      <c r="AE22" s="200">
        <v>487500</v>
      </c>
    </row>
    <row r="23" spans="1:31" ht="36" x14ac:dyDescent="0.25">
      <c r="A23" s="468"/>
      <c r="B23" s="202"/>
      <c r="C23" s="190" t="s">
        <v>306</v>
      </c>
      <c r="D23" s="468"/>
      <c r="E23" s="191"/>
      <c r="F23" s="196">
        <v>5</v>
      </c>
      <c r="G23" s="196">
        <v>5</v>
      </c>
      <c r="H23" s="196">
        <v>18</v>
      </c>
      <c r="I23" s="196">
        <v>5</v>
      </c>
      <c r="J23" s="196">
        <v>243</v>
      </c>
      <c r="K23" s="196">
        <v>243</v>
      </c>
      <c r="L23" s="196">
        <v>243</v>
      </c>
      <c r="M23" s="196">
        <v>243</v>
      </c>
      <c r="N23" s="196">
        <v>243</v>
      </c>
      <c r="O23" s="196">
        <v>243</v>
      </c>
      <c r="R23" s="466"/>
      <c r="S23" s="466"/>
      <c r="T23" s="194" t="s">
        <v>306</v>
      </c>
      <c r="U23" s="468"/>
      <c r="V23" s="197">
        <v>243</v>
      </c>
      <c r="W23" s="197">
        <v>243</v>
      </c>
      <c r="X23" s="197">
        <v>243</v>
      </c>
      <c r="Y23" s="197">
        <v>243</v>
      </c>
      <c r="Z23" s="197">
        <v>243</v>
      </c>
      <c r="AA23" s="197">
        <v>243</v>
      </c>
      <c r="AB23" s="197">
        <v>243</v>
      </c>
      <c r="AC23" s="197">
        <v>243</v>
      </c>
      <c r="AD23" s="197">
        <v>243</v>
      </c>
      <c r="AE23" s="197">
        <v>243</v>
      </c>
    </row>
    <row r="24" spans="1:31" x14ac:dyDescent="0.25">
      <c r="D24" s="8" t="s">
        <v>396</v>
      </c>
      <c r="E24" s="8">
        <f>E8+E11+E14+E17+E20+E23</f>
        <v>0</v>
      </c>
      <c r="F24" s="8">
        <f t="shared" ref="F24:O24" si="12">F8+F11+F14+F17+F20+F23</f>
        <v>5</v>
      </c>
      <c r="G24" s="8">
        <f t="shared" si="12"/>
        <v>5</v>
      </c>
      <c r="H24" s="8">
        <f t="shared" si="12"/>
        <v>79845</v>
      </c>
      <c r="I24" s="8">
        <f t="shared" si="12"/>
        <v>5</v>
      </c>
      <c r="J24" s="8">
        <f t="shared" si="12"/>
        <v>1392.7633957245732</v>
      </c>
      <c r="K24" s="8">
        <f t="shared" si="12"/>
        <v>6611.1773414970066</v>
      </c>
      <c r="L24" s="8">
        <f t="shared" si="12"/>
        <v>5096.9181382633924</v>
      </c>
      <c r="M24" s="8">
        <f t="shared" si="12"/>
        <v>75364.46110978254</v>
      </c>
      <c r="N24" s="8">
        <f t="shared" si="12"/>
        <v>1535.2597960880796</v>
      </c>
      <c r="O24" s="8">
        <f t="shared" si="12"/>
        <v>1665.3882605302979</v>
      </c>
      <c r="V24" s="8">
        <f t="shared" ref="V24" si="13">V8+V11+V14+V17+V20+V23</f>
        <v>4533.0244789725184</v>
      </c>
      <c r="W24" s="8">
        <f t="shared" ref="W24" si="14">W8+W11+W14+W17+W20+W23</f>
        <v>75545.348820812229</v>
      </c>
      <c r="X24" s="8">
        <f t="shared" ref="X24" si="15">X8+X11+X14+X17+X20+X23</f>
        <v>4565.9973486920171</v>
      </c>
      <c r="Y24" s="8">
        <f t="shared" ref="Y24" si="16">Y8+Y11+Y14+Y17+Y20+Y23</f>
        <v>1729.6465147428203</v>
      </c>
      <c r="Z24" s="8">
        <f t="shared" ref="Z24" si="17">Z8+Z11+Z14+Z17+Z20+Z23</f>
        <v>2291.0278038963088</v>
      </c>
      <c r="AA24" s="8">
        <f t="shared" ref="AA24" si="18">AA8+AA11+AA14+AA17+AA20+AA23</f>
        <v>75094.629686615444</v>
      </c>
      <c r="AB24" s="8">
        <f t="shared" ref="AB24" si="19">AB8+AB11+AB14+AB17+AB20+AB23</f>
        <v>1340.1113842885673</v>
      </c>
      <c r="AC24" s="8">
        <f t="shared" ref="AC24" si="20">AC8+AC11+AC14+AC17+AC20+AC23</f>
        <v>1551.8692022506425</v>
      </c>
      <c r="AD24" s="8">
        <f t="shared" ref="AD24" si="21">AD8+AD11+AD14+AD17+AD20+AD23</f>
        <v>75132.228561356183</v>
      </c>
      <c r="AE24" s="8">
        <f t="shared" ref="AE24" si="22">AE8+AE11+AE14+AE17+AE20+AE23</f>
        <v>1586.6670954928607</v>
      </c>
    </row>
    <row r="25" spans="1:31" x14ac:dyDescent="0.25">
      <c r="D25" s="8" t="s">
        <v>397</v>
      </c>
      <c r="E25" s="8">
        <f>E24/1000</f>
        <v>0</v>
      </c>
      <c r="F25" s="8">
        <f t="shared" ref="F25:O25" si="23">F24/1000</f>
        <v>5.0000000000000001E-3</v>
      </c>
      <c r="G25" s="8">
        <f t="shared" si="23"/>
        <v>5.0000000000000001E-3</v>
      </c>
      <c r="H25" s="8">
        <f t="shared" si="23"/>
        <v>79.844999999999999</v>
      </c>
      <c r="I25" s="8">
        <f t="shared" si="23"/>
        <v>5.0000000000000001E-3</v>
      </c>
      <c r="J25" s="8">
        <f t="shared" si="23"/>
        <v>1.3927633957245733</v>
      </c>
      <c r="K25" s="8">
        <f t="shared" si="23"/>
        <v>6.6111773414970063</v>
      </c>
      <c r="L25" s="8">
        <f t="shared" si="23"/>
        <v>5.0969181382633924</v>
      </c>
      <c r="M25" s="8">
        <f t="shared" si="23"/>
        <v>75.364461109782539</v>
      </c>
      <c r="N25" s="8">
        <f t="shared" si="23"/>
        <v>1.5352597960880796</v>
      </c>
      <c r="O25" s="8">
        <f t="shared" si="23"/>
        <v>1.6653882605302979</v>
      </c>
      <c r="V25" s="8">
        <f t="shared" ref="V25" si="24">V24/1000</f>
        <v>4.5330244789725187</v>
      </c>
      <c r="W25" s="8">
        <f t="shared" ref="W25" si="25">W24/1000</f>
        <v>75.545348820812222</v>
      </c>
      <c r="X25" s="8">
        <f t="shared" ref="X25" si="26">X24/1000</f>
        <v>4.5659973486920169</v>
      </c>
      <c r="Y25" s="8">
        <f t="shared" ref="Y25" si="27">Y24/1000</f>
        <v>1.7296465147428202</v>
      </c>
      <c r="Z25" s="8">
        <f t="shared" ref="Z25" si="28">Z24/1000</f>
        <v>2.2910278038963088</v>
      </c>
      <c r="AA25" s="8">
        <f t="shared" ref="AA25" si="29">AA24/1000</f>
        <v>75.094629686615448</v>
      </c>
      <c r="AB25" s="8">
        <f t="shared" ref="AB25" si="30">AB24/1000</f>
        <v>1.3401113842885672</v>
      </c>
      <c r="AC25" s="8">
        <f t="shared" ref="AC25" si="31">AC24/1000</f>
        <v>1.5518692022506424</v>
      </c>
      <c r="AD25" s="8">
        <f t="shared" ref="AD25" si="32">AD24/1000</f>
        <v>75.132228561356186</v>
      </c>
      <c r="AE25" s="8">
        <f t="shared" ref="AE25" si="33">AE24/1000</f>
        <v>1.5866670954928606</v>
      </c>
    </row>
    <row r="29" spans="1:31" x14ac:dyDescent="0.25">
      <c r="E29" s="210"/>
      <c r="J29" s="210"/>
    </row>
    <row r="30" spans="1:31" x14ac:dyDescent="0.25">
      <c r="E30" s="210"/>
      <c r="J30" s="210"/>
    </row>
    <row r="31" spans="1:31" x14ac:dyDescent="0.25">
      <c r="E31" s="210"/>
      <c r="J31" s="210"/>
      <c r="N31" s="211" t="s">
        <v>426</v>
      </c>
    </row>
    <row r="32" spans="1:31" x14ac:dyDescent="0.25">
      <c r="A32" s="463" t="s">
        <v>418</v>
      </c>
      <c r="B32" s="328"/>
      <c r="C32" s="463" t="s">
        <v>421</v>
      </c>
      <c r="D32" s="463"/>
      <c r="E32" s="463"/>
      <c r="F32" s="463"/>
      <c r="G32" s="463"/>
      <c r="H32" s="463"/>
      <c r="I32" s="463"/>
      <c r="J32" s="463"/>
      <c r="K32" s="464" t="s">
        <v>398</v>
      </c>
      <c r="N32" s="465" t="s">
        <v>418</v>
      </c>
      <c r="O32" s="462" t="s">
        <v>301</v>
      </c>
      <c r="P32" s="462"/>
      <c r="Q32" s="462" t="s">
        <v>400</v>
      </c>
      <c r="R32" s="462"/>
      <c r="S32" s="462" t="s">
        <v>310</v>
      </c>
      <c r="T32" s="462"/>
      <c r="U32" s="462" t="s">
        <v>313</v>
      </c>
      <c r="V32" s="462"/>
      <c r="W32" s="462" t="s">
        <v>315</v>
      </c>
      <c r="X32" s="462"/>
      <c r="Y32" s="462" t="s">
        <v>319</v>
      </c>
      <c r="Z32" s="462"/>
      <c r="AA32" s="462" t="s">
        <v>422</v>
      </c>
      <c r="AB32" s="462"/>
    </row>
    <row r="33" spans="1:29" ht="76.5" customHeight="1" x14ac:dyDescent="0.25">
      <c r="A33" s="463"/>
      <c r="B33" s="329" t="s">
        <v>399</v>
      </c>
      <c r="C33" s="329" t="s">
        <v>301</v>
      </c>
      <c r="D33" s="329" t="s">
        <v>400</v>
      </c>
      <c r="E33" s="329" t="s">
        <v>310</v>
      </c>
      <c r="F33" s="329" t="s">
        <v>313</v>
      </c>
      <c r="G33" s="329" t="s">
        <v>315</v>
      </c>
      <c r="H33" s="329" t="s">
        <v>319</v>
      </c>
      <c r="I33" s="329" t="s">
        <v>210</v>
      </c>
      <c r="J33" s="329" t="s">
        <v>401</v>
      </c>
      <c r="K33" s="464"/>
      <c r="L33" s="340" t="s">
        <v>420</v>
      </c>
      <c r="N33" s="465"/>
      <c r="O33" s="345" t="s">
        <v>423</v>
      </c>
      <c r="P33" s="345" t="s">
        <v>424</v>
      </c>
      <c r="Q33" s="345" t="s">
        <v>423</v>
      </c>
      <c r="R33" s="345" t="s">
        <v>424</v>
      </c>
      <c r="S33" s="345" t="s">
        <v>423</v>
      </c>
      <c r="T33" s="345" t="s">
        <v>424</v>
      </c>
      <c r="U33" s="345" t="s">
        <v>423</v>
      </c>
      <c r="V33" s="345" t="s">
        <v>424</v>
      </c>
      <c r="W33" s="345" t="s">
        <v>423</v>
      </c>
      <c r="X33" s="345" t="s">
        <v>424</v>
      </c>
      <c r="Y33" s="345" t="s">
        <v>423</v>
      </c>
      <c r="Z33" s="345" t="s">
        <v>424</v>
      </c>
      <c r="AA33" s="345" t="s">
        <v>423</v>
      </c>
      <c r="AB33" s="345" t="s">
        <v>424</v>
      </c>
    </row>
    <row r="34" spans="1:29" x14ac:dyDescent="0.25">
      <c r="A34" s="330">
        <v>2010</v>
      </c>
      <c r="B34" s="331">
        <v>12105300</v>
      </c>
      <c r="C34" s="332">
        <f>E8</f>
        <v>0</v>
      </c>
      <c r="D34" s="332">
        <f>E11</f>
        <v>0</v>
      </c>
      <c r="E34" s="333">
        <f>E14</f>
        <v>0</v>
      </c>
      <c r="F34" s="332">
        <f>E17</f>
        <v>0</v>
      </c>
      <c r="G34" s="332">
        <f>E20</f>
        <v>0</v>
      </c>
      <c r="H34" s="333">
        <f>E23</f>
        <v>0</v>
      </c>
      <c r="I34" s="334">
        <f>SUM(C34:H34)</f>
        <v>0</v>
      </c>
      <c r="J34" s="334">
        <f>I34</f>
        <v>0</v>
      </c>
      <c r="K34" s="335">
        <f>B34-J34</f>
        <v>12105300</v>
      </c>
      <c r="L34" s="341">
        <f>I34/1000</f>
        <v>0</v>
      </c>
      <c r="M34" s="210"/>
      <c r="N34" s="344">
        <v>2010</v>
      </c>
      <c r="O34" s="348">
        <f>C34</f>
        <v>0</v>
      </c>
      <c r="P34" s="348">
        <v>0</v>
      </c>
      <c r="Q34" s="348">
        <f>D34</f>
        <v>0</v>
      </c>
      <c r="R34" s="348"/>
      <c r="S34" s="348">
        <f>E34</f>
        <v>0</v>
      </c>
      <c r="T34" s="348"/>
      <c r="U34" s="348">
        <f>F34</f>
        <v>0</v>
      </c>
      <c r="V34" s="348"/>
      <c r="W34" s="348">
        <f>G34</f>
        <v>0</v>
      </c>
      <c r="X34" s="348"/>
      <c r="Y34" s="348">
        <f>H34</f>
        <v>0</v>
      </c>
      <c r="Z34" s="348"/>
      <c r="AA34" s="348">
        <f>I34</f>
        <v>0</v>
      </c>
      <c r="AB34" s="348">
        <f t="shared" ref="AB34:AB43" si="34">P34+R34+T34+V34+X34+Z34</f>
        <v>0</v>
      </c>
      <c r="AC34" s="350"/>
    </row>
    <row r="35" spans="1:29" x14ac:dyDescent="0.25">
      <c r="A35" s="330">
        <v>2011</v>
      </c>
      <c r="B35" s="331">
        <v>12985600</v>
      </c>
      <c r="C35" s="332">
        <f>F8</f>
        <v>0</v>
      </c>
      <c r="D35" s="332">
        <f>F11</f>
        <v>0</v>
      </c>
      <c r="E35" s="333">
        <f>F14</f>
        <v>0</v>
      </c>
      <c r="F35" s="333">
        <f>F17</f>
        <v>0</v>
      </c>
      <c r="G35" s="333">
        <f>F20</f>
        <v>0</v>
      </c>
      <c r="H35" s="333">
        <f>F23</f>
        <v>5</v>
      </c>
      <c r="I35" s="334">
        <f t="shared" ref="I35:I54" si="35">SUM(C35:H35)</f>
        <v>5</v>
      </c>
      <c r="J35" s="334">
        <f>J34+I35</f>
        <v>5</v>
      </c>
      <c r="K35" s="335">
        <f t="shared" ref="K35:K54" si="36">B35-J35</f>
        <v>12985595</v>
      </c>
      <c r="L35" s="341">
        <f>I35/1000</f>
        <v>5.0000000000000001E-3</v>
      </c>
      <c r="N35" s="344">
        <v>2011</v>
      </c>
      <c r="O35" s="348">
        <f>O34+C35</f>
        <v>0</v>
      </c>
      <c r="P35" s="348">
        <v>0</v>
      </c>
      <c r="Q35" s="348">
        <f t="shared" ref="Q35:Q54" si="37">Q34+D35</f>
        <v>0</v>
      </c>
      <c r="R35" s="348"/>
      <c r="S35" s="348">
        <f t="shared" ref="S35:S54" si="38">S34+E35</f>
        <v>0</v>
      </c>
      <c r="T35" s="348"/>
      <c r="U35" s="348">
        <f t="shared" ref="U35:U54" si="39">U34+F35</f>
        <v>0</v>
      </c>
      <c r="V35" s="348"/>
      <c r="W35" s="348">
        <f t="shared" ref="W35:W54" si="40">W34+G35</f>
        <v>0</v>
      </c>
      <c r="X35" s="348"/>
      <c r="Y35" s="348">
        <f t="shared" ref="Y35:Y54" si="41">Y34+H35</f>
        <v>5</v>
      </c>
      <c r="Z35" s="348">
        <f>F22</f>
        <v>350000</v>
      </c>
      <c r="AA35" s="348">
        <f t="shared" ref="AA35:AA54" si="42">AA34+I35</f>
        <v>5</v>
      </c>
      <c r="AB35" s="348">
        <f t="shared" si="34"/>
        <v>350000</v>
      </c>
      <c r="AC35" s="350"/>
    </row>
    <row r="36" spans="1:29" x14ac:dyDescent="0.25">
      <c r="A36" s="330">
        <v>2012</v>
      </c>
      <c r="B36" s="331">
        <v>13866000</v>
      </c>
      <c r="C36" s="332">
        <f>H8</f>
        <v>0</v>
      </c>
      <c r="D36" s="332">
        <f>G11</f>
        <v>0</v>
      </c>
      <c r="E36" s="333">
        <f>G14</f>
        <v>0</v>
      </c>
      <c r="F36" s="333">
        <f>G17</f>
        <v>0</v>
      </c>
      <c r="G36" s="333">
        <f>G20</f>
        <v>0</v>
      </c>
      <c r="H36" s="333">
        <f>G23</f>
        <v>5</v>
      </c>
      <c r="I36" s="334">
        <f t="shared" si="35"/>
        <v>5</v>
      </c>
      <c r="J36" s="334">
        <f t="shared" ref="J36:J54" si="43">J35+I36</f>
        <v>10</v>
      </c>
      <c r="K36" s="335">
        <f t="shared" si="36"/>
        <v>13865990</v>
      </c>
      <c r="L36" s="341">
        <f t="shared" ref="L36:L54" si="44">I36/1000</f>
        <v>5.0000000000000001E-3</v>
      </c>
      <c r="N36" s="344">
        <v>2012</v>
      </c>
      <c r="O36" s="348">
        <f t="shared" ref="O36:O54" si="45">O35+C36</f>
        <v>0</v>
      </c>
      <c r="P36" s="348">
        <v>0</v>
      </c>
      <c r="Q36" s="348">
        <f t="shared" si="37"/>
        <v>0</v>
      </c>
      <c r="R36" s="348"/>
      <c r="S36" s="348">
        <f t="shared" si="38"/>
        <v>0</v>
      </c>
      <c r="T36" s="348"/>
      <c r="U36" s="348">
        <f t="shared" si="39"/>
        <v>0</v>
      </c>
      <c r="V36" s="348"/>
      <c r="W36" s="348">
        <f t="shared" si="40"/>
        <v>0</v>
      </c>
      <c r="X36" s="348"/>
      <c r="Y36" s="348">
        <f t="shared" si="41"/>
        <v>10</v>
      </c>
      <c r="Z36" s="348">
        <f>G22</f>
        <v>150000</v>
      </c>
      <c r="AA36" s="348">
        <f>AA35+I36</f>
        <v>10</v>
      </c>
      <c r="AB36" s="348">
        <f t="shared" si="34"/>
        <v>150000</v>
      </c>
      <c r="AC36" s="350"/>
    </row>
    <row r="37" spans="1:29" x14ac:dyDescent="0.25">
      <c r="A37" s="330">
        <v>2013</v>
      </c>
      <c r="B37" s="331">
        <v>14746400</v>
      </c>
      <c r="C37" s="332">
        <f>H8</f>
        <v>0</v>
      </c>
      <c r="D37" s="332">
        <f>H11</f>
        <v>924</v>
      </c>
      <c r="E37" s="336">
        <f>H14</f>
        <v>5257</v>
      </c>
      <c r="F37" s="337">
        <f>H17</f>
        <v>46</v>
      </c>
      <c r="G37" s="336">
        <f>H20</f>
        <v>73600</v>
      </c>
      <c r="H37" s="337">
        <f>H23</f>
        <v>18</v>
      </c>
      <c r="I37" s="334">
        <f t="shared" si="35"/>
        <v>79845</v>
      </c>
      <c r="J37" s="334">
        <f t="shared" si="43"/>
        <v>79855</v>
      </c>
      <c r="K37" s="335">
        <f t="shared" si="36"/>
        <v>14666545</v>
      </c>
      <c r="L37" s="341">
        <f t="shared" si="44"/>
        <v>79.844999999999999</v>
      </c>
      <c r="N37" s="344">
        <v>2013</v>
      </c>
      <c r="O37" s="348">
        <f t="shared" si="45"/>
        <v>0</v>
      </c>
      <c r="P37" s="348">
        <v>0</v>
      </c>
      <c r="Q37" s="348">
        <f t="shared" si="37"/>
        <v>924</v>
      </c>
      <c r="R37" s="348">
        <f>H10</f>
        <v>48460</v>
      </c>
      <c r="S37" s="348">
        <f t="shared" si="38"/>
        <v>5257</v>
      </c>
      <c r="T37" s="348">
        <f>H13</f>
        <v>1500000</v>
      </c>
      <c r="U37" s="348">
        <f t="shared" si="39"/>
        <v>46</v>
      </c>
      <c r="V37" s="348">
        <f>H16</f>
        <v>600000</v>
      </c>
      <c r="W37" s="348">
        <f t="shared" si="40"/>
        <v>73600</v>
      </c>
      <c r="X37" s="348">
        <f>H19</f>
        <v>275000</v>
      </c>
      <c r="Y37" s="348">
        <f t="shared" si="41"/>
        <v>28</v>
      </c>
      <c r="Z37" s="348">
        <f>H22</f>
        <v>487000</v>
      </c>
      <c r="AA37" s="348">
        <f>AA36+I37</f>
        <v>79855</v>
      </c>
      <c r="AB37" s="348">
        <f t="shared" si="34"/>
        <v>2910460</v>
      </c>
      <c r="AC37" s="350"/>
    </row>
    <row r="38" spans="1:29" x14ac:dyDescent="0.25">
      <c r="A38" s="330">
        <v>2014</v>
      </c>
      <c r="B38" s="331">
        <v>15626800</v>
      </c>
      <c r="C38" s="332">
        <f>I8</f>
        <v>0</v>
      </c>
      <c r="D38" s="332">
        <f>I11</f>
        <v>0</v>
      </c>
      <c r="E38" s="333">
        <f>I14</f>
        <v>0</v>
      </c>
      <c r="F38" s="333">
        <f>I17</f>
        <v>0</v>
      </c>
      <c r="G38" s="333">
        <f>I20</f>
        <v>0</v>
      </c>
      <c r="H38" s="333">
        <f>I23</f>
        <v>5</v>
      </c>
      <c r="I38" s="334">
        <f t="shared" si="35"/>
        <v>5</v>
      </c>
      <c r="J38" s="334">
        <f t="shared" si="43"/>
        <v>79860</v>
      </c>
      <c r="K38" s="335">
        <f t="shared" si="36"/>
        <v>15546940</v>
      </c>
      <c r="L38" s="341">
        <f t="shared" si="44"/>
        <v>5.0000000000000001E-3</v>
      </c>
      <c r="N38" s="344">
        <v>2014</v>
      </c>
      <c r="O38" s="348">
        <f t="shared" si="45"/>
        <v>0</v>
      </c>
      <c r="P38" s="348">
        <v>0</v>
      </c>
      <c r="Q38" s="348">
        <f t="shared" si="37"/>
        <v>924</v>
      </c>
      <c r="R38" s="348"/>
      <c r="S38" s="348">
        <f t="shared" si="38"/>
        <v>5257</v>
      </c>
      <c r="T38" s="348"/>
      <c r="U38" s="348">
        <f t="shared" si="39"/>
        <v>46</v>
      </c>
      <c r="V38" s="348"/>
      <c r="W38" s="348">
        <f t="shared" si="40"/>
        <v>73600</v>
      </c>
      <c r="X38" s="348"/>
      <c r="Y38" s="348">
        <f t="shared" si="41"/>
        <v>33</v>
      </c>
      <c r="Z38" s="348">
        <f>I22</f>
        <v>150000</v>
      </c>
      <c r="AA38" s="348">
        <f t="shared" si="42"/>
        <v>79860</v>
      </c>
      <c r="AB38" s="348">
        <f t="shared" si="34"/>
        <v>150000</v>
      </c>
      <c r="AC38" s="350"/>
    </row>
    <row r="39" spans="1:29" x14ac:dyDescent="0.25">
      <c r="A39" s="330">
        <v>2015</v>
      </c>
      <c r="B39" s="331">
        <v>16507200</v>
      </c>
      <c r="C39" s="332">
        <f>J8</f>
        <v>0</v>
      </c>
      <c r="D39" s="332">
        <f>J11</f>
        <v>0</v>
      </c>
      <c r="E39" s="337">
        <f>J14</f>
        <v>152.28757754275495</v>
      </c>
      <c r="F39" s="338">
        <f>J17</f>
        <v>997.47581818181834</v>
      </c>
      <c r="G39" s="333">
        <f>J20</f>
        <v>0</v>
      </c>
      <c r="H39" s="337">
        <f>J23</f>
        <v>243</v>
      </c>
      <c r="I39" s="334">
        <f t="shared" si="35"/>
        <v>1392.7633957245732</v>
      </c>
      <c r="J39" s="334">
        <f t="shared" si="43"/>
        <v>81252.763395724571</v>
      </c>
      <c r="K39" s="335">
        <f t="shared" si="36"/>
        <v>16425947.236604275</v>
      </c>
      <c r="L39" s="341">
        <f t="shared" si="44"/>
        <v>1.3927633957245733</v>
      </c>
      <c r="N39" s="344">
        <v>2015</v>
      </c>
      <c r="O39" s="348">
        <f t="shared" si="45"/>
        <v>0</v>
      </c>
      <c r="P39" s="348">
        <v>0</v>
      </c>
      <c r="Q39" s="348">
        <f t="shared" si="37"/>
        <v>924</v>
      </c>
      <c r="R39" s="348"/>
      <c r="S39" s="348">
        <f t="shared" si="38"/>
        <v>5409.2875775427547</v>
      </c>
      <c r="T39" s="348">
        <f>J13</f>
        <v>3041205.1238712161</v>
      </c>
      <c r="U39" s="348">
        <f t="shared" si="39"/>
        <v>1043.4758181818183</v>
      </c>
      <c r="V39" s="348">
        <f>J16</f>
        <v>614634.14634146343</v>
      </c>
      <c r="W39" s="348">
        <f t="shared" si="40"/>
        <v>73600</v>
      </c>
      <c r="X39" s="348"/>
      <c r="Y39" s="348">
        <f t="shared" si="41"/>
        <v>276</v>
      </c>
      <c r="Z39" s="348">
        <f>J22</f>
        <v>487500</v>
      </c>
      <c r="AA39" s="348">
        <f t="shared" si="42"/>
        <v>81252.763395724571</v>
      </c>
      <c r="AB39" s="348">
        <f t="shared" si="34"/>
        <v>4143339.2702126796</v>
      </c>
      <c r="AC39" s="350"/>
    </row>
    <row r="40" spans="1:29" x14ac:dyDescent="0.25">
      <c r="A40" s="330">
        <v>2016</v>
      </c>
      <c r="B40" s="331">
        <v>18187600</v>
      </c>
      <c r="C40" s="332">
        <f>K8</f>
        <v>4731.1000000000004</v>
      </c>
      <c r="D40" s="332">
        <f>K11</f>
        <v>0</v>
      </c>
      <c r="E40" s="338">
        <f>K14</f>
        <v>639.60152331518862</v>
      </c>
      <c r="F40" s="338">
        <f>K17</f>
        <v>997.47581818181834</v>
      </c>
      <c r="G40" s="333">
        <f>K20</f>
        <v>0</v>
      </c>
      <c r="H40" s="337">
        <f>K23</f>
        <v>243</v>
      </c>
      <c r="I40" s="334">
        <f t="shared" si="35"/>
        <v>6611.1773414970066</v>
      </c>
      <c r="J40" s="334">
        <f t="shared" si="43"/>
        <v>87863.940737221579</v>
      </c>
      <c r="K40" s="335">
        <f t="shared" si="36"/>
        <v>18099736.059262779</v>
      </c>
      <c r="L40" s="341">
        <f t="shared" si="44"/>
        <v>6.6111773414970063</v>
      </c>
      <c r="N40" s="344">
        <v>2016</v>
      </c>
      <c r="O40" s="348">
        <f t="shared" si="45"/>
        <v>4731.1000000000004</v>
      </c>
      <c r="P40" s="348">
        <v>0</v>
      </c>
      <c r="Q40" s="348">
        <f t="shared" si="37"/>
        <v>924</v>
      </c>
      <c r="R40" s="348"/>
      <c r="S40" s="348">
        <f t="shared" si="38"/>
        <v>6048.889100857943</v>
      </c>
      <c r="T40" s="348">
        <f>K13</f>
        <v>6600746</v>
      </c>
      <c r="U40" s="348">
        <f t="shared" si="39"/>
        <v>2040.9516363636367</v>
      </c>
      <c r="V40" s="348">
        <f>K16</f>
        <v>614634.14634146343</v>
      </c>
      <c r="W40" s="348">
        <f t="shared" si="40"/>
        <v>73600</v>
      </c>
      <c r="X40" s="348"/>
      <c r="Y40" s="348">
        <f t="shared" si="41"/>
        <v>519</v>
      </c>
      <c r="Z40" s="348">
        <f>K22</f>
        <v>487500</v>
      </c>
      <c r="AA40" s="348">
        <f t="shared" si="42"/>
        <v>87863.940737221579</v>
      </c>
      <c r="AB40" s="348">
        <f t="shared" si="34"/>
        <v>7702880.1463414636</v>
      </c>
      <c r="AC40" s="350"/>
    </row>
    <row r="41" spans="1:29" x14ac:dyDescent="0.25">
      <c r="A41" s="330">
        <v>2017</v>
      </c>
      <c r="B41" s="331">
        <v>19017100</v>
      </c>
      <c r="C41" s="332">
        <f>L8</f>
        <v>103.84</v>
      </c>
      <c r="D41" s="332">
        <f>L11</f>
        <v>0</v>
      </c>
      <c r="E41" s="337">
        <f>L14</f>
        <v>3752.6023200815744</v>
      </c>
      <c r="F41" s="338">
        <f>L17</f>
        <v>997.47581818181834</v>
      </c>
      <c r="G41" s="333">
        <f>L20</f>
        <v>0</v>
      </c>
      <c r="H41" s="337">
        <f>L23</f>
        <v>243</v>
      </c>
      <c r="I41" s="334">
        <f t="shared" si="35"/>
        <v>5096.9181382633924</v>
      </c>
      <c r="J41" s="334">
        <f t="shared" si="43"/>
        <v>92960.858875484977</v>
      </c>
      <c r="K41" s="335">
        <f t="shared" si="36"/>
        <v>18924139.141124517</v>
      </c>
      <c r="L41" s="341">
        <f t="shared" si="44"/>
        <v>5.0969181382633924</v>
      </c>
      <c r="N41" s="344">
        <v>2017</v>
      </c>
      <c r="O41" s="348">
        <f t="shared" si="45"/>
        <v>4834.9400000000005</v>
      </c>
      <c r="P41" s="348">
        <v>0</v>
      </c>
      <c r="Q41" s="348">
        <f t="shared" si="37"/>
        <v>924</v>
      </c>
      <c r="R41" s="348"/>
      <c r="S41" s="348">
        <f t="shared" si="38"/>
        <v>9801.4914209395174</v>
      </c>
      <c r="T41" s="348">
        <f>L13</f>
        <v>16653004.966002442</v>
      </c>
      <c r="U41" s="348">
        <f t="shared" si="39"/>
        <v>3038.427454545455</v>
      </c>
      <c r="V41" s="348">
        <f>L16</f>
        <v>614634.14634146343</v>
      </c>
      <c r="W41" s="348">
        <f t="shared" si="40"/>
        <v>73600</v>
      </c>
      <c r="X41" s="348"/>
      <c r="Y41" s="348">
        <f t="shared" si="41"/>
        <v>762</v>
      </c>
      <c r="Z41" s="348">
        <f>L22</f>
        <v>487500</v>
      </c>
      <c r="AA41" s="348">
        <f t="shared" si="42"/>
        <v>92960.858875484977</v>
      </c>
      <c r="AB41" s="348">
        <f t="shared" si="34"/>
        <v>17755139.112343904</v>
      </c>
      <c r="AC41" s="350"/>
    </row>
    <row r="42" spans="1:29" x14ac:dyDescent="0.25">
      <c r="A42" s="330">
        <v>2018</v>
      </c>
      <c r="B42" s="331">
        <v>19846700</v>
      </c>
      <c r="C42" s="332">
        <f>M8</f>
        <v>0</v>
      </c>
      <c r="D42" s="332">
        <f>M11</f>
        <v>0</v>
      </c>
      <c r="E42" s="337">
        <f>M14</f>
        <v>523.98529160071575</v>
      </c>
      <c r="F42" s="338">
        <f>M17</f>
        <v>997.47581818181834</v>
      </c>
      <c r="G42" s="336">
        <f>M20</f>
        <v>73600</v>
      </c>
      <c r="H42" s="337">
        <f>M23</f>
        <v>243</v>
      </c>
      <c r="I42" s="334">
        <f t="shared" si="35"/>
        <v>75364.46110978254</v>
      </c>
      <c r="J42" s="334">
        <f t="shared" si="43"/>
        <v>168325.31998526753</v>
      </c>
      <c r="K42" s="335">
        <f t="shared" si="36"/>
        <v>19678374.680014733</v>
      </c>
      <c r="L42" s="341">
        <f t="shared" si="44"/>
        <v>75.364461109782539</v>
      </c>
      <c r="N42" s="344">
        <v>2018</v>
      </c>
      <c r="O42" s="348">
        <f t="shared" si="45"/>
        <v>4834.9400000000005</v>
      </c>
      <c r="P42" s="348">
        <v>0</v>
      </c>
      <c r="Q42" s="348">
        <f t="shared" si="37"/>
        <v>924</v>
      </c>
      <c r="R42" s="348"/>
      <c r="S42" s="348">
        <f t="shared" si="38"/>
        <v>10325.476712540232</v>
      </c>
      <c r="T42" s="348">
        <f>M13</f>
        <v>2950591.935822912</v>
      </c>
      <c r="U42" s="348">
        <f t="shared" si="39"/>
        <v>4035.9032727272734</v>
      </c>
      <c r="V42" s="348">
        <f>M16</f>
        <v>614634.14634146343</v>
      </c>
      <c r="W42" s="348">
        <f t="shared" si="40"/>
        <v>147200</v>
      </c>
      <c r="X42" s="348">
        <f>M19</f>
        <v>275000</v>
      </c>
      <c r="Y42" s="348">
        <f t="shared" si="41"/>
        <v>1005</v>
      </c>
      <c r="Z42" s="348">
        <f>M22</f>
        <v>487500</v>
      </c>
      <c r="AA42" s="348">
        <f t="shared" si="42"/>
        <v>168325.31998526753</v>
      </c>
      <c r="AB42" s="348">
        <f t="shared" si="34"/>
        <v>4327726.0821643751</v>
      </c>
      <c r="AC42" s="350"/>
    </row>
    <row r="43" spans="1:29" x14ac:dyDescent="0.25">
      <c r="A43" s="330">
        <v>2019</v>
      </c>
      <c r="B43" s="331">
        <v>20676300</v>
      </c>
      <c r="C43" s="332">
        <f>N8</f>
        <v>17.38</v>
      </c>
      <c r="D43" s="332">
        <f>N11</f>
        <v>0</v>
      </c>
      <c r="E43" s="337">
        <f>N14</f>
        <v>277.40397790626128</v>
      </c>
      <c r="F43" s="338">
        <f>N17</f>
        <v>997.47581818181834</v>
      </c>
      <c r="G43" s="333">
        <f>N20</f>
        <v>0</v>
      </c>
      <c r="H43" s="337">
        <f>N23</f>
        <v>243</v>
      </c>
      <c r="I43" s="334">
        <f t="shared" si="35"/>
        <v>1535.2597960880796</v>
      </c>
      <c r="J43" s="334">
        <f t="shared" si="43"/>
        <v>169860.5797813556</v>
      </c>
      <c r="K43" s="335">
        <f t="shared" si="36"/>
        <v>20506439.420218643</v>
      </c>
      <c r="L43" s="341">
        <f t="shared" si="44"/>
        <v>1.5352597960880796</v>
      </c>
      <c r="N43" s="344">
        <v>2019</v>
      </c>
      <c r="O43" s="348">
        <f t="shared" si="45"/>
        <v>4852.3200000000006</v>
      </c>
      <c r="P43" s="348">
        <v>0</v>
      </c>
      <c r="Q43" s="348">
        <f t="shared" si="37"/>
        <v>924</v>
      </c>
      <c r="R43" s="348"/>
      <c r="S43" s="348">
        <f t="shared" si="38"/>
        <v>10602.880690446493</v>
      </c>
      <c r="T43" s="348">
        <f>N13</f>
        <v>2950591.935822912</v>
      </c>
      <c r="U43" s="348">
        <f t="shared" si="39"/>
        <v>5033.3790909090912</v>
      </c>
      <c r="V43" s="348">
        <f>N16</f>
        <v>614634.14634146343</v>
      </c>
      <c r="W43" s="348">
        <f t="shared" si="40"/>
        <v>147200</v>
      </c>
      <c r="X43" s="348"/>
      <c r="Y43" s="348">
        <f t="shared" si="41"/>
        <v>1248</v>
      </c>
      <c r="Z43" s="348">
        <f>N22</f>
        <v>487500</v>
      </c>
      <c r="AA43" s="348">
        <f t="shared" si="42"/>
        <v>169860.5797813556</v>
      </c>
      <c r="AB43" s="348">
        <f t="shared" si="34"/>
        <v>4052726.0821643756</v>
      </c>
      <c r="AC43" s="350"/>
    </row>
    <row r="44" spans="1:29" x14ac:dyDescent="0.25">
      <c r="A44" s="330">
        <v>2020</v>
      </c>
      <c r="B44" s="331">
        <v>22539200</v>
      </c>
      <c r="C44" s="332">
        <f>O8</f>
        <v>0</v>
      </c>
      <c r="D44" s="332">
        <f>O11</f>
        <v>0</v>
      </c>
      <c r="E44" s="337">
        <f>O14</f>
        <v>424.9124423484796</v>
      </c>
      <c r="F44" s="338">
        <f>O17</f>
        <v>997.47581818181834</v>
      </c>
      <c r="G44" s="8">
        <f>O20</f>
        <v>0</v>
      </c>
      <c r="H44" s="337">
        <f>O23</f>
        <v>243</v>
      </c>
      <c r="I44" s="334">
        <f t="shared" si="35"/>
        <v>1665.3882605302979</v>
      </c>
      <c r="J44" s="334">
        <f t="shared" si="43"/>
        <v>171525.96804188591</v>
      </c>
      <c r="K44" s="335">
        <f t="shared" si="36"/>
        <v>22367674.031958114</v>
      </c>
      <c r="L44" s="341">
        <f t="shared" si="44"/>
        <v>1.6653882605302979</v>
      </c>
      <c r="N44" s="344">
        <v>2020</v>
      </c>
      <c r="O44" s="348">
        <f t="shared" si="45"/>
        <v>4852.3200000000006</v>
      </c>
      <c r="P44" s="348">
        <v>0</v>
      </c>
      <c r="Q44" s="348">
        <f t="shared" si="37"/>
        <v>924</v>
      </c>
      <c r="R44" s="348"/>
      <c r="S44" s="348">
        <f t="shared" si="38"/>
        <v>11027.793132794972</v>
      </c>
      <c r="T44" s="348">
        <f>O13</f>
        <v>2950591.935822912</v>
      </c>
      <c r="U44" s="348">
        <f t="shared" si="39"/>
        <v>6030.8549090909091</v>
      </c>
      <c r="V44" s="348">
        <f>O16</f>
        <v>614634.14634146343</v>
      </c>
      <c r="W44" s="348">
        <f t="shared" si="40"/>
        <v>147200</v>
      </c>
      <c r="X44" s="348"/>
      <c r="Y44" s="348">
        <f t="shared" si="41"/>
        <v>1491</v>
      </c>
      <c r="Z44" s="348">
        <f>O22</f>
        <v>487500</v>
      </c>
      <c r="AA44" s="348">
        <f t="shared" si="42"/>
        <v>171525.96804188591</v>
      </c>
      <c r="AB44" s="348">
        <f t="shared" ref="AB44:AB54" si="46">P44+R44+T44+V44+X44+Z44</f>
        <v>4052726.0821643756</v>
      </c>
      <c r="AC44" s="350"/>
    </row>
    <row r="45" spans="1:29" x14ac:dyDescent="0.25">
      <c r="A45" s="330">
        <v>2021</v>
      </c>
      <c r="B45" s="331">
        <v>24176700</v>
      </c>
      <c r="C45" s="332">
        <f>V8</f>
        <v>17.38</v>
      </c>
      <c r="D45" s="332">
        <f>V11</f>
        <v>0</v>
      </c>
      <c r="E45" s="337">
        <f>V14</f>
        <v>3275.1686607906995</v>
      </c>
      <c r="F45" s="338">
        <f>V17</f>
        <v>997.47581818181834</v>
      </c>
      <c r="G45" s="333">
        <f>V20</f>
        <v>0</v>
      </c>
      <c r="H45" s="337">
        <f>V23</f>
        <v>243</v>
      </c>
      <c r="I45" s="334">
        <f t="shared" si="35"/>
        <v>4533.0244789725184</v>
      </c>
      <c r="J45" s="334">
        <f t="shared" si="43"/>
        <v>176058.99252085842</v>
      </c>
      <c r="K45" s="335">
        <f t="shared" si="36"/>
        <v>24000641.007479142</v>
      </c>
      <c r="L45" s="341">
        <f t="shared" si="44"/>
        <v>4.5330244789725187</v>
      </c>
      <c r="N45" s="344">
        <v>2021</v>
      </c>
      <c r="O45" s="348">
        <f t="shared" si="45"/>
        <v>4869.7000000000007</v>
      </c>
      <c r="P45" s="348">
        <v>0</v>
      </c>
      <c r="Q45" s="348">
        <f t="shared" si="37"/>
        <v>924</v>
      </c>
      <c r="R45" s="348"/>
      <c r="S45" s="348">
        <f t="shared" si="38"/>
        <v>14302.961793585671</v>
      </c>
      <c r="T45" s="348">
        <f>V13</f>
        <v>11642850.776831612</v>
      </c>
      <c r="U45" s="348">
        <f t="shared" si="39"/>
        <v>7028.330727272727</v>
      </c>
      <c r="V45" s="348">
        <f>V16</f>
        <v>614634.14634146343</v>
      </c>
      <c r="W45" s="348">
        <f t="shared" si="40"/>
        <v>147200</v>
      </c>
      <c r="X45" s="348"/>
      <c r="Y45" s="348">
        <f t="shared" si="41"/>
        <v>1734</v>
      </c>
      <c r="Z45" s="348">
        <f>V22</f>
        <v>487500</v>
      </c>
      <c r="AA45" s="348">
        <f t="shared" si="42"/>
        <v>176058.99252085842</v>
      </c>
      <c r="AB45" s="348">
        <f>P45+R45+T45+V45+X45+Z45</f>
        <v>12744984.923173076</v>
      </c>
      <c r="AC45" s="350"/>
    </row>
    <row r="46" spans="1:29" x14ac:dyDescent="0.25">
      <c r="A46" s="330">
        <v>2022</v>
      </c>
      <c r="B46" s="331">
        <v>25814100</v>
      </c>
      <c r="C46" s="332">
        <f>W8</f>
        <v>0</v>
      </c>
      <c r="D46" s="332">
        <f>W11</f>
        <v>0</v>
      </c>
      <c r="E46" s="337">
        <f>W14</f>
        <v>704.87300263041163</v>
      </c>
      <c r="F46" s="338">
        <f>W17</f>
        <v>997.47581818181834</v>
      </c>
      <c r="G46" s="336">
        <f>W20</f>
        <v>73600</v>
      </c>
      <c r="H46" s="337">
        <f>W23</f>
        <v>243</v>
      </c>
      <c r="I46" s="334">
        <f t="shared" si="35"/>
        <v>75545.348820812229</v>
      </c>
      <c r="J46" s="334">
        <f t="shared" si="43"/>
        <v>251604.34134167066</v>
      </c>
      <c r="K46" s="335">
        <f t="shared" si="36"/>
        <v>25562495.658658329</v>
      </c>
      <c r="L46" s="341">
        <f t="shared" si="44"/>
        <v>75.545348820812222</v>
      </c>
      <c r="N46" s="344">
        <v>2022</v>
      </c>
      <c r="O46" s="348">
        <f t="shared" si="45"/>
        <v>4869.7000000000007</v>
      </c>
      <c r="P46" s="348">
        <v>0</v>
      </c>
      <c r="Q46" s="348">
        <f t="shared" si="37"/>
        <v>924</v>
      </c>
      <c r="R46" s="348"/>
      <c r="S46" s="348">
        <f t="shared" si="38"/>
        <v>15007.834796216082</v>
      </c>
      <c r="T46" s="348">
        <f>W13</f>
        <v>6946067.1963278344</v>
      </c>
      <c r="U46" s="348">
        <f t="shared" si="39"/>
        <v>8025.8065454545449</v>
      </c>
      <c r="V46" s="348">
        <f>W16</f>
        <v>614634.14634146343</v>
      </c>
      <c r="W46" s="348">
        <f t="shared" si="40"/>
        <v>220800</v>
      </c>
      <c r="X46" s="348">
        <f>W19</f>
        <v>275000</v>
      </c>
      <c r="Y46" s="348">
        <f t="shared" si="41"/>
        <v>1977</v>
      </c>
      <c r="Z46" s="348">
        <f>W22</f>
        <v>487500</v>
      </c>
      <c r="AA46" s="348">
        <f t="shared" si="42"/>
        <v>251604.34134167066</v>
      </c>
      <c r="AB46" s="348">
        <f>P46+R46+T46+V46+X46+Z46</f>
        <v>8323201.3426692979</v>
      </c>
      <c r="AC46" s="350"/>
    </row>
    <row r="47" spans="1:29" x14ac:dyDescent="0.25">
      <c r="A47" s="330">
        <v>2023</v>
      </c>
      <c r="B47" s="331">
        <v>27451600</v>
      </c>
      <c r="C47" s="332">
        <f>X8</f>
        <v>17.38</v>
      </c>
      <c r="D47" s="332">
        <f>X11</f>
        <v>0</v>
      </c>
      <c r="E47" s="337">
        <f>X14</f>
        <v>3308.1415305101987</v>
      </c>
      <c r="F47" s="338">
        <f>X17</f>
        <v>997.47581818181834</v>
      </c>
      <c r="G47" s="333">
        <f>X20</f>
        <v>0</v>
      </c>
      <c r="H47" s="337">
        <f>X23</f>
        <v>243</v>
      </c>
      <c r="I47" s="334">
        <f t="shared" si="35"/>
        <v>4565.9973486920171</v>
      </c>
      <c r="J47" s="334">
        <f t="shared" si="43"/>
        <v>256170.33869036267</v>
      </c>
      <c r="K47" s="335">
        <f t="shared" si="36"/>
        <v>27195429.661309637</v>
      </c>
      <c r="L47" s="341">
        <f t="shared" si="44"/>
        <v>4.5659973486920169</v>
      </c>
      <c r="N47" s="344">
        <v>2023</v>
      </c>
      <c r="O47" s="348">
        <f t="shared" si="45"/>
        <v>4887.0800000000008</v>
      </c>
      <c r="P47" s="348">
        <v>0</v>
      </c>
      <c r="Q47" s="348">
        <f t="shared" si="37"/>
        <v>924</v>
      </c>
      <c r="R47" s="348"/>
      <c r="S47" s="348">
        <f t="shared" si="38"/>
        <v>18315.976326726282</v>
      </c>
      <c r="T47" s="348">
        <f>X13</f>
        <v>15183372.322344005</v>
      </c>
      <c r="U47" s="348">
        <f t="shared" si="39"/>
        <v>9023.2823636363628</v>
      </c>
      <c r="V47" s="348">
        <f>X16</f>
        <v>614634.14634146343</v>
      </c>
      <c r="W47" s="348">
        <f t="shared" si="40"/>
        <v>220800</v>
      </c>
      <c r="X47" s="348"/>
      <c r="Y47" s="348">
        <f t="shared" si="41"/>
        <v>2220</v>
      </c>
      <c r="Z47" s="348">
        <f>X22</f>
        <v>487500</v>
      </c>
      <c r="AA47" s="348">
        <f t="shared" si="42"/>
        <v>256170.33869036267</v>
      </c>
      <c r="AB47" s="348">
        <f t="shared" si="46"/>
        <v>16285506.468685469</v>
      </c>
      <c r="AC47" s="350"/>
    </row>
    <row r="48" spans="1:29" x14ac:dyDescent="0.25">
      <c r="A48" s="330">
        <v>2024</v>
      </c>
      <c r="B48" s="331">
        <v>29089100</v>
      </c>
      <c r="C48" s="332">
        <f>Y8</f>
        <v>0</v>
      </c>
      <c r="D48" s="332">
        <f>Y11</f>
        <v>0</v>
      </c>
      <c r="E48" s="337">
        <f>Y14</f>
        <v>489.17069656100182</v>
      </c>
      <c r="F48" s="338">
        <f>Y17</f>
        <v>997.47581818181834</v>
      </c>
      <c r="G48" s="333">
        <f>Y20</f>
        <v>0</v>
      </c>
      <c r="H48" s="337">
        <f>Y23</f>
        <v>243</v>
      </c>
      <c r="I48" s="334">
        <f t="shared" si="35"/>
        <v>1729.6465147428203</v>
      </c>
      <c r="J48" s="334">
        <f t="shared" si="43"/>
        <v>257899.98520510548</v>
      </c>
      <c r="K48" s="335">
        <f t="shared" si="36"/>
        <v>28831200.014794894</v>
      </c>
      <c r="L48" s="341">
        <f t="shared" si="44"/>
        <v>1.7296465147428202</v>
      </c>
      <c r="N48" s="344">
        <v>2024</v>
      </c>
      <c r="O48" s="348">
        <f t="shared" si="45"/>
        <v>4887.0800000000008</v>
      </c>
      <c r="P48" s="348">
        <v>0</v>
      </c>
      <c r="Q48" s="348">
        <f t="shared" si="37"/>
        <v>924</v>
      </c>
      <c r="R48" s="348"/>
      <c r="S48" s="348">
        <f t="shared" si="38"/>
        <v>18805.147023287285</v>
      </c>
      <c r="T48" s="348">
        <f>Y13</f>
        <v>3683048.5392133719</v>
      </c>
      <c r="U48" s="348">
        <f t="shared" si="39"/>
        <v>10020.758181818181</v>
      </c>
      <c r="V48" s="348">
        <f>Y16</f>
        <v>614634.14634146343</v>
      </c>
      <c r="W48" s="348">
        <f t="shared" si="40"/>
        <v>220800</v>
      </c>
      <c r="X48" s="348"/>
      <c r="Y48" s="348">
        <f t="shared" si="41"/>
        <v>2463</v>
      </c>
      <c r="Z48" s="348">
        <f>Y22</f>
        <v>487500</v>
      </c>
      <c r="AA48" s="348">
        <f t="shared" si="42"/>
        <v>257899.98520510548</v>
      </c>
      <c r="AB48" s="348">
        <f t="shared" si="46"/>
        <v>4785182.685554835</v>
      </c>
      <c r="AC48" s="350"/>
    </row>
    <row r="49" spans="1:30" x14ac:dyDescent="0.25">
      <c r="A49" s="330">
        <v>2025</v>
      </c>
      <c r="B49" s="331">
        <v>30726600</v>
      </c>
      <c r="C49" s="332">
        <f>Z8</f>
        <v>17.38</v>
      </c>
      <c r="D49" s="332">
        <f>Z11</f>
        <v>0</v>
      </c>
      <c r="E49" s="337">
        <f>Z14</f>
        <v>1033.1719857144901</v>
      </c>
      <c r="F49" s="338">
        <f>Z17</f>
        <v>997.47581818181834</v>
      </c>
      <c r="G49" s="333">
        <f>Z20</f>
        <v>0</v>
      </c>
      <c r="H49" s="337">
        <f>Z23</f>
        <v>243</v>
      </c>
      <c r="I49" s="334">
        <f t="shared" si="35"/>
        <v>2291.0278038963088</v>
      </c>
      <c r="J49" s="334">
        <f t="shared" si="43"/>
        <v>260191.01300900179</v>
      </c>
      <c r="K49" s="335">
        <f t="shared" si="36"/>
        <v>30466408.986990999</v>
      </c>
      <c r="L49" s="341">
        <f t="shared" si="44"/>
        <v>2.2910278038963088</v>
      </c>
      <c r="N49" s="344">
        <v>2025</v>
      </c>
      <c r="O49" s="348">
        <f t="shared" si="45"/>
        <v>4904.4600000000009</v>
      </c>
      <c r="P49" s="348">
        <v>0</v>
      </c>
      <c r="Q49" s="348">
        <f t="shared" si="37"/>
        <v>924</v>
      </c>
      <c r="R49" s="348"/>
      <c r="S49" s="348">
        <f t="shared" si="38"/>
        <v>19838.319009001774</v>
      </c>
      <c r="T49" s="348">
        <f>Z13</f>
        <v>6787494.1172433011</v>
      </c>
      <c r="U49" s="348">
        <f t="shared" si="39"/>
        <v>11018.233999999999</v>
      </c>
      <c r="V49" s="348">
        <f>Z16</f>
        <v>614634.14634146343</v>
      </c>
      <c r="W49" s="348">
        <f t="shared" si="40"/>
        <v>220800</v>
      </c>
      <c r="X49" s="348"/>
      <c r="Y49" s="348">
        <f t="shared" si="41"/>
        <v>2706</v>
      </c>
      <c r="Z49" s="348">
        <f>Z22</f>
        <v>487500</v>
      </c>
      <c r="AA49" s="348">
        <f t="shared" si="42"/>
        <v>260191.01300900179</v>
      </c>
      <c r="AB49" s="348">
        <f t="shared" si="46"/>
        <v>7889628.2635847647</v>
      </c>
      <c r="AC49" s="350"/>
    </row>
    <row r="50" spans="1:30" x14ac:dyDescent="0.25">
      <c r="A50" s="330">
        <v>2026</v>
      </c>
      <c r="B50" s="331">
        <v>32962700</v>
      </c>
      <c r="C50" s="332">
        <f>AA8</f>
        <v>0</v>
      </c>
      <c r="D50" s="332">
        <f>AA11</f>
        <v>0</v>
      </c>
      <c r="E50" s="337">
        <f>AA14</f>
        <v>254.15386843363152</v>
      </c>
      <c r="F50" s="338">
        <f>AA17</f>
        <v>997.47581818181834</v>
      </c>
      <c r="G50" s="336">
        <f>AA20</f>
        <v>73600</v>
      </c>
      <c r="H50" s="337">
        <f>AA23</f>
        <v>243</v>
      </c>
      <c r="I50" s="334">
        <f t="shared" si="35"/>
        <v>75094.629686615444</v>
      </c>
      <c r="J50" s="334">
        <f t="shared" si="43"/>
        <v>335285.64269561722</v>
      </c>
      <c r="K50" s="335">
        <f t="shared" si="36"/>
        <v>32627414.357304383</v>
      </c>
      <c r="L50" s="341">
        <f t="shared" si="44"/>
        <v>75.094629686615448</v>
      </c>
      <c r="N50" s="344">
        <v>2026</v>
      </c>
      <c r="O50" s="348">
        <f t="shared" si="45"/>
        <v>4904.4600000000009</v>
      </c>
      <c r="P50" s="348">
        <v>0</v>
      </c>
      <c r="Q50" s="348">
        <f t="shared" si="37"/>
        <v>924</v>
      </c>
      <c r="R50" s="348"/>
      <c r="S50" s="348">
        <f t="shared" si="38"/>
        <v>20092.472877435404</v>
      </c>
      <c r="T50" s="348">
        <f>AA13</f>
        <v>2027470.0825808109</v>
      </c>
      <c r="U50" s="348">
        <f t="shared" si="39"/>
        <v>12015.709818181816</v>
      </c>
      <c r="V50" s="348">
        <f>AA16</f>
        <v>614634.14634146343</v>
      </c>
      <c r="W50" s="348">
        <f t="shared" si="40"/>
        <v>294400</v>
      </c>
      <c r="X50" s="348">
        <f>AA19</f>
        <v>275000</v>
      </c>
      <c r="Y50" s="348">
        <f t="shared" si="41"/>
        <v>2949</v>
      </c>
      <c r="Z50" s="348">
        <f>AA22</f>
        <v>487500</v>
      </c>
      <c r="AA50" s="348">
        <f t="shared" si="42"/>
        <v>335285.64269561722</v>
      </c>
      <c r="AB50" s="348">
        <f>P50+R50+T50+V50+X50+Z50</f>
        <v>3404604.2289222744</v>
      </c>
      <c r="AC50" s="350"/>
    </row>
    <row r="51" spans="1:30" x14ac:dyDescent="0.25">
      <c r="A51" s="330">
        <v>2027</v>
      </c>
      <c r="B51" s="331">
        <v>35198800</v>
      </c>
      <c r="C51" s="332">
        <f>AB8</f>
        <v>17.38</v>
      </c>
      <c r="D51" s="332">
        <f>AB11</f>
        <v>0</v>
      </c>
      <c r="E51" s="337">
        <f>AB14</f>
        <v>56.661529743112695</v>
      </c>
      <c r="F51" s="338">
        <f>AB17</f>
        <v>1023.0698545454545</v>
      </c>
      <c r="G51" s="333">
        <f>AB20</f>
        <v>0</v>
      </c>
      <c r="H51" s="337">
        <f>AB23</f>
        <v>243</v>
      </c>
      <c r="I51" s="334">
        <f t="shared" si="35"/>
        <v>1340.1113842885673</v>
      </c>
      <c r="J51" s="334">
        <f t="shared" si="43"/>
        <v>336625.7540799058</v>
      </c>
      <c r="K51" s="335">
        <f t="shared" si="36"/>
        <v>34862174.245920092</v>
      </c>
      <c r="L51" s="341">
        <f t="shared" si="44"/>
        <v>1.3401113842885672</v>
      </c>
      <c r="N51" s="344">
        <v>2027</v>
      </c>
      <c r="O51" s="348">
        <f t="shared" si="45"/>
        <v>4921.8400000000011</v>
      </c>
      <c r="P51" s="348">
        <v>0</v>
      </c>
      <c r="Q51" s="348">
        <f t="shared" si="37"/>
        <v>924</v>
      </c>
      <c r="R51" s="348"/>
      <c r="S51" s="348">
        <f t="shared" si="38"/>
        <v>20149.134407178517</v>
      </c>
      <c r="T51" s="348">
        <f>AB13</f>
        <v>3683048.5392133729</v>
      </c>
      <c r="U51" s="348">
        <f t="shared" si="39"/>
        <v>13038.779672727271</v>
      </c>
      <c r="V51" s="348">
        <f>AB16</f>
        <v>629268.29268292687</v>
      </c>
      <c r="W51" s="348">
        <f t="shared" si="40"/>
        <v>294400</v>
      </c>
      <c r="X51" s="348"/>
      <c r="Y51" s="348">
        <f t="shared" si="41"/>
        <v>3192</v>
      </c>
      <c r="Z51" s="348">
        <f>AB22</f>
        <v>487500</v>
      </c>
      <c r="AA51" s="348">
        <f t="shared" si="42"/>
        <v>336625.7540799058</v>
      </c>
      <c r="AB51" s="348">
        <f t="shared" si="46"/>
        <v>4799816.8318962995</v>
      </c>
      <c r="AC51" s="350"/>
    </row>
    <row r="52" spans="1:30" x14ac:dyDescent="0.25">
      <c r="A52" s="330">
        <v>2028</v>
      </c>
      <c r="B52" s="331">
        <v>37434900</v>
      </c>
      <c r="C52" s="332">
        <f>AC8</f>
        <v>0</v>
      </c>
      <c r="D52" s="332">
        <f>AC11</f>
        <v>0</v>
      </c>
      <c r="E52" s="337">
        <f>AC14</f>
        <v>285.79934770518798</v>
      </c>
      <c r="F52" s="338">
        <f>AC17</f>
        <v>1023.0698545454545</v>
      </c>
      <c r="G52" s="333">
        <f>AC20</f>
        <v>0</v>
      </c>
      <c r="H52" s="337">
        <f>AC23</f>
        <v>243</v>
      </c>
      <c r="I52" s="334">
        <f t="shared" si="35"/>
        <v>1551.8692022506425</v>
      </c>
      <c r="J52" s="334">
        <f t="shared" si="43"/>
        <v>338177.62328215642</v>
      </c>
      <c r="K52" s="335">
        <f t="shared" si="36"/>
        <v>37096722.376717843</v>
      </c>
      <c r="L52" s="341">
        <f t="shared" si="44"/>
        <v>1.5518692022506424</v>
      </c>
      <c r="N52" s="344">
        <v>2028</v>
      </c>
      <c r="O52" s="348">
        <f t="shared" si="45"/>
        <v>4921.8400000000011</v>
      </c>
      <c r="P52" s="348">
        <v>0</v>
      </c>
      <c r="Q52" s="348">
        <f t="shared" si="37"/>
        <v>924</v>
      </c>
      <c r="R52" s="348"/>
      <c r="S52" s="348">
        <f t="shared" si="38"/>
        <v>20434.933754883707</v>
      </c>
      <c r="T52" s="348">
        <f>AC13</f>
        <v>1984590.6275222383</v>
      </c>
      <c r="U52" s="348">
        <f t="shared" si="39"/>
        <v>14061.849527272725</v>
      </c>
      <c r="V52" s="348">
        <f>AC16</f>
        <v>629268.29268292687</v>
      </c>
      <c r="W52" s="348">
        <f t="shared" si="40"/>
        <v>294400</v>
      </c>
      <c r="X52" s="348"/>
      <c r="Y52" s="348">
        <f t="shared" si="41"/>
        <v>3435</v>
      </c>
      <c r="Z52" s="348">
        <f>AC22</f>
        <v>487500</v>
      </c>
      <c r="AA52" s="348">
        <f t="shared" si="42"/>
        <v>338177.62328215642</v>
      </c>
      <c r="AB52" s="348">
        <f t="shared" si="46"/>
        <v>3101358.9202051652</v>
      </c>
      <c r="AC52" s="350"/>
    </row>
    <row r="53" spans="1:30" x14ac:dyDescent="0.25">
      <c r="A53" s="330">
        <v>2029</v>
      </c>
      <c r="B53" s="331">
        <v>39671000</v>
      </c>
      <c r="C53" s="332">
        <f>AD8</f>
        <v>17.38</v>
      </c>
      <c r="D53" s="332">
        <f>AD11</f>
        <v>0</v>
      </c>
      <c r="E53" s="337">
        <f>AD14</f>
        <v>248.7787068107335</v>
      </c>
      <c r="F53" s="338">
        <f>AD17</f>
        <v>1023.0698545454545</v>
      </c>
      <c r="G53" s="336">
        <f>AD20</f>
        <v>73600</v>
      </c>
      <c r="H53" s="337">
        <f>AD23</f>
        <v>243</v>
      </c>
      <c r="I53" s="334">
        <f t="shared" si="35"/>
        <v>75132.228561356183</v>
      </c>
      <c r="J53" s="334">
        <f t="shared" si="43"/>
        <v>413309.85184351262</v>
      </c>
      <c r="K53" s="335">
        <f t="shared" si="36"/>
        <v>39257690.148156486</v>
      </c>
      <c r="L53" s="341">
        <f t="shared" si="44"/>
        <v>75.132228561356186</v>
      </c>
      <c r="N53" s="344">
        <v>2029</v>
      </c>
      <c r="O53" s="348">
        <f t="shared" si="45"/>
        <v>4939.2200000000012</v>
      </c>
      <c r="P53" s="348">
        <v>0</v>
      </c>
      <c r="Q53" s="348">
        <f t="shared" si="37"/>
        <v>924</v>
      </c>
      <c r="R53" s="348"/>
      <c r="S53" s="348">
        <f t="shared" si="38"/>
        <v>20683.712461694438</v>
      </c>
      <c r="T53" s="348">
        <f>AD13</f>
        <v>1984590.6275222383</v>
      </c>
      <c r="U53" s="348">
        <f t="shared" si="39"/>
        <v>15084.919381818179</v>
      </c>
      <c r="V53" s="348">
        <f>AD16</f>
        <v>629268.29268292687</v>
      </c>
      <c r="W53" s="348">
        <f t="shared" si="40"/>
        <v>368000</v>
      </c>
      <c r="X53" s="348">
        <f>AD19</f>
        <v>275000</v>
      </c>
      <c r="Y53" s="348">
        <f t="shared" si="41"/>
        <v>3678</v>
      </c>
      <c r="Z53" s="348">
        <f>AD22</f>
        <v>487500</v>
      </c>
      <c r="AA53" s="348">
        <f t="shared" si="42"/>
        <v>413309.85184351262</v>
      </c>
      <c r="AB53" s="348">
        <f t="shared" si="46"/>
        <v>3376358.9202051652</v>
      </c>
      <c r="AC53" s="350"/>
    </row>
    <row r="54" spans="1:30" x14ac:dyDescent="0.25">
      <c r="A54" s="330">
        <v>2030</v>
      </c>
      <c r="B54" s="331">
        <v>41907200</v>
      </c>
      <c r="C54" s="332">
        <f>AE8</f>
        <v>0</v>
      </c>
      <c r="D54" s="332">
        <f>AE11</f>
        <v>0</v>
      </c>
      <c r="E54" s="337">
        <f>AE14</f>
        <v>320.59724094740608</v>
      </c>
      <c r="F54" s="338">
        <f>AE17</f>
        <v>1023.0698545454545</v>
      </c>
      <c r="G54" s="333">
        <f>AE20</f>
        <v>0</v>
      </c>
      <c r="H54" s="337">
        <f>AE23</f>
        <v>243</v>
      </c>
      <c r="I54" s="334">
        <f t="shared" si="35"/>
        <v>1586.6670954928607</v>
      </c>
      <c r="J54" s="334">
        <f t="shared" si="43"/>
        <v>414896.5189390055</v>
      </c>
      <c r="K54" s="335">
        <f t="shared" si="36"/>
        <v>41492303.481060997</v>
      </c>
      <c r="L54" s="341">
        <f t="shared" si="44"/>
        <v>1.5866670954928606</v>
      </c>
      <c r="N54" s="344">
        <v>2030</v>
      </c>
      <c r="O54" s="348">
        <f t="shared" si="45"/>
        <v>4939.2200000000012</v>
      </c>
      <c r="P54" s="348">
        <v>0</v>
      </c>
      <c r="Q54" s="348">
        <f t="shared" si="37"/>
        <v>924</v>
      </c>
      <c r="R54" s="348"/>
      <c r="S54" s="348">
        <f t="shared" si="38"/>
        <v>21004.309702641844</v>
      </c>
      <c r="T54" s="348">
        <f>AE13</f>
        <v>2237822.1262643747</v>
      </c>
      <c r="U54" s="348">
        <f t="shared" si="39"/>
        <v>16107.989236363634</v>
      </c>
      <c r="V54" s="348">
        <f>AE16</f>
        <v>629268.29268292687</v>
      </c>
      <c r="W54" s="348">
        <f t="shared" si="40"/>
        <v>368000</v>
      </c>
      <c r="X54" s="348"/>
      <c r="Y54" s="348">
        <f t="shared" si="41"/>
        <v>3921</v>
      </c>
      <c r="Z54" s="348">
        <f>AE22</f>
        <v>487500</v>
      </c>
      <c r="AA54" s="348">
        <f t="shared" si="42"/>
        <v>414896.5189390055</v>
      </c>
      <c r="AB54" s="348">
        <f t="shared" si="46"/>
        <v>3354590.4189473018</v>
      </c>
      <c r="AC54" s="350"/>
    </row>
    <row r="55" spans="1:30" x14ac:dyDescent="0.25">
      <c r="J55" s="339">
        <f>J54/B54</f>
        <v>9.9003636353420296E-3</v>
      </c>
      <c r="L55" s="341"/>
      <c r="N55" s="347" t="s">
        <v>210</v>
      </c>
      <c r="O55" s="349"/>
      <c r="P55" s="349">
        <f>SUM(P34:P54)</f>
        <v>0</v>
      </c>
      <c r="Q55" s="349"/>
      <c r="R55" s="349">
        <f>SUM(R34:R54)</f>
        <v>48460</v>
      </c>
      <c r="S55" s="349"/>
      <c r="T55" s="349">
        <f>SUM(T34:T54)</f>
        <v>92807086.852405578</v>
      </c>
      <c r="U55" s="349"/>
      <c r="V55" s="349">
        <f>SUM(V34:V54)</f>
        <v>10492682.926829271</v>
      </c>
      <c r="W55" s="349"/>
      <c r="X55" s="349">
        <f>SUM(X34:X54)</f>
        <v>1375000</v>
      </c>
      <c r="Y55" s="349"/>
      <c r="Z55" s="349">
        <f>SUM(Z34:Z54)</f>
        <v>8937000</v>
      </c>
      <c r="AA55" s="349"/>
      <c r="AB55" s="349">
        <f>SUM(AB34:AB54)</f>
        <v>113660229.77923483</v>
      </c>
      <c r="AC55" s="350"/>
      <c r="AD55" s="350"/>
    </row>
    <row r="56" spans="1:30" ht="75" x14ac:dyDescent="0.25">
      <c r="N56" s="347" t="s">
        <v>425</v>
      </c>
      <c r="O56" s="349"/>
      <c r="P56" s="349">
        <f>P55/O54</f>
        <v>0</v>
      </c>
      <c r="Q56" s="349"/>
      <c r="R56" s="349">
        <f>R55/Q54</f>
        <v>52.445887445887443</v>
      </c>
      <c r="S56" s="349"/>
      <c r="T56" s="349">
        <f>T55/S54</f>
        <v>4418.4783107027151</v>
      </c>
      <c r="U56" s="349"/>
      <c r="V56" s="349">
        <f>V55/U54</f>
        <v>651.39619681034662</v>
      </c>
      <c r="W56" s="349"/>
      <c r="X56" s="349">
        <f>X55/W54</f>
        <v>3.7364130434782608</v>
      </c>
      <c r="Y56" s="349"/>
      <c r="Z56" s="349">
        <f>Z55/Y54</f>
        <v>2279.2654934965572</v>
      </c>
      <c r="AA56" s="349"/>
      <c r="AB56" s="349">
        <f>AB55/AA54</f>
        <v>273.94838132142576</v>
      </c>
      <c r="AC56" s="350"/>
    </row>
    <row r="61" spans="1:30" x14ac:dyDescent="0.25">
      <c r="X61" s="307"/>
    </row>
    <row r="62" spans="1:30" x14ac:dyDescent="0.25">
      <c r="X62" s="307"/>
    </row>
    <row r="63" spans="1:30" x14ac:dyDescent="0.25">
      <c r="X63" s="307"/>
    </row>
  </sheetData>
  <mergeCells count="56">
    <mergeCell ref="A21:A23"/>
    <mergeCell ref="D21:D23"/>
    <mergeCell ref="R21:R23"/>
    <mergeCell ref="U18:U20"/>
    <mergeCell ref="A15:A17"/>
    <mergeCell ref="B15:B17"/>
    <mergeCell ref="D15:D17"/>
    <mergeCell ref="R15:R17"/>
    <mergeCell ref="S15:S17"/>
    <mergeCell ref="U15:U17"/>
    <mergeCell ref="A18:A20"/>
    <mergeCell ref="B18:B20"/>
    <mergeCell ref="D18:D20"/>
    <mergeCell ref="R18:R20"/>
    <mergeCell ref="S18:S20"/>
    <mergeCell ref="U12:U14"/>
    <mergeCell ref="A9:A11"/>
    <mergeCell ref="B9:B11"/>
    <mergeCell ref="D9:D11"/>
    <mergeCell ref="R9:R11"/>
    <mergeCell ref="S9:S11"/>
    <mergeCell ref="U9:U11"/>
    <mergeCell ref="A12:A14"/>
    <mergeCell ref="B12:B14"/>
    <mergeCell ref="D12:D14"/>
    <mergeCell ref="R12:R14"/>
    <mergeCell ref="S12:S14"/>
    <mergeCell ref="T4:T5"/>
    <mergeCell ref="U4:U5"/>
    <mergeCell ref="V4:AE4"/>
    <mergeCell ref="A6:A8"/>
    <mergeCell ref="B6:B8"/>
    <mergeCell ref="D6:D8"/>
    <mergeCell ref="R6:R8"/>
    <mergeCell ref="S6:S8"/>
    <mergeCell ref="U6:U8"/>
    <mergeCell ref="A4:A5"/>
    <mergeCell ref="B4:B5"/>
    <mergeCell ref="C4:C5"/>
    <mergeCell ref="D4:D5"/>
    <mergeCell ref="E4:O4"/>
    <mergeCell ref="R4:R5"/>
    <mergeCell ref="S4:S5"/>
    <mergeCell ref="S21:S23"/>
    <mergeCell ref="U32:V32"/>
    <mergeCell ref="W32:X32"/>
    <mergeCell ref="Y32:Z32"/>
    <mergeCell ref="AA32:AB32"/>
    <mergeCell ref="U21:U23"/>
    <mergeCell ref="Q32:R32"/>
    <mergeCell ref="S32:T32"/>
    <mergeCell ref="A32:A33"/>
    <mergeCell ref="C32:J32"/>
    <mergeCell ref="K32:K33"/>
    <mergeCell ref="N32:N33"/>
    <mergeCell ref="O32:P32"/>
  </mergeCells>
  <pageMargins left="0.7" right="0.7" top="0.75" bottom="0.75" header="0.3" footer="0.3"/>
  <pageSetup paperSize="9" orientation="portrait" horizontalDpi="0" verticalDpi="0" r:id="rId1"/>
  <ignoredErrors>
    <ignoredError sqref="K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BRT METRO BDG RAYA (ANGTN UMUM)</vt:lpstr>
      <vt:lpstr>BRT METRO BDG RAYA (DED)</vt:lpstr>
      <vt:lpstr>PEREMAJAAN ANGKUTAN</vt:lpstr>
      <vt:lpstr>CFD</vt:lpstr>
      <vt:lpstr>RENCANA AKSI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Nur Adiyanti</dc:creator>
  <cp:lastModifiedBy>wizard</cp:lastModifiedBy>
  <dcterms:created xsi:type="dcterms:W3CDTF">2018-10-16T04:19:28Z</dcterms:created>
  <dcterms:modified xsi:type="dcterms:W3CDTF">2020-11-17T10:43:12Z</dcterms:modified>
</cp:coreProperties>
</file>