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HEESI\"/>
    </mc:Choice>
  </mc:AlternateContent>
  <xr:revisionPtr revIDLastSave="0" documentId="13_ncr:1_{8D1618D9-69F9-4EC3-9513-0C89399B501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EESI" sheetId="14" r:id="rId1"/>
    <sheet name="Macro dari HEESI" sheetId="10" r:id="rId2"/>
    <sheet name="Konsumsi Energi Nasional" sheetId="11" r:id="rId3"/>
    <sheet name="Energi Primer Nasional" sheetId="13" r:id="rId4"/>
    <sheet name="Eksploitasi Batubara" sheetId="15" r:id="rId5"/>
    <sheet name="Eksploitasi Minyak Bumi" sheetId="16" r:id="rId6"/>
    <sheet name="Eksploitasi Gas Bumi, LPG" sheetId="17" r:id="rId7"/>
    <sheet name="LPG" sheetId="18" r:id="rId8"/>
    <sheet name="Population" sheetId="12" r:id="rId9"/>
    <sheet name="Industry" sheetId="1" r:id="rId10"/>
    <sheet name="Household" sheetId="2" r:id="rId11"/>
    <sheet name="Commercial" sheetId="7" r:id="rId12"/>
    <sheet name="Transportation" sheetId="3" r:id="rId13"/>
    <sheet name="Others" sheetId="8" r:id="rId14"/>
    <sheet name="Refinery" sheetId="4" r:id="rId15"/>
    <sheet name="Natural Gas" sheetId="5" r:id="rId16"/>
    <sheet name="Power Plant" sheetId="6" r:id="rId17"/>
    <sheet name="Final Energy" sheetId="9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4" l="1"/>
  <c r="G26" i="13" l="1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25" i="13"/>
  <c r="H44" i="13"/>
  <c r="C20" i="14" l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B20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27" i="17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4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I19" i="18"/>
  <c r="I20" i="18"/>
  <c r="I21" i="18"/>
  <c r="I22" i="18"/>
  <c r="G19" i="18"/>
  <c r="G20" i="18"/>
  <c r="G21" i="18"/>
  <c r="G22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4" i="18"/>
  <c r="L42" i="17"/>
  <c r="L43" i="17"/>
  <c r="L44" i="17"/>
  <c r="L45" i="17"/>
  <c r="I5" i="18"/>
  <c r="R5" i="18" s="1"/>
  <c r="J5" i="18"/>
  <c r="S5" i="18" s="1"/>
  <c r="K5" i="18"/>
  <c r="T5" i="18" s="1"/>
  <c r="L28" i="17" s="1"/>
  <c r="L5" i="18"/>
  <c r="U5" i="18" s="1"/>
  <c r="M5" i="18"/>
  <c r="V5" i="18" s="1"/>
  <c r="I6" i="18"/>
  <c r="R6" i="18" s="1"/>
  <c r="J6" i="18"/>
  <c r="S6" i="18" s="1"/>
  <c r="K6" i="18"/>
  <c r="T6" i="18" s="1"/>
  <c r="L29" i="17" s="1"/>
  <c r="L6" i="18"/>
  <c r="U6" i="18" s="1"/>
  <c r="M6" i="18"/>
  <c r="V6" i="18" s="1"/>
  <c r="I7" i="18"/>
  <c r="R7" i="18" s="1"/>
  <c r="J7" i="18"/>
  <c r="S7" i="18" s="1"/>
  <c r="K7" i="18"/>
  <c r="T7" i="18" s="1"/>
  <c r="L30" i="17" s="1"/>
  <c r="L7" i="18"/>
  <c r="U7" i="18" s="1"/>
  <c r="M7" i="18"/>
  <c r="V7" i="18" s="1"/>
  <c r="I8" i="18"/>
  <c r="R8" i="18" s="1"/>
  <c r="J8" i="18"/>
  <c r="S8" i="18" s="1"/>
  <c r="K8" i="18"/>
  <c r="T8" i="18" s="1"/>
  <c r="L31" i="17" s="1"/>
  <c r="L8" i="18"/>
  <c r="U8" i="18" s="1"/>
  <c r="M8" i="18"/>
  <c r="V8" i="18" s="1"/>
  <c r="I9" i="18"/>
  <c r="R9" i="18" s="1"/>
  <c r="J9" i="18"/>
  <c r="S9" i="18" s="1"/>
  <c r="K9" i="18"/>
  <c r="T9" i="18" s="1"/>
  <c r="L32" i="17" s="1"/>
  <c r="L9" i="18"/>
  <c r="U9" i="18" s="1"/>
  <c r="M9" i="18"/>
  <c r="V9" i="18" s="1"/>
  <c r="I10" i="18"/>
  <c r="R10" i="18" s="1"/>
  <c r="J10" i="18"/>
  <c r="S10" i="18" s="1"/>
  <c r="K10" i="18"/>
  <c r="T10" i="18" s="1"/>
  <c r="L33" i="17" s="1"/>
  <c r="L10" i="18"/>
  <c r="U10" i="18" s="1"/>
  <c r="M10" i="18"/>
  <c r="V10" i="18" s="1"/>
  <c r="I11" i="18"/>
  <c r="R11" i="18" s="1"/>
  <c r="J11" i="18"/>
  <c r="S11" i="18" s="1"/>
  <c r="K11" i="18"/>
  <c r="T11" i="18" s="1"/>
  <c r="L34" i="17" s="1"/>
  <c r="L11" i="18"/>
  <c r="U11" i="18" s="1"/>
  <c r="M11" i="18"/>
  <c r="V11" i="18" s="1"/>
  <c r="I12" i="18"/>
  <c r="R12" i="18" s="1"/>
  <c r="J12" i="18"/>
  <c r="S12" i="18" s="1"/>
  <c r="K12" i="18"/>
  <c r="T12" i="18" s="1"/>
  <c r="L35" i="17" s="1"/>
  <c r="L12" i="18"/>
  <c r="U12" i="18" s="1"/>
  <c r="M12" i="18"/>
  <c r="V12" i="18" s="1"/>
  <c r="I13" i="18"/>
  <c r="R13" i="18" s="1"/>
  <c r="J13" i="18"/>
  <c r="S13" i="18" s="1"/>
  <c r="K13" i="18"/>
  <c r="T13" i="18" s="1"/>
  <c r="L36" i="17" s="1"/>
  <c r="L13" i="18"/>
  <c r="U13" i="18" s="1"/>
  <c r="M13" i="18"/>
  <c r="V13" i="18" s="1"/>
  <c r="I14" i="18"/>
  <c r="R14" i="18" s="1"/>
  <c r="J14" i="18"/>
  <c r="S14" i="18" s="1"/>
  <c r="K14" i="18"/>
  <c r="T14" i="18" s="1"/>
  <c r="L37" i="17" s="1"/>
  <c r="L14" i="18"/>
  <c r="U14" i="18" s="1"/>
  <c r="M14" i="18"/>
  <c r="V14" i="18" s="1"/>
  <c r="I15" i="18"/>
  <c r="R15" i="18" s="1"/>
  <c r="J15" i="18"/>
  <c r="S15" i="18" s="1"/>
  <c r="K15" i="18"/>
  <c r="T15" i="18" s="1"/>
  <c r="L38" i="17" s="1"/>
  <c r="L15" i="18"/>
  <c r="U15" i="18" s="1"/>
  <c r="M15" i="18"/>
  <c r="V15" i="18" s="1"/>
  <c r="I16" i="18"/>
  <c r="R16" i="18" s="1"/>
  <c r="J16" i="18"/>
  <c r="S16" i="18" s="1"/>
  <c r="K16" i="18"/>
  <c r="T16" i="18" s="1"/>
  <c r="L39" i="17" s="1"/>
  <c r="L16" i="18"/>
  <c r="U16" i="18" s="1"/>
  <c r="M16" i="18"/>
  <c r="V16" i="18" s="1"/>
  <c r="I17" i="18"/>
  <c r="R17" i="18" s="1"/>
  <c r="J17" i="18"/>
  <c r="S17" i="18" s="1"/>
  <c r="K17" i="18"/>
  <c r="T17" i="18" s="1"/>
  <c r="L40" i="17" s="1"/>
  <c r="L17" i="18"/>
  <c r="U17" i="18" s="1"/>
  <c r="M17" i="18"/>
  <c r="V17" i="18" s="1"/>
  <c r="I18" i="18"/>
  <c r="R18" i="18" s="1"/>
  <c r="J18" i="18"/>
  <c r="S18" i="18" s="1"/>
  <c r="K18" i="18"/>
  <c r="T18" i="18" s="1"/>
  <c r="L41" i="17" s="1"/>
  <c r="L18" i="18"/>
  <c r="U18" i="18" s="1"/>
  <c r="M18" i="18"/>
  <c r="V18" i="18" s="1"/>
  <c r="J4" i="18"/>
  <c r="S4" i="18" s="1"/>
  <c r="K4" i="18"/>
  <c r="T4" i="18" s="1"/>
  <c r="L27" i="17" s="1"/>
  <c r="L4" i="18"/>
  <c r="U4" i="18" s="1"/>
  <c r="M4" i="18"/>
  <c r="V4" i="18" s="1"/>
  <c r="I4" i="18"/>
  <c r="R4" i="18" s="1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27" i="17"/>
  <c r="N42" i="17" l="1"/>
  <c r="O42" i="17" s="1"/>
  <c r="N45" i="17"/>
  <c r="O45" i="17" s="1"/>
  <c r="N40" i="17"/>
  <c r="O40" i="17" s="1"/>
  <c r="N36" i="17"/>
  <c r="O36" i="17" s="1"/>
  <c r="N32" i="17"/>
  <c r="O32" i="17" s="1"/>
  <c r="N28" i="17"/>
  <c r="O28" i="17" s="1"/>
  <c r="N44" i="17"/>
  <c r="O44" i="17" s="1"/>
  <c r="N37" i="17"/>
  <c r="O37" i="17" s="1"/>
  <c r="N33" i="17"/>
  <c r="O33" i="17" s="1"/>
  <c r="N29" i="17"/>
  <c r="O29" i="17" s="1"/>
  <c r="N43" i="17"/>
  <c r="O43" i="17" s="1"/>
  <c r="P42" i="17"/>
  <c r="N27" i="17"/>
  <c r="O27" i="17" s="1"/>
  <c r="N39" i="17"/>
  <c r="O39" i="17" s="1"/>
  <c r="N35" i="17"/>
  <c r="O35" i="17" s="1"/>
  <c r="N31" i="17"/>
  <c r="O31" i="17" s="1"/>
  <c r="N38" i="17"/>
  <c r="O38" i="17" s="1"/>
  <c r="N34" i="17"/>
  <c r="O34" i="17" s="1"/>
  <c r="N30" i="17"/>
  <c r="O30" i="17" s="1"/>
  <c r="P45" i="17"/>
  <c r="P40" i="17"/>
  <c r="P28" i="17"/>
  <c r="N41" i="17"/>
  <c r="O41" i="17" s="1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25" i="13"/>
  <c r="P33" i="17" l="1"/>
  <c r="P32" i="17"/>
  <c r="P37" i="17"/>
  <c r="P36" i="17"/>
  <c r="P44" i="17"/>
  <c r="P29" i="17"/>
  <c r="P30" i="17"/>
  <c r="P35" i="17"/>
  <c r="P43" i="17"/>
  <c r="P27" i="17"/>
  <c r="P31" i="17"/>
  <c r="P39" i="17"/>
  <c r="P34" i="17"/>
  <c r="P38" i="17"/>
  <c r="P41" i="17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B28" i="14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4" i="17"/>
  <c r="C27" i="14" l="1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B27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B25" i="14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9" i="2"/>
  <c r="C23" i="14" l="1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AE4" i="17" l="1"/>
  <c r="AF4" i="17"/>
  <c r="AG4" i="17"/>
  <c r="AE5" i="17"/>
  <c r="AF5" i="17"/>
  <c r="AG5" i="17"/>
  <c r="AE6" i="17"/>
  <c r="AF6" i="17"/>
  <c r="AG6" i="17"/>
  <c r="AE7" i="17"/>
  <c r="AF7" i="17"/>
  <c r="AG7" i="17"/>
  <c r="AE8" i="17"/>
  <c r="AF8" i="17"/>
  <c r="AG8" i="17"/>
  <c r="AE9" i="17"/>
  <c r="AF9" i="17"/>
  <c r="AG9" i="17"/>
  <c r="AE10" i="17"/>
  <c r="AF10" i="17"/>
  <c r="AG10" i="17"/>
  <c r="AE11" i="17"/>
  <c r="AF11" i="17"/>
  <c r="AG11" i="17"/>
  <c r="AE12" i="17"/>
  <c r="AF12" i="17"/>
  <c r="AG12" i="17"/>
  <c r="AE13" i="17"/>
  <c r="AF13" i="17"/>
  <c r="AG13" i="17"/>
  <c r="AE14" i="17"/>
  <c r="AF14" i="17"/>
  <c r="AG14" i="17"/>
  <c r="AE15" i="17"/>
  <c r="AF15" i="17"/>
  <c r="AG15" i="17"/>
  <c r="AE16" i="17"/>
  <c r="AF16" i="17"/>
  <c r="AG16" i="17"/>
  <c r="AE17" i="17"/>
  <c r="AF17" i="17"/>
  <c r="AG17" i="17"/>
  <c r="AE18" i="17"/>
  <c r="AF18" i="17"/>
  <c r="AG18" i="17"/>
  <c r="AE19" i="17"/>
  <c r="AF19" i="17"/>
  <c r="AG19" i="17"/>
  <c r="AE20" i="17"/>
  <c r="AF20" i="17"/>
  <c r="AG20" i="17"/>
  <c r="AE21" i="17"/>
  <c r="AF21" i="17"/>
  <c r="AG21" i="17"/>
  <c r="AE22" i="17"/>
  <c r="AF22" i="17"/>
  <c r="AG22" i="17"/>
  <c r="AE23" i="17"/>
  <c r="AF23" i="17"/>
  <c r="AG23" i="17"/>
  <c r="AF3" i="17"/>
  <c r="AG3" i="17"/>
  <c r="AE3" i="17"/>
  <c r="AB3" i="17"/>
  <c r="AC3" i="17"/>
  <c r="AB4" i="17"/>
  <c r="AC4" i="17"/>
  <c r="AB5" i="17"/>
  <c r="AC5" i="17"/>
  <c r="AB6" i="17"/>
  <c r="AC6" i="17"/>
  <c r="AB7" i="17"/>
  <c r="AC7" i="17"/>
  <c r="AB8" i="17"/>
  <c r="AC8" i="17"/>
  <c r="AB9" i="17"/>
  <c r="AC9" i="17"/>
  <c r="AB10" i="17"/>
  <c r="AC10" i="17"/>
  <c r="AB11" i="17"/>
  <c r="AC11" i="17"/>
  <c r="AB12" i="17"/>
  <c r="AC12" i="17"/>
  <c r="AB13" i="17"/>
  <c r="AC13" i="17"/>
  <c r="AB14" i="17"/>
  <c r="AC14" i="17"/>
  <c r="AB15" i="17"/>
  <c r="AC15" i="17"/>
  <c r="AB16" i="17"/>
  <c r="AC16" i="17"/>
  <c r="AB17" i="17"/>
  <c r="AC17" i="17"/>
  <c r="AB18" i="17"/>
  <c r="AC18" i="17"/>
  <c r="AB19" i="17"/>
  <c r="AC19" i="17"/>
  <c r="AB20" i="17"/>
  <c r="AC20" i="17"/>
  <c r="AB21" i="17"/>
  <c r="AC21" i="17"/>
  <c r="AB22" i="17"/>
  <c r="AC22" i="17"/>
  <c r="AB23" i="17"/>
  <c r="AC2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3" i="17"/>
  <c r="Q4" i="17"/>
  <c r="R4" i="17"/>
  <c r="S4" i="17"/>
  <c r="Q5" i="17"/>
  <c r="R5" i="17"/>
  <c r="S5" i="17"/>
  <c r="Q6" i="17"/>
  <c r="R6" i="17"/>
  <c r="S6" i="17"/>
  <c r="Q7" i="17"/>
  <c r="R7" i="17"/>
  <c r="S7" i="17"/>
  <c r="Q8" i="17"/>
  <c r="R8" i="17"/>
  <c r="S8" i="17"/>
  <c r="Q9" i="17"/>
  <c r="R9" i="17"/>
  <c r="S9" i="17"/>
  <c r="Q10" i="17"/>
  <c r="R10" i="17"/>
  <c r="S10" i="17"/>
  <c r="Q11" i="17"/>
  <c r="R11" i="17"/>
  <c r="S11" i="17"/>
  <c r="Q12" i="17"/>
  <c r="R12" i="17"/>
  <c r="S12" i="17"/>
  <c r="Q13" i="17"/>
  <c r="R13" i="17"/>
  <c r="S13" i="17"/>
  <c r="Q14" i="17"/>
  <c r="R14" i="17"/>
  <c r="S14" i="17"/>
  <c r="Q15" i="17"/>
  <c r="R15" i="17"/>
  <c r="S15" i="17"/>
  <c r="Q16" i="17"/>
  <c r="R16" i="17"/>
  <c r="S16" i="17"/>
  <c r="Q17" i="17"/>
  <c r="R17" i="17"/>
  <c r="S17" i="17"/>
  <c r="Q18" i="17"/>
  <c r="R18" i="17"/>
  <c r="S18" i="17"/>
  <c r="Q19" i="17"/>
  <c r="R19" i="17"/>
  <c r="S19" i="17"/>
  <c r="Q20" i="17"/>
  <c r="R20" i="17"/>
  <c r="S20" i="17"/>
  <c r="Q21" i="17"/>
  <c r="R21" i="17"/>
  <c r="S21" i="17"/>
  <c r="R3" i="17"/>
  <c r="S3" i="17"/>
  <c r="Q3" i="17"/>
  <c r="H4" i="17"/>
  <c r="I4" i="17"/>
  <c r="J4" i="17"/>
  <c r="H5" i="17"/>
  <c r="I5" i="17"/>
  <c r="J5" i="17"/>
  <c r="H6" i="17"/>
  <c r="I6" i="17"/>
  <c r="J6" i="17"/>
  <c r="H7" i="17"/>
  <c r="I7" i="17"/>
  <c r="J7" i="17"/>
  <c r="H8" i="17"/>
  <c r="I8" i="17"/>
  <c r="J8" i="17"/>
  <c r="H9" i="17"/>
  <c r="I9" i="17"/>
  <c r="J9" i="17"/>
  <c r="H10" i="17"/>
  <c r="I10" i="17"/>
  <c r="J10" i="17"/>
  <c r="H11" i="17"/>
  <c r="I11" i="17"/>
  <c r="J11" i="17"/>
  <c r="H12" i="17"/>
  <c r="I12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H17" i="17"/>
  <c r="I17" i="17"/>
  <c r="J17" i="17"/>
  <c r="H18" i="17"/>
  <c r="I18" i="17"/>
  <c r="J18" i="17"/>
  <c r="H19" i="17"/>
  <c r="I19" i="17"/>
  <c r="J19" i="17"/>
  <c r="H20" i="17"/>
  <c r="I20" i="17"/>
  <c r="J20" i="17"/>
  <c r="H21" i="17"/>
  <c r="I21" i="17"/>
  <c r="J21" i="17"/>
  <c r="I3" i="17"/>
  <c r="J3" i="17"/>
  <c r="H3" i="17"/>
  <c r="K1" i="17"/>
  <c r="Q14" i="14" l="1"/>
  <c r="R14" i="14"/>
  <c r="S14" i="14"/>
  <c r="T14" i="14"/>
  <c r="Q15" i="14"/>
  <c r="R15" i="14"/>
  <c r="S15" i="14"/>
  <c r="T15" i="14"/>
  <c r="Q16" i="14"/>
  <c r="R16" i="14"/>
  <c r="S16" i="14"/>
  <c r="T16" i="14"/>
  <c r="Q11" i="14"/>
  <c r="R11" i="14"/>
  <c r="S11" i="14"/>
  <c r="T11" i="14"/>
  <c r="Q12" i="14"/>
  <c r="R12" i="14"/>
  <c r="S12" i="14"/>
  <c r="T12" i="14"/>
  <c r="Q13" i="14"/>
  <c r="R13" i="14"/>
  <c r="S13" i="14"/>
  <c r="T13" i="14"/>
  <c r="C18" i="14" l="1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B19" i="14"/>
  <c r="B1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B17" i="14"/>
  <c r="H18" i="16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I3" i="16"/>
  <c r="J3" i="16"/>
  <c r="H3" i="16"/>
  <c r="P14" i="14" l="1"/>
  <c r="P15" i="14"/>
  <c r="P16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B16" i="14"/>
  <c r="B14" i="14"/>
  <c r="B15" i="14"/>
  <c r="Q17" i="15"/>
  <c r="R17" i="15" s="1"/>
  <c r="I17" i="15"/>
  <c r="J17" i="15"/>
  <c r="K17" i="15"/>
  <c r="H17" i="15"/>
  <c r="L17" i="15" s="1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F3" i="15"/>
  <c r="G3" i="15"/>
  <c r="E3" i="15"/>
  <c r="G18" i="13" l="1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C11" i="14" l="1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3" i="14"/>
  <c r="B11" i="14"/>
  <c r="B12" i="14"/>
  <c r="AA3" i="13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L3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19" i="2"/>
  <c r="S37" i="2"/>
  <c r="R37" i="2"/>
  <c r="Q37" i="2"/>
  <c r="P37" i="2"/>
  <c r="E4" i="14"/>
  <c r="E24" i="14" s="1"/>
  <c r="E26" i="14" s="1"/>
  <c r="F4" i="14"/>
  <c r="F24" i="14" s="1"/>
  <c r="F26" i="14" s="1"/>
  <c r="H4" i="14"/>
  <c r="H24" i="14" s="1"/>
  <c r="H26" i="14" s="1"/>
  <c r="I4" i="14"/>
  <c r="I24" i="14" s="1"/>
  <c r="I26" i="14" s="1"/>
  <c r="J4" i="14"/>
  <c r="J24" i="14" s="1"/>
  <c r="J26" i="14" s="1"/>
  <c r="L4" i="14"/>
  <c r="L24" i="14" s="1"/>
  <c r="L26" i="14" s="1"/>
  <c r="M4" i="14"/>
  <c r="M24" i="14" s="1"/>
  <c r="M26" i="14" s="1"/>
  <c r="N4" i="14"/>
  <c r="N24" i="14" s="1"/>
  <c r="N26" i="14" s="1"/>
  <c r="P4" i="14"/>
  <c r="P24" i="14" s="1"/>
  <c r="P26" i="14" s="1"/>
  <c r="R4" i="14"/>
  <c r="R24" i="14" s="1"/>
  <c r="R26" i="14" s="1"/>
  <c r="B4" i="14"/>
  <c r="B24" i="14" s="1"/>
  <c r="B26" i="14" s="1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C24" i="14" s="1"/>
  <c r="C26" i="14" s="1"/>
  <c r="N4" i="13"/>
  <c r="D4" i="14" s="1"/>
  <c r="D24" i="14" s="1"/>
  <c r="D26" i="14" s="1"/>
  <c r="N5" i="13"/>
  <c r="N6" i="13"/>
  <c r="N7" i="13"/>
  <c r="G4" i="14" s="1"/>
  <c r="G24" i="14" s="1"/>
  <c r="G26" i="14" s="1"/>
  <c r="N8" i="13"/>
  <c r="N9" i="13"/>
  <c r="N10" i="13"/>
  <c r="N11" i="13"/>
  <c r="K4" i="14" s="1"/>
  <c r="K24" i="14" s="1"/>
  <c r="K26" i="14" s="1"/>
  <c r="N12" i="13"/>
  <c r="N13" i="13"/>
  <c r="N14" i="13"/>
  <c r="U14" i="13" s="1"/>
  <c r="N15" i="13"/>
  <c r="O4" i="14" s="1"/>
  <c r="O24" i="14" s="1"/>
  <c r="O26" i="14" s="1"/>
  <c r="N16" i="13"/>
  <c r="N17" i="13"/>
  <c r="Q4" i="14" s="1"/>
  <c r="Q24" i="14" s="1"/>
  <c r="Q26" i="14" s="1"/>
  <c r="N18" i="13"/>
  <c r="N19" i="13"/>
  <c r="S4" i="14" s="1"/>
  <c r="S24" i="14" s="1"/>
  <c r="S26" i="14" s="1"/>
  <c r="N20" i="13"/>
  <c r="T4" i="14" s="1"/>
  <c r="T24" i="14" s="1"/>
  <c r="T26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R9" i="14" l="1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R33" i="2"/>
  <c r="S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R31" i="2"/>
  <c r="R32" i="2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R21" i="2"/>
  <c r="R22" i="2"/>
  <c r="R23" i="2"/>
  <c r="R24" i="2"/>
  <c r="R25" i="2"/>
  <c r="R26" i="2"/>
  <c r="R27" i="2"/>
  <c r="R28" i="2"/>
  <c r="R29" i="2"/>
  <c r="R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Y23" i="2" l="1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R4" i="8"/>
  <c r="S4" i="8"/>
  <c r="T4" i="8"/>
  <c r="U4" i="8"/>
  <c r="V4" i="8"/>
  <c r="Q4" i="8"/>
  <c r="R5" i="7"/>
  <c r="R6" i="7"/>
  <c r="R7" i="7"/>
  <c r="R8" i="7"/>
  <c r="R9" i="7"/>
  <c r="R10" i="7"/>
  <c r="R4" i="7"/>
  <c r="V4" i="7" s="1"/>
  <c r="W19" i="2"/>
  <c r="Y19" i="2"/>
  <c r="AA19" i="2"/>
  <c r="AC19" i="2"/>
  <c r="U19" i="2"/>
  <c r="O4" i="8"/>
  <c r="K4" i="8"/>
  <c r="AA21" i="3"/>
  <c r="AC21" i="3" s="1"/>
  <c r="Y21" i="3"/>
  <c r="AI21" i="3" s="1"/>
  <c r="X21" i="3"/>
  <c r="W21" i="3"/>
  <c r="AA21" i="2" l="1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R11" i="7" l="1"/>
  <c r="V11" i="7" s="1"/>
  <c r="R13" i="7"/>
  <c r="R12" i="7"/>
  <c r="V12" i="7" s="1"/>
  <c r="R14" i="7"/>
  <c r="R15" i="7"/>
  <c r="V15" i="7" s="1"/>
  <c r="R16" i="7"/>
  <c r="R17" i="7"/>
  <c r="R18" i="7"/>
  <c r="S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<sst xmlns="http://schemas.openxmlformats.org/spreadsheetml/2006/main" count="633" uniqueCount="242">
  <si>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</si>
  <si>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</si>
  <si>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</si>
  <si>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</si>
  <si>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</si>
  <si>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</si>
  <si>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</si>
  <si>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</si>
  <si>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</si>
  <si>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</si>
  <si>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</si>
  <si>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</si>
  <si>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</si>
  <si>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</si>
  <si>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</si>
  <si>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</si>
  <si>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</si>
  <si>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</si>
  <si>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</si>
  <si>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</si>
  <si>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</si>
  <si>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</si>
  <si>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</si>
  <si>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</si>
  <si>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</si>
  <si>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</si>
  <si>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</si>
  <si>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</si>
  <si>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</si>
  <si>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</si>
  <si>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</si>
  <si>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</si>
  <si>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</si>
  <si>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</si>
  <si>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</si>
  <si>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</si>
  <si>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</si>
  <si>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</si>
  <si>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</si>
  <si>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</si>
  <si>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</si>
  <si>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</si>
  <si>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</si>
  <si>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</si>
  <si>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</si>
  <si>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</si>
  <si>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</si>
  <si>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</si>
  <si>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</si>
  <si>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</si>
  <si>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</si>
  <si>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</si>
  <si>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</si>
  <si>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</si>
  <si>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</si>
  <si>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</si>
  <si>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</si>
  <si>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</si>
  <si>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</si>
  <si>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</si>
  <si>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</si>
  <si>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</si>
  <si>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</si>
  <si>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</si>
  <si>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</si>
  <si>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</si>
  <si>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</si>
  <si>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</si>
  <si>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</si>
  <si>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</si>
  <si>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</si>
  <si>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</si>
  <si>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</si>
  <si>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</si>
  <si>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</si>
  <si>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</si>
  <si>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</si>
  <si>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</si>
  <si>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</si>
  <si>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</si>
  <si>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</si>
  <si>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</si>
  <si>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</si>
  <si>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</si>
  <si>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</si>
  <si>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</si>
  <si>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</si>
  <si>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</si>
  <si>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</si>
  <si>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</si>
  <si>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</si>
  <si>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</si>
  <si>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</si>
  <si>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</si>
  <si>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</si>
  <si>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</si>
  <si>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</si>
  <si>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</si>
  <si>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</si>
  <si>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</si>
  <si>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</si>
  <si>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</si>
  <si>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</si>
  <si>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</si>
  <si>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</si>
  <si>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</si>
  <si>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</si>
  <si>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</si>
  <si>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</si>
  <si>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</si>
  <si>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</si>
  <si>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</si>
  <si>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</si>
  <si>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</si>
  <si>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</si>
  <si>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</si>
  <si>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</si>
  <si>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</si>
  <si>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</si>
  <si>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</si>
  <si>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</si>
  <si>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</si>
  <si>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</si>
  <si>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</si>
  <si>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</si>
  <si>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</si>
  <si>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</si>
  <si>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</si>
  <si>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</si>
  <si>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</si>
  <si>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</si>
  <si>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</si>
  <si>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</si>
  <si>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</si>
  <si>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</si>
  <si>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</si>
  <si>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</si>
  <si>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</si>
  <si>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</si>
  <si>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</si>
  <si>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</si>
  <si>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</si>
  <si>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</si>
  <si>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</si>
  <si>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</si>
  <si>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</si>
  <si>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</si>
  <si>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</si>
  <si>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</si>
  <si>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</si>
  <si>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</si>
  <si>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</si>
  <si>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</si>
  <si>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</si>
  <si>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</si>
  <si>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</si>
  <si>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</si>
  <si>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</si>
  <si>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</si>
  <si>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</si>
  <si>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</si>
  <si>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</si>
  <si>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</si>
  <si>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</si>
  <si>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</si>
  <si>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</si>
  <si>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</si>
  <si>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</si>
  <si>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</si>
  <si>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</si>
  <si>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</si>
  <si>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</si>
  <si>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</si>
  <si>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</si>
  <si>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</si>
  <si>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</si>
  <si>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</si>
  <si>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</si>
  <si>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</si>
  <si>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</si>
  <si>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</si>
  <si>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</si>
  <si>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</si>
  <si>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</si>
  <si>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</si>
  <si>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</si>
  <si>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</si>
  <si>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</si>
  <si>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</si>
  <si>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</si>
  <si>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</si>
  <si>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</si>
  <si>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</si>
  <si>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</si>
  <si>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</si>
  <si>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</si>
  <si>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</si>
  <si>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</si>
  <si>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</si>
  <si>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</si>
  <si>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</si>
  <si>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</si>
  <si>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</si>
  <si>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</si>
  <si>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</si>
  <si>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</si>
  <si>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Natural Gas Reserves (SCF)</t>
  </si>
  <si>
    <t>Non Associated</t>
  </si>
  <si>
    <t>Natural Gas Production (SCF)</t>
  </si>
  <si>
    <t>Natural Gas (Energy Balance) (Thousand BOE)</t>
  </si>
  <si>
    <t>Natural Gas (Energy Balance) (BOE)</t>
  </si>
  <si>
    <t>Natural Gas (Energy Balance) (SCF)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</si>
  <si>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</si>
  <si>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</si>
  <si>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</si>
  <si>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</si>
  <si>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</si>
  <si>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</si>
  <si>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</si>
  <si>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Reserve - Eksploitasi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</si>
  <si>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</si>
  <si>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</si>
  <si>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</si>
  <si>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</si>
  <si>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</si>
  <si>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</si>
  <si>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Reserve</t>
  </si>
  <si>
    <t>Gas Refinery</t>
  </si>
  <si>
    <t>Oil Refinery</t>
  </si>
  <si>
    <t>LPG (Ton/Tahun)</t>
  </si>
  <si>
    <t>LPG (SBM/Tahun)</t>
  </si>
  <si>
    <t>BOE/Ton LPG</t>
  </si>
  <si>
    <t>Gas Bumi (SBM/Tahun)</t>
  </si>
  <si>
    <t>Gas Bumi + LPG</t>
  </si>
  <si>
    <t>Fraksi LPG</t>
  </si>
  <si>
    <t>Fraksi Gas Bumi</t>
  </si>
  <si>
    <t>Suplai Domestik</t>
  </si>
  <si>
    <t>Suplai LPG Domestik</t>
  </si>
  <si>
    <t>BOE/MMSCF</t>
  </si>
  <si>
    <t>SCF/TSCF</t>
  </si>
  <si>
    <t>MMSCF/BOE</t>
  </si>
  <si>
    <t>Permintaan Gas Bumi (MMSCF)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</si>
</sst>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0" fontId="5" fillId="6" borderId="2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0" fontId="0" fillId="0" borderId="1" xfId="0" applyNumberFormat="1" applyFont="1" applyBorder="1"/>
    <xf numFmtId="3" fontId="0" fillId="2" borderId="1" xfId="0" applyNumberFormat="1" applyFill="1" applyBorder="1" applyAlignment="1">
      <alignment vertical="center"/>
    </xf>
    <xf numFmtId="166" fontId="0" fillId="2" borderId="1" xfId="0" applyNumberForma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" xfId="0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29"/>
  <sheetViews>
    <sheetView tabSelected="1"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t="s">
        <v>172</v>
      </c>
      <c r="B11">
        <f>VLOOKUP(B1,'Energi Primer Nasional'!$Z$1:$AJ$16,3)</f>
        <v>9.4200000000000006E-2</v>
      </c>
      <c r="C11">
        <f>VLOOKUP(C1,'Energi Primer Nasional'!$Z$1:$AJ$16,3)</f>
        <v>0.1144</v>
      </c>
      <c r="D11">
        <f>VLOOKUP(D1,'Energi Primer Nasional'!$Z$1:$AJ$16,3)</f>
        <v>0.1148</v>
      </c>
      <c r="E11">
        <f>VLOOKUP(E1,'Energi Primer Nasional'!$Z$1:$AJ$16,3)</f>
        <v>0.14580000000000001</v>
      </c>
      <c r="F11">
        <f>VLOOKUP(F1,'Energi Primer Nasional'!$Z$1:$AJ$16,3)</f>
        <v>0.13239999999999999</v>
      </c>
      <c r="G11">
        <f>VLOOKUP(G1,'Energi Primer Nasional'!$Z$1:$AJ$16,3)</f>
        <v>0.1489</v>
      </c>
      <c r="H11">
        <f>VLOOKUP(H1,'Energi Primer Nasional'!$Z$1:$AJ$16,3)</f>
        <v>0.17510000000000001</v>
      </c>
      <c r="I11">
        <f>VLOOKUP(I1,'Energi Primer Nasional'!$Z$1:$AJ$16,3)</f>
        <v>0.2097</v>
      </c>
      <c r="J11">
        <f>VLOOKUP(J1,'Energi Primer Nasional'!$Z$1:$AJ$16,3)</f>
        <v>0.17800000000000002</v>
      </c>
      <c r="K11">
        <f>VLOOKUP(K1,'Energi Primer Nasional'!$Z$1:$AJ$16,3)</f>
        <v>0.18179999999999999</v>
      </c>
      <c r="L11">
        <f>VLOOKUP(L1,'Energi Primer Nasional'!$Z$1:$AJ$16,3)</f>
        <v>0.19839999999999999</v>
      </c>
      <c r="M11">
        <f>VLOOKUP(M1,'Energi Primer Nasional'!$Z$1:$AJ$16,3)</f>
        <v>0.22</v>
      </c>
      <c r="N11">
        <f>VLOOKUP(N1,'Energi Primer Nasional'!$Z$1:$AJ$16,3)</f>
        <v>0.23920000000000002</v>
      </c>
      <c r="O11">
        <f>VLOOKUP(O1,'Energi Primer Nasional'!$Z$1:$AJ$16,3)</f>
        <v>0.25459999999999999</v>
      </c>
      <c r="P11">
        <f>VLOOKUP(P1,'Energi Primer Nasional'!$Z$1:$AJ$16,3)</f>
        <v>0.28170000000000001</v>
      </c>
      <c r="Q11">
        <f>VLOOKUP(Q1,'Energi Primer Nasional'!$Z$1:$AJ$16,3)</f>
        <v>0.28170000000000001</v>
      </c>
      <c r="R11">
        <f>VLOOKUP(R1,'Energi Primer Nasional'!$Z$1:$AJ$16,3)</f>
        <v>0.28170000000000001</v>
      </c>
      <c r="S11">
        <f>VLOOKUP(S1,'Energi Primer Nasional'!$Z$1:$AJ$16,3)</f>
        <v>0.28170000000000001</v>
      </c>
      <c r="T11">
        <f>VLOOKUP(T1,'Energi Primer Nasional'!$Z$1:$AJ$16,3)</f>
        <v>0.28170000000000001</v>
      </c>
    </row>
    <row r="12" spans="1:22" x14ac:dyDescent="0.25">
      <c r="A12" t="s">
        <v>173</v>
      </c>
      <c r="B12">
        <f>VLOOKUP(B1,'Energi Primer Nasional'!$Z$1:$AJ$16,2)</f>
        <v>0.41739999999999999</v>
      </c>
      <c r="C12">
        <f>VLOOKUP(C1,'Energi Primer Nasional'!$Z$1:$AJ$16,2)</f>
        <v>0.42420000000000002</v>
      </c>
      <c r="D12">
        <f>VLOOKUP(D1,'Energi Primer Nasional'!$Z$1:$AJ$16,2)</f>
        <v>0.42320000000000002</v>
      </c>
      <c r="E12">
        <f>VLOOKUP(E1,'Energi Primer Nasional'!$Z$1:$AJ$16,2)</f>
        <v>0.40369999999999995</v>
      </c>
      <c r="F12">
        <f>VLOOKUP(F1,'Energi Primer Nasional'!$Z$1:$AJ$16,2)</f>
        <v>0.43520000000000003</v>
      </c>
      <c r="G12">
        <f>VLOOKUP(G1,'Energi Primer Nasional'!$Z$1:$AJ$16,2)</f>
        <v>0.42320000000000002</v>
      </c>
      <c r="H12">
        <f>VLOOKUP(H1,'Energi Primer Nasional'!$Z$1:$AJ$16,2)</f>
        <v>0.39240000000000003</v>
      </c>
      <c r="I12">
        <f>VLOOKUP(I1,'Energi Primer Nasional'!$Z$1:$AJ$16,2)</f>
        <v>0.38500000000000001</v>
      </c>
      <c r="J12">
        <f>VLOOKUP(J1,'Energi Primer Nasional'!$Z$1:$AJ$16,2)</f>
        <v>0.38079999999999997</v>
      </c>
      <c r="K12">
        <f>VLOOKUP(K1,'Energi Primer Nasional'!$Z$1:$AJ$16,2)</f>
        <v>0.37280000000000002</v>
      </c>
      <c r="L12">
        <f>VLOOKUP(L1,'Energi Primer Nasional'!$Z$1:$AJ$16,2)</f>
        <v>0.37569999999999998</v>
      </c>
      <c r="M12">
        <f>VLOOKUP(M1,'Energi Primer Nasional'!$Z$1:$AJ$16,2)</f>
        <v>0.38909999999999995</v>
      </c>
      <c r="N12">
        <f>VLOOKUP(N1,'Energi Primer Nasional'!$Z$1:$AJ$16,2)</f>
        <v>0.37319999999999998</v>
      </c>
      <c r="O12">
        <f>VLOOKUP(O1,'Energi Primer Nasional'!$Z$1:$AJ$16,2)</f>
        <v>0.3775</v>
      </c>
      <c r="P12">
        <f>VLOOKUP(P1,'Energi Primer Nasional'!$Z$1:$AJ$16,2)</f>
        <v>0.35479999999999995</v>
      </c>
      <c r="Q12">
        <f>VLOOKUP(Q1,'Energi Primer Nasional'!$Z$1:$AJ$16,2)</f>
        <v>0.35479999999999995</v>
      </c>
      <c r="R12">
        <f>VLOOKUP(R1,'Energi Primer Nasional'!$Z$1:$AJ$16,2)</f>
        <v>0.35479999999999995</v>
      </c>
      <c r="S12">
        <f>VLOOKUP(S1,'Energi Primer Nasional'!$Z$1:$AJ$16,2)</f>
        <v>0.35479999999999995</v>
      </c>
      <c r="T12">
        <f>VLOOKUP(T1,'Energi Primer Nasional'!$Z$1:$AJ$16,2)</f>
        <v>0.35479999999999995</v>
      </c>
    </row>
    <row r="13" spans="1:22" x14ac:dyDescent="0.25">
      <c r="A13" t="s">
        <v>174</v>
      </c>
      <c r="B13">
        <f>VLOOKUP(B1,'Energi Primer Nasional'!$Z$1:$AJ$16,4)</f>
        <v>0.16539999999999999</v>
      </c>
      <c r="C13">
        <f>VLOOKUP(C1,'Energi Primer Nasional'!$Z$1:$AJ$16,4)</f>
        <v>0.1653</v>
      </c>
      <c r="D13">
        <f>VLOOKUP(D1,'Energi Primer Nasional'!$Z$1:$AJ$16,4)</f>
        <v>0.17649999999999999</v>
      </c>
      <c r="E13">
        <f>VLOOKUP(E1,'Energi Primer Nasional'!$Z$1:$AJ$16,4)</f>
        <v>0.18049999999999999</v>
      </c>
      <c r="F13">
        <f>VLOOKUP(F1,'Energi Primer Nasional'!$Z$1:$AJ$16,4)</f>
        <v>0.16390000000000002</v>
      </c>
      <c r="G13">
        <f>VLOOKUP(G1,'Energi Primer Nasional'!$Z$1:$AJ$16,4)</f>
        <v>0.16390000000000002</v>
      </c>
      <c r="H13">
        <f>VLOOKUP(H1,'Energi Primer Nasional'!$Z$1:$AJ$16,4)</f>
        <v>0.16719999999999999</v>
      </c>
      <c r="I13">
        <f>VLOOKUP(I1,'Energi Primer Nasional'!$Z$1:$AJ$16,4)</f>
        <v>0.1492</v>
      </c>
      <c r="J13">
        <f>VLOOKUP(J1,'Energi Primer Nasional'!$Z$1:$AJ$16,4)</f>
        <v>0.187</v>
      </c>
      <c r="K13">
        <f>VLOOKUP(K1,'Energi Primer Nasional'!$Z$1:$AJ$16,4)</f>
        <v>0.193</v>
      </c>
      <c r="L13">
        <f>VLOOKUP(L1,'Energi Primer Nasional'!$Z$1:$AJ$16,4)</f>
        <v>0.19030000000000002</v>
      </c>
      <c r="M13">
        <f>VLOOKUP(M1,'Energi Primer Nasional'!$Z$1:$AJ$16,4)</f>
        <v>0.17230000000000001</v>
      </c>
      <c r="N13">
        <f>VLOOKUP(N1,'Energi Primer Nasional'!$Z$1:$AJ$16,4)</f>
        <v>0.1643</v>
      </c>
      <c r="O13">
        <f>VLOOKUP(O1,'Energi Primer Nasional'!$Z$1:$AJ$16,4)</f>
        <v>0.14410000000000001</v>
      </c>
      <c r="P13">
        <f>VLOOKUP(P1,'Energi Primer Nasional'!$Z$1:$AJ$16,4)</f>
        <v>0.15359999999999999</v>
      </c>
      <c r="Q13">
        <f>VLOOKUP(Q1,'Energi Primer Nasional'!$Z$1:$AJ$16,4)</f>
        <v>0.15359999999999999</v>
      </c>
      <c r="R13">
        <f>VLOOKUP(R1,'Energi Primer Nasional'!$Z$1:$AJ$16,4)</f>
        <v>0.15359999999999999</v>
      </c>
      <c r="S13">
        <f>VLOOKUP(S1,'Energi Primer Nasional'!$Z$1:$AJ$16,4)</f>
        <v>0.15359999999999999</v>
      </c>
      <c r="T13">
        <f>VLOOKUP(T1,'Energi Primer Nasional'!$Z$1:$AJ$16,4)</f>
        <v>0.15359999999999999</v>
      </c>
    </row>
    <row r="14" spans="1:22" x14ac:dyDescent="0.25">
      <c r="A14" t="s">
        <v>192</v>
      </c>
      <c r="B14">
        <f>VLOOKUP(B1,'Eksploitasi Batubara'!$A$3:$D$21,2)</f>
        <v>77040185</v>
      </c>
      <c r="C14">
        <f>VLOOKUP(C1,'Eksploitasi Batubara'!$A$3:$D$21,2)</f>
        <v>92540460</v>
      </c>
      <c r="D14">
        <f>VLOOKUP(D1,'Eksploitasi Batubara'!$A$3:$D$21,2)</f>
        <v>103329093</v>
      </c>
      <c r="E14">
        <f>VLOOKUP(E1,'Eksploitasi Batubara'!$A$3:$D$21,2)</f>
        <v>114278000</v>
      </c>
      <c r="F14">
        <f>VLOOKUP(F1,'Eksploitasi Batubara'!$A$3:$D$21,2)</f>
        <v>132352025</v>
      </c>
      <c r="G14">
        <f>VLOOKUP(G1,'Eksploitasi Batubara'!$A$3:$D$21,2)</f>
        <v>152722438</v>
      </c>
      <c r="H14">
        <f>VLOOKUP(H1,'Eksploitasi Batubara'!$A$3:$D$21,2)</f>
        <v>193761311</v>
      </c>
      <c r="I14">
        <f>VLOOKUP(I1,'Eksploitasi Batubara'!$A$3:$D$21,2)</f>
        <v>216946699</v>
      </c>
      <c r="J14">
        <f>VLOOKUP(J1,'Eksploitasi Batubara'!$A$3:$D$21,2)</f>
        <v>240249968</v>
      </c>
      <c r="K14">
        <f>VLOOKUP(K1,'Eksploitasi Batubara'!$A$3:$D$21,2)</f>
        <v>256181000</v>
      </c>
      <c r="L14">
        <f>VLOOKUP(L1,'Eksploitasi Batubara'!$A$3:$D$21,2)</f>
        <v>275164196</v>
      </c>
      <c r="M14">
        <f>VLOOKUP(M1,'Eksploitasi Batubara'!$A$3:$D$21,2)</f>
        <v>353270937</v>
      </c>
      <c r="N14">
        <f>VLOOKUP(N1,'Eksploitasi Batubara'!$A$3:$D$21,2)</f>
        <v>386077357</v>
      </c>
      <c r="O14">
        <f>VLOOKUP(O1,'Eksploitasi Batubara'!$A$3:$D$21,2)</f>
        <v>474371369</v>
      </c>
      <c r="P14">
        <f>VLOOKUP(P1,'Eksploitasi Batubara'!$A$3:$D$21,2)</f>
        <v>458096707</v>
      </c>
      <c r="Q14">
        <f>VLOOKUP(Q1,'Eksploitasi Batubara'!$A$3:$D$21,2)</f>
        <v>461566080</v>
      </c>
      <c r="R14">
        <f>VLOOKUP(R1,'Eksploitasi Batubara'!$A$3:$D$21,2)</f>
        <v>456197775</v>
      </c>
      <c r="S14">
        <f>VLOOKUP(S1,'Eksploitasi Batubara'!$A$3:$D$21,2)</f>
        <v>461248184</v>
      </c>
      <c r="T14">
        <f>VLOOKUP(T1,'Eksploitasi Batubara'!$A$3:$D$21,2)</f>
        <v>557772940</v>
      </c>
    </row>
    <row r="15" spans="1:22" x14ac:dyDescent="0.25">
      <c r="A15" t="s">
        <v>191</v>
      </c>
      <c r="B15">
        <f>VLOOKUP(B1,'Eksploitasi Batubara'!$A$3:$D$21,3)</f>
        <v>58460492</v>
      </c>
      <c r="C15">
        <f>VLOOKUP(C1,'Eksploitasi Batubara'!$A$3:$D$21,3)</f>
        <v>65281086</v>
      </c>
      <c r="D15">
        <f>VLOOKUP(D1,'Eksploitasi Batubara'!$A$3:$D$21,3)</f>
        <v>74177926</v>
      </c>
      <c r="E15">
        <f>VLOOKUP(E1,'Eksploitasi Batubara'!$A$3:$D$21,3)</f>
        <v>85680621</v>
      </c>
      <c r="F15">
        <f>VLOOKUP(F1,'Eksploitasi Batubara'!$A$3:$D$21,3)</f>
        <v>93758806</v>
      </c>
      <c r="G15">
        <f>VLOOKUP(G1,'Eksploitasi Batubara'!$A$3:$D$21,3)</f>
        <v>110789700</v>
      </c>
      <c r="H15">
        <f>VLOOKUP(H1,'Eksploitasi Batubara'!$A$3:$D$21,3)</f>
        <v>143632865</v>
      </c>
      <c r="I15">
        <f>VLOOKUP(I1,'Eksploitasi Batubara'!$A$3:$D$21,3)</f>
        <v>163000000</v>
      </c>
      <c r="J15">
        <f>VLOOKUP(J1,'Eksploitasi Batubara'!$A$3:$D$21,3)</f>
        <v>191430218</v>
      </c>
      <c r="K15">
        <f>VLOOKUP(K1,'Eksploitasi Batubara'!$A$3:$D$21,3)</f>
        <v>198366000</v>
      </c>
      <c r="L15">
        <f>VLOOKUP(L1,'Eksploitasi Batubara'!$A$3:$D$21,3)</f>
        <v>208000000</v>
      </c>
      <c r="M15">
        <f>VLOOKUP(M1,'Eksploitasi Batubara'!$A$3:$D$21,3)</f>
        <v>272671351</v>
      </c>
      <c r="N15">
        <f>VLOOKUP(N1,'Eksploitasi Batubara'!$A$3:$D$21,3)</f>
        <v>304051216</v>
      </c>
      <c r="O15">
        <f>VLOOKUP(O1,'Eksploitasi Batubara'!$A$3:$D$21,3)</f>
        <v>356357973</v>
      </c>
      <c r="P15">
        <f>VLOOKUP(P1,'Eksploitasi Batubara'!$A$3:$D$21,3)</f>
        <v>381972830</v>
      </c>
      <c r="Q15">
        <f>VLOOKUP(Q1,'Eksploitasi Batubara'!$A$3:$D$21,3)</f>
        <v>365849610</v>
      </c>
      <c r="R15">
        <f>VLOOKUP(R1,'Eksploitasi Batubara'!$A$3:$D$21,3)</f>
        <v>331128438</v>
      </c>
      <c r="S15">
        <f>VLOOKUP(S1,'Eksploitasi Batubara'!$A$3:$D$21,3)</f>
        <v>297741135</v>
      </c>
      <c r="T15">
        <f>VLOOKUP(T1,'Eksploitasi Batubara'!$A$3:$D$21,3)</f>
        <v>356394687</v>
      </c>
    </row>
    <row r="16" spans="1:22" x14ac:dyDescent="0.25">
      <c r="A16" t="s">
        <v>193</v>
      </c>
      <c r="B16">
        <f>VLOOKUP(B1,'Eksploitasi Batubara'!$A$3:$D$21,4)</f>
        <v>140116</v>
      </c>
      <c r="C16">
        <f>VLOOKUP(C1,'Eksploitasi Batubara'!$A$3:$D$21,4)</f>
        <v>30466</v>
      </c>
      <c r="D16">
        <f>VLOOKUP(D1,'Eksploitasi Batubara'!$A$3:$D$21,4)</f>
        <v>20026</v>
      </c>
      <c r="E16">
        <f>VLOOKUP(E1,'Eksploitasi Batubara'!$A$3:$D$21,4)</f>
        <v>38228</v>
      </c>
      <c r="F16">
        <f>VLOOKUP(F1,'Eksploitasi Batubara'!$A$3:$D$21,4)</f>
        <v>97183</v>
      </c>
      <c r="G16">
        <f>VLOOKUP(G1,'Eksploitasi Batubara'!$A$3:$D$21,4)</f>
        <v>98179</v>
      </c>
      <c r="H16">
        <f>VLOOKUP(H1,'Eksploitasi Batubara'!$A$3:$D$21,4)</f>
        <v>110683</v>
      </c>
      <c r="I16">
        <f>VLOOKUP(I1,'Eksploitasi Batubara'!$A$3:$D$21,4)</f>
        <v>67534</v>
      </c>
      <c r="J16">
        <f>VLOOKUP(J1,'Eksploitasi Batubara'!$A$3:$D$21,4)</f>
        <v>106931</v>
      </c>
      <c r="K16">
        <f>VLOOKUP(K1,'Eksploitasi Batubara'!$A$3:$D$21,4)</f>
        <v>68804</v>
      </c>
      <c r="L16">
        <f>VLOOKUP(L1,'Eksploitasi Batubara'!$A$3:$D$21,4)</f>
        <v>55230</v>
      </c>
      <c r="M16">
        <f>VLOOKUP(M1,'Eksploitasi Batubara'!$A$3:$D$21,4)</f>
        <v>42449</v>
      </c>
      <c r="N16">
        <f>VLOOKUP(N1,'Eksploitasi Batubara'!$A$3:$D$21,4)</f>
        <v>77786</v>
      </c>
      <c r="O16">
        <f>VLOOKUP(O1,'Eksploitasi Batubara'!$A$3:$D$21,4)</f>
        <v>609875</v>
      </c>
      <c r="P16">
        <f>VLOOKUP(P1,'Eksploitasi Batubara'!$A$3:$D$21,4)</f>
        <v>2442319</v>
      </c>
      <c r="Q16">
        <f>VLOOKUP(Q1,'Eksploitasi Batubara'!$A$3:$D$21,4)</f>
        <v>3007934</v>
      </c>
      <c r="R16">
        <f>VLOOKUP(R1,'Eksploitasi Batubara'!$A$3:$D$21,4)</f>
        <v>3898932</v>
      </c>
      <c r="S16">
        <f>VLOOKUP(S1,'Eksploitasi Batubara'!$A$3:$D$21,4)</f>
        <v>4532308</v>
      </c>
      <c r="T16">
        <f>VLOOKUP(T1,'Eksploitasi Batubara'!$A$3:$D$21,4)</f>
        <v>5468706</v>
      </c>
    </row>
    <row r="17" spans="1:20" x14ac:dyDescent="0.25">
      <c r="A17" t="s">
        <v>204</v>
      </c>
      <c r="B17">
        <f>VLOOKUP(B1,'Eksploitasi Minyak Bumi'!$A$3:$J$23,8)</f>
        <v>517489000</v>
      </c>
      <c r="C17">
        <f>VLOOKUP(C1,'Eksploitasi Minyak Bumi'!$A$3:$J$23,8)</f>
        <v>489306000</v>
      </c>
      <c r="D17">
        <f>VLOOKUP(D1,'Eksploitasi Minyak Bumi'!$A$3:$J$23,8)</f>
        <v>456026000</v>
      </c>
      <c r="E17">
        <f>VLOOKUP(E1,'Eksploitasi Minyak Bumi'!$A$3:$J$23,8)</f>
        <v>419255000</v>
      </c>
      <c r="F17">
        <f>VLOOKUP(F1,'Eksploitasi Minyak Bumi'!$A$3:$J$23,8)</f>
        <v>400554000</v>
      </c>
      <c r="G17">
        <f>VLOOKUP(G1,'Eksploitasi Minyak Bumi'!$A$3:$J$23,8)</f>
        <v>386483000</v>
      </c>
      <c r="H17">
        <f>VLOOKUP(H1,'Eksploitasi Minyak Bumi'!$A$3:$J$23,8)</f>
        <v>367049000</v>
      </c>
      <c r="I17">
        <f>VLOOKUP(I1,'Eksploitasi Minyak Bumi'!$A$3:$J$23,8)</f>
        <v>348348000</v>
      </c>
      <c r="J17">
        <f>VLOOKUP(J1,'Eksploitasi Minyak Bumi'!$A$3:$J$23,8)</f>
        <v>357501000</v>
      </c>
      <c r="K17">
        <f>VLOOKUP(K1,'Eksploitasi Minyak Bumi'!$A$3:$J$23,8)</f>
        <v>346313000</v>
      </c>
      <c r="L17">
        <f>VLOOKUP(L1,'Eksploitasi Minyak Bumi'!$A$3:$J$23,8)</f>
        <v>344888000</v>
      </c>
      <c r="M17">
        <f>VLOOKUP(M1,'Eksploitasi Minyak Bumi'!$A$3:$J$23,8)</f>
        <v>329265000</v>
      </c>
      <c r="N17">
        <f>VLOOKUP(N1,'Eksploitasi Minyak Bumi'!$A$3:$J$23,8)</f>
        <v>314666000</v>
      </c>
      <c r="O17">
        <f>VLOOKUP(O1,'Eksploitasi Minyak Bumi'!$A$3:$J$23,8)</f>
        <v>300830000</v>
      </c>
      <c r="P17">
        <f>VLOOKUP(P1,'Eksploitasi Minyak Bumi'!$A$3:$J$23,8)</f>
        <v>287902000</v>
      </c>
      <c r="Q17">
        <f>VLOOKUP(Q1,'Eksploitasi Minyak Bumi'!$A$3:$J$23,8)</f>
        <v>286814000</v>
      </c>
      <c r="R17">
        <f>VLOOKUP(R1,'Eksploitasi Minyak Bumi'!$A$3:$J$23,8)</f>
        <v>304167000</v>
      </c>
      <c r="S17">
        <f>VLOOKUP(S1,'Eksploitasi Minyak Bumi'!$A$3:$J$23,8)</f>
        <v>292374000</v>
      </c>
      <c r="T17">
        <f>VLOOKUP(T1,'Eksploitasi Minyak Bumi'!$A$3:$J$23,8)</f>
        <v>281826000</v>
      </c>
    </row>
    <row r="18" spans="1:20" x14ac:dyDescent="0.25">
      <c r="A18" t="s">
        <v>202</v>
      </c>
      <c r="B18">
        <f>VLOOKUP(B1,'Eksploitasi Minyak Bumi'!$A$3:$J$23,9)</f>
        <v>223500000</v>
      </c>
      <c r="C18">
        <f>VLOOKUP(C1,'Eksploitasi Minyak Bumi'!$A$3:$J$23,9)</f>
        <v>241612000</v>
      </c>
      <c r="D18">
        <f>VLOOKUP(D1,'Eksploitasi Minyak Bumi'!$A$3:$J$23,9)</f>
        <v>218115000</v>
      </c>
      <c r="E18">
        <f>VLOOKUP(E1,'Eksploitasi Minyak Bumi'!$A$3:$J$23,9)</f>
        <v>189095000</v>
      </c>
      <c r="F18">
        <f>VLOOKUP(F1,'Eksploitasi Minyak Bumi'!$A$3:$J$23,9)</f>
        <v>178869000</v>
      </c>
      <c r="G18">
        <f>VLOOKUP(G1,'Eksploitasi Minyak Bumi'!$A$3:$J$23,9)</f>
        <v>159703000</v>
      </c>
      <c r="H18">
        <f>VLOOKUP(H1,'Eksploitasi Minyak Bumi'!$A$3:$J$23,9)</f>
        <v>134960000</v>
      </c>
      <c r="I18">
        <f>VLOOKUP(I1,'Eksploitasi Minyak Bumi'!$A$3:$J$23,9)</f>
        <v>135267000</v>
      </c>
      <c r="J18">
        <f>VLOOKUP(J1,'Eksploitasi Minyak Bumi'!$A$3:$J$23,9)</f>
        <v>134872000</v>
      </c>
      <c r="K18">
        <f>VLOOKUP(K1,'Eksploitasi Minyak Bumi'!$A$3:$J$23,9)</f>
        <v>132223000</v>
      </c>
      <c r="L18">
        <f>VLOOKUP(L1,'Eksploitasi Minyak Bumi'!$A$3:$J$23,9)</f>
        <v>134473000</v>
      </c>
      <c r="M18">
        <f>VLOOKUP(M1,'Eksploitasi Minyak Bumi'!$A$3:$J$23,9)</f>
        <v>135572000</v>
      </c>
      <c r="N18">
        <f>VLOOKUP(N1,'Eksploitasi Minyak Bumi'!$A$3:$J$23,9)</f>
        <v>106485000</v>
      </c>
      <c r="O18">
        <f>VLOOKUP(O1,'Eksploitasi Minyak Bumi'!$A$3:$J$23,9)</f>
        <v>104791000</v>
      </c>
      <c r="P18">
        <f>VLOOKUP(P1,'Eksploitasi Minyak Bumi'!$A$3:$J$23,9)</f>
        <v>93080000</v>
      </c>
      <c r="Q18">
        <f>VLOOKUP(Q1,'Eksploitasi Minyak Bumi'!$A$3:$J$23,9)</f>
        <v>115017000</v>
      </c>
      <c r="R18">
        <f>VLOOKUP(R1,'Eksploitasi Minyak Bumi'!$A$3:$J$23,9)</f>
        <v>125516000</v>
      </c>
      <c r="S18">
        <f>VLOOKUP(S1,'Eksploitasi Minyak Bumi'!$A$3:$J$23,9)</f>
        <v>102678000</v>
      </c>
      <c r="T18">
        <f>VLOOKUP(T1,'Eksploitasi Minyak Bumi'!$A$3:$J$23,9)</f>
        <v>74449000</v>
      </c>
    </row>
    <row r="19" spans="1:20" x14ac:dyDescent="0.25">
      <c r="A19" t="s">
        <v>203</v>
      </c>
      <c r="B19">
        <f>VLOOKUP(B1,'Eksploitasi Minyak Bumi'!$A$3:$J$23,10)</f>
        <v>78615000</v>
      </c>
      <c r="C19">
        <f>VLOOKUP(C1,'Eksploitasi Minyak Bumi'!$A$3:$J$23,10)</f>
        <v>117168000</v>
      </c>
      <c r="D19">
        <f>VLOOKUP(D1,'Eksploitasi Minyak Bumi'!$A$3:$J$23,10)</f>
        <v>124148000</v>
      </c>
      <c r="E19">
        <f>VLOOKUP(E1,'Eksploitasi Minyak Bumi'!$A$3:$J$23,10)</f>
        <v>137127000</v>
      </c>
      <c r="F19">
        <f>VLOOKUP(F1,'Eksploitasi Minyak Bumi'!$A$3:$J$23,10)</f>
        <v>148490000</v>
      </c>
      <c r="G19">
        <f>VLOOKUP(G1,'Eksploitasi Minyak Bumi'!$A$3:$J$23,10)</f>
        <v>164007000</v>
      </c>
      <c r="H19">
        <f>VLOOKUP(H1,'Eksploitasi Minyak Bumi'!$A$3:$J$23,10)</f>
        <v>116232000</v>
      </c>
      <c r="I19">
        <f>VLOOKUP(I1,'Eksploitasi Minyak Bumi'!$A$3:$J$23,10)</f>
        <v>115812000</v>
      </c>
      <c r="J19">
        <f>VLOOKUP(J1,'Eksploitasi Minyak Bumi'!$A$3:$J$23,10)</f>
        <v>97006000</v>
      </c>
      <c r="K19">
        <f>VLOOKUP(K1,'Eksploitasi Minyak Bumi'!$A$3:$J$23,10)</f>
        <v>120119000</v>
      </c>
      <c r="L19">
        <f>VLOOKUP(L1,'Eksploitasi Minyak Bumi'!$A$3:$J$23,10)</f>
        <v>101093000</v>
      </c>
      <c r="M19">
        <f>VLOOKUP(M1,'Eksploitasi Minyak Bumi'!$A$3:$J$23,10)</f>
        <v>96862000</v>
      </c>
      <c r="N19">
        <f>VLOOKUP(N1,'Eksploitasi Minyak Bumi'!$A$3:$J$23,10)</f>
        <v>95968000</v>
      </c>
      <c r="O19">
        <f>VLOOKUP(O1,'Eksploitasi Minyak Bumi'!$A$3:$J$23,10)</f>
        <v>118334000</v>
      </c>
      <c r="P19">
        <f>VLOOKUP(P1,'Eksploitasi Minyak Bumi'!$A$3:$J$23,10)</f>
        <v>121993000</v>
      </c>
      <c r="Q19">
        <f>VLOOKUP(Q1,'Eksploitasi Minyak Bumi'!$A$3:$J$23,10)</f>
        <v>136666000</v>
      </c>
      <c r="R19">
        <f>VLOOKUP(R1,'Eksploitasi Minyak Bumi'!$A$3:$J$23,10)</f>
        <v>148361000</v>
      </c>
      <c r="S19">
        <f>VLOOKUP(S1,'Eksploitasi Minyak Bumi'!$A$3:$J$23,10)</f>
        <v>141616000</v>
      </c>
      <c r="T19">
        <f>VLOOKUP(T1,'Eksploitasi Minyak Bumi'!$A$3:$J$23,10)</f>
        <v>113055000</v>
      </c>
    </row>
    <row r="20" spans="1:20" x14ac:dyDescent="0.25">
      <c r="A20" t="s">
        <v>205</v>
      </c>
      <c r="B20">
        <f>VLOOKUP(B1,'Eksploitasi Gas Bumi, LPG'!$M$3:$P$21,4)</f>
        <v>2901302</v>
      </c>
      <c r="C20">
        <f>VLOOKUP(C1,'Eksploitasi Gas Bumi, LPG'!$M$3:$P$21,4)</f>
        <v>2806084</v>
      </c>
      <c r="D20">
        <f>VLOOKUP(D1,'Eksploitasi Gas Bumi, LPG'!$M$3:$P$21,4)</f>
        <v>3036355</v>
      </c>
      <c r="E20">
        <f>VLOOKUP(E1,'Eksploitasi Gas Bumi, LPG'!$M$3:$P$21,4)</f>
        <v>3155243</v>
      </c>
      <c r="F20">
        <f>VLOOKUP(F1,'Eksploitasi Gas Bumi, LPG'!$M$3:$P$21,4)</f>
        <v>3003945</v>
      </c>
      <c r="G20">
        <f>VLOOKUP(G1,'Eksploitasi Gas Bumi, LPG'!$M$3:$P$21,4)</f>
        <v>2985341</v>
      </c>
      <c r="H20">
        <f>VLOOKUP(H1,'Eksploitasi Gas Bumi, LPG'!$M$3:$P$21,4)</f>
        <v>2953997</v>
      </c>
      <c r="I20">
        <f>VLOOKUP(I1,'Eksploitasi Gas Bumi, LPG'!$M$3:$P$21,4)</f>
        <v>2805540</v>
      </c>
      <c r="J20">
        <f>VLOOKUP(J1,'Eksploitasi Gas Bumi, LPG'!$M$3:$P$21,4)</f>
        <v>2885328</v>
      </c>
      <c r="K20">
        <f>VLOOKUP(K1,'Eksploitasi Gas Bumi, LPG'!$M$3:$P$21,4)</f>
        <v>3060897</v>
      </c>
      <c r="L20">
        <f>VLOOKUP(L1,'Eksploitasi Gas Bumi, LPG'!$M$3:$P$21,4)</f>
        <v>3407592</v>
      </c>
      <c r="M20">
        <f>VLOOKUP(M1,'Eksploitasi Gas Bumi, LPG'!$M$3:$P$21,4)</f>
        <v>3256379</v>
      </c>
      <c r="N20">
        <f>VLOOKUP(N1,'Eksploitasi Gas Bumi, LPG'!$M$3:$P$21,4)</f>
        <v>3174639</v>
      </c>
      <c r="O20">
        <f>VLOOKUP(O1,'Eksploitasi Gas Bumi, LPG'!$M$3:$P$21,4)</f>
        <v>3120838</v>
      </c>
      <c r="P20">
        <f>VLOOKUP(P1,'Eksploitasi Gas Bumi, LPG'!$M$3:$P$21,4)</f>
        <v>3175791</v>
      </c>
      <c r="Q20">
        <f>VLOOKUP(Q1,'Eksploitasi Gas Bumi, LPG'!$M$3:$P$21,4)</f>
        <v>3116142</v>
      </c>
      <c r="R20">
        <f>VLOOKUP(R1,'Eksploitasi Gas Bumi, LPG'!$M$3:$P$21,4)</f>
        <v>3070239</v>
      </c>
      <c r="S20">
        <f>VLOOKUP(S1,'Eksploitasi Gas Bumi, LPG'!$M$3:$P$21,4)</f>
        <v>2963184</v>
      </c>
      <c r="T20">
        <f>VLOOKUP(T1,'Eksploitasi Gas Bumi, LPG'!$M$3:$P$21,4)</f>
        <v>2996802</v>
      </c>
    </row>
    <row r="21" spans="1:20" x14ac:dyDescent="0.25">
      <c r="A21" t="s">
        <v>202</v>
      </c>
    </row>
    <row r="22" spans="1:20" x14ac:dyDescent="0.25">
      <c r="A22" t="s">
        <v>203</v>
      </c>
    </row>
    <row r="23" spans="1:20" x14ac:dyDescent="0.25">
      <c r="A23" t="s">
        <v>213</v>
      </c>
      <c r="B23">
        <f>VLOOKUP(B1,'Eksploitasi Gas Bumi, LPG'!$A$3:$J$23,7)</f>
        <v>170310000</v>
      </c>
      <c r="C23">
        <f>VLOOKUP(C1,'Eksploitasi Gas Bumi, LPG'!$A$3:$J$23,7)</f>
        <v>168150000</v>
      </c>
      <c r="D23">
        <f>VLOOKUP(D1,'Eksploitasi Gas Bumi, LPG'!$A$3:$J$23,7)</f>
        <v>176590000</v>
      </c>
      <c r="E23">
        <f>VLOOKUP(E1,'Eksploitasi Gas Bumi, LPG'!$A$3:$J$23,7)</f>
        <v>178130000</v>
      </c>
      <c r="F23">
        <f>VLOOKUP(F1,'Eksploitasi Gas Bumi, LPG'!$A$3:$J$23,7)</f>
        <v>188340000</v>
      </c>
      <c r="G23">
        <f>VLOOKUP(G1,'Eksploitasi Gas Bumi, LPG'!$A$3:$J$23,7)</f>
        <v>185800000</v>
      </c>
      <c r="H23">
        <f>VLOOKUP(H1,'Eksploitasi Gas Bumi, LPG'!$A$3:$J$23,7)</f>
        <v>187100000</v>
      </c>
      <c r="I23">
        <f>VLOOKUP(I1,'Eksploitasi Gas Bumi, LPG'!$A$3:$J$23,7)</f>
        <v>165000000</v>
      </c>
      <c r="J23">
        <f>VLOOKUP(J1,'Eksploitasi Gas Bumi, LPG'!$A$3:$J$23,7)</f>
        <v>170100000</v>
      </c>
      <c r="K23">
        <f>VLOOKUP(K1,'Eksploitasi Gas Bumi, LPG'!$A$3:$J$23,7)</f>
        <v>159630000</v>
      </c>
      <c r="L23">
        <f>VLOOKUP(L1,'Eksploitasi Gas Bumi, LPG'!$A$3:$J$23,7)</f>
        <v>157140000</v>
      </c>
      <c r="M23">
        <f>VLOOKUP(M1,'Eksploitasi Gas Bumi, LPG'!$A$3:$J$23,7)</f>
        <v>152890000</v>
      </c>
      <c r="N23">
        <f>VLOOKUP(N1,'Eksploitasi Gas Bumi, LPG'!$A$3:$J$23,7)</f>
        <v>150700000</v>
      </c>
      <c r="O23">
        <f>VLOOKUP(O1,'Eksploitasi Gas Bumi, LPG'!$A$3:$J$23,7)</f>
        <v>150390000</v>
      </c>
      <c r="P23">
        <f>VLOOKUP(P1,'Eksploitasi Gas Bumi, LPG'!$A$3:$J$23,7)</f>
        <v>149300000</v>
      </c>
      <c r="Q23">
        <f>VLOOKUP(Q1,'Eksploitasi Gas Bumi, LPG'!$A$3:$J$23,7)</f>
        <v>151330000</v>
      </c>
      <c r="R23">
        <f>VLOOKUP(R1,'Eksploitasi Gas Bumi, LPG'!$A$3:$J$23,7)</f>
        <v>144060000</v>
      </c>
      <c r="S23">
        <f>VLOOKUP(S1,'Eksploitasi Gas Bumi, LPG'!$A$3:$J$23,7)</f>
        <v>142720000</v>
      </c>
      <c r="T23">
        <f>VLOOKUP(T1,'Eksploitasi Gas Bumi, LPG'!$A$3:$J$23,7)</f>
        <v>135550000</v>
      </c>
    </row>
    <row r="24" spans="1:20" x14ac:dyDescent="0.25">
      <c r="A24" t="s">
        <v>214</v>
      </c>
      <c r="B24">
        <f>B4-B25</f>
        <v>699167610</v>
      </c>
      <c r="C24">
        <f t="shared" ref="C24:T24" si="0">C4-C25</f>
        <v>739906219</v>
      </c>
      <c r="D24">
        <f t="shared" si="0"/>
        <v>767002892</v>
      </c>
      <c r="E24">
        <f t="shared" si="0"/>
        <v>822012046</v>
      </c>
      <c r="F24">
        <f t="shared" si="0"/>
        <v>830369636</v>
      </c>
      <c r="G24">
        <f t="shared" si="0"/>
        <v>852716650</v>
      </c>
      <c r="H24">
        <f t="shared" si="0"/>
        <v>861367174</v>
      </c>
      <c r="I24">
        <f t="shared" si="0"/>
        <v>907610397</v>
      </c>
      <c r="J24">
        <f t="shared" si="0"/>
        <v>938857172</v>
      </c>
      <c r="K24">
        <f t="shared" si="0"/>
        <v>964983618</v>
      </c>
      <c r="L24">
        <f t="shared" si="0"/>
        <v>1093535109</v>
      </c>
      <c r="M24">
        <f t="shared" si="0"/>
        <v>1150989297</v>
      </c>
      <c r="N24">
        <f t="shared" si="0"/>
        <v>1174631215</v>
      </c>
      <c r="O24">
        <f t="shared" si="0"/>
        <v>1188072123</v>
      </c>
      <c r="P24">
        <f t="shared" si="0"/>
        <v>1312541520</v>
      </c>
      <c r="Q24">
        <f t="shared" si="0"/>
        <v>1244735072.7176569</v>
      </c>
      <c r="R24">
        <f t="shared" si="0"/>
        <v>1212672836.976872</v>
      </c>
      <c r="S24">
        <f t="shared" si="0"/>
        <v>1505469935.6630902</v>
      </c>
      <c r="T24">
        <f t="shared" si="0"/>
        <v>1637863420.0291038</v>
      </c>
    </row>
    <row r="25" spans="1:20" x14ac:dyDescent="0.25">
      <c r="A25" t="s">
        <v>215</v>
      </c>
      <c r="B25">
        <f>VLOOKUP(B1,Household!$B$19:$K$37,10)</f>
        <v>296574000</v>
      </c>
      <c r="C25">
        <f>VLOOKUP(C1,Household!$B$19:$K$37,10)</f>
        <v>301346000</v>
      </c>
      <c r="D25">
        <f>VLOOKUP(D1,Household!$B$19:$K$37,10)</f>
        <v>303033000</v>
      </c>
      <c r="E25">
        <f>VLOOKUP(E1,Household!$B$19:$K$37,10)</f>
        <v>309046000</v>
      </c>
      <c r="F25">
        <f>VLOOKUP(F1,Household!$B$19:$K$37,10)</f>
        <v>314114000</v>
      </c>
      <c r="G25">
        <f>VLOOKUP(G1,Household!$B$19:$K$37,10)</f>
        <v>313771000</v>
      </c>
      <c r="H25">
        <f>VLOOKUP(H1,Household!$B$19:$K$37,10)</f>
        <v>312716000</v>
      </c>
      <c r="I25">
        <f>VLOOKUP(I1,Household!$B$19:$K$37,10)</f>
        <v>319332000</v>
      </c>
      <c r="J25">
        <f>VLOOKUP(J1,Household!$B$19:$K$37,10)</f>
        <v>316802000</v>
      </c>
      <c r="K25">
        <f>VLOOKUP(K1,Household!$B$19:$K$37,10)</f>
        <v>314095000</v>
      </c>
      <c r="L25">
        <f>VLOOKUP(L1,Household!$B$19:$K$37,10)</f>
        <v>310548000</v>
      </c>
      <c r="M25">
        <f>VLOOKUP(M1,Household!$B$19:$K$37,10)</f>
        <v>323355000</v>
      </c>
      <c r="N25">
        <f>VLOOKUP(N1,Household!$B$19:$K$37,10)</f>
        <v>349083000</v>
      </c>
      <c r="O25">
        <f>VLOOKUP(O1,Household!$B$19:$K$37,10)</f>
        <v>360015000</v>
      </c>
      <c r="P25">
        <f>VLOOKUP(P1,Household!$B$19:$K$37,10)</f>
        <v>369893000</v>
      </c>
      <c r="Q25">
        <f>VLOOKUP(Q1,Household!$B$19:$K$37,10)</f>
        <v>373786000</v>
      </c>
      <c r="R25">
        <f>VLOOKUP(R1,Household!$B$19:$K$37,10)</f>
        <v>378047000</v>
      </c>
      <c r="S25">
        <f>VLOOKUP(S1,Household!$B$19:$K$37,10)</f>
        <v>149026000</v>
      </c>
      <c r="T25">
        <f>VLOOKUP(T1,Household!$B$19:$K$37,10)</f>
        <v>151215000</v>
      </c>
    </row>
    <row r="26" spans="1:20" x14ac:dyDescent="0.25">
      <c r="A26" t="s">
        <v>217</v>
      </c>
      <c r="B26">
        <f>B24/B2</f>
        <v>503.08156047990394</v>
      </c>
      <c r="C26">
        <f t="shared" ref="C26:T26" si="1">C24/C2</f>
        <v>439.30106594477581</v>
      </c>
      <c r="D26">
        <f t="shared" si="1"/>
        <v>411.6424121467436</v>
      </c>
      <c r="E26">
        <f t="shared" si="1"/>
        <v>408.21493502475522</v>
      </c>
      <c r="F26">
        <f t="shared" si="1"/>
        <v>361.68662767242569</v>
      </c>
      <c r="G26">
        <f t="shared" si="1"/>
        <v>307.36490617335062</v>
      </c>
      <c r="H26">
        <f t="shared" si="1"/>
        <v>257.93455183855593</v>
      </c>
      <c r="I26">
        <f t="shared" si="1"/>
        <v>229.72283761049272</v>
      </c>
      <c r="J26">
        <f t="shared" si="1"/>
        <v>189.61614540919663</v>
      </c>
      <c r="K26">
        <f t="shared" si="1"/>
        <v>172.1278286121406</v>
      </c>
      <c r="L26">
        <f t="shared" si="1"/>
        <v>159.31146861519147</v>
      </c>
      <c r="M26">
        <f t="shared" si="1"/>
        <v>146.96495983133221</v>
      </c>
      <c r="N26">
        <f t="shared" si="1"/>
        <v>136.33606899679933</v>
      </c>
      <c r="O26">
        <f t="shared" si="1"/>
        <v>124.45583971479972</v>
      </c>
      <c r="P26">
        <f t="shared" si="1"/>
        <v>124.17957927870268</v>
      </c>
      <c r="Q26">
        <f t="shared" si="1"/>
        <v>107.99055282522697</v>
      </c>
      <c r="R26">
        <f t="shared" si="1"/>
        <v>97.742800584331746</v>
      </c>
      <c r="S26">
        <f t="shared" si="1"/>
        <v>110.8004957060061</v>
      </c>
      <c r="T26">
        <f t="shared" si="1"/>
        <v>110.38781502858654</v>
      </c>
    </row>
    <row r="27" spans="1:20" x14ac:dyDescent="0.25">
      <c r="A27" t="s">
        <v>218</v>
      </c>
      <c r="B27">
        <f>VLOOKUP(B1,Household!$B$19:$L$37,11)</f>
        <v>1.4407776800765633</v>
      </c>
      <c r="C27">
        <f>VLOOKUP(C1,Household!$B$19:$L$37,11)</f>
        <v>1.4442862825729581</v>
      </c>
      <c r="D27">
        <f>VLOOKUP(D1,Household!$B$19:$L$37,11)</f>
        <v>1.4293807163106182</v>
      </c>
      <c r="E27">
        <f>VLOOKUP(E1,Household!$B$19:$L$37,11)</f>
        <v>1.435580371244356</v>
      </c>
      <c r="F27">
        <f>VLOOKUP(F1,Household!$B$19:$L$37,11)</f>
        <v>1.4418555546375096</v>
      </c>
      <c r="G27">
        <f>VLOOKUP(G1,Household!$B$19:$L$37,11)</f>
        <v>1.4336018348875355</v>
      </c>
      <c r="H27">
        <f>VLOOKUP(H1,Household!$B$19:$L$37,11)</f>
        <v>1.4074134082235183</v>
      </c>
      <c r="I27">
        <f>VLOOKUP(I1,Household!$B$19:$L$37,11)</f>
        <v>1.4152152524795916</v>
      </c>
      <c r="J27">
        <f>VLOOKUP(J1,Household!$B$19:$L$37,11)</f>
        <v>1.3863024728364322</v>
      </c>
      <c r="K27">
        <f>VLOOKUP(K1,Household!$B$19:$L$37,11)</f>
        <v>1.3379579735641536</v>
      </c>
      <c r="L27">
        <f>VLOOKUP(L1,Household!$B$19:$L$37,11)</f>
        <v>1.3067947029342579</v>
      </c>
      <c r="M27">
        <f>VLOOKUP(M1,Household!$B$19:$L$37,11)</f>
        <v>1.3556781640037061</v>
      </c>
      <c r="N27">
        <f>VLOOKUP(N1,Household!$B$19:$L$37,11)</f>
        <v>1.4223612101456657</v>
      </c>
      <c r="O27">
        <f>VLOOKUP(O1,Household!$B$19:$L$37,11)</f>
        <v>1.446900947680634</v>
      </c>
      <c r="P27">
        <f>VLOOKUP(P1,Household!$B$19:$L$37,11)</f>
        <v>1.4668689151944163</v>
      </c>
      <c r="Q27">
        <f>VLOOKUP(Q1,Household!$B$19:$L$37,11)</f>
        <v>1.46317651940406</v>
      </c>
      <c r="R27">
        <f>VLOOKUP(R1,Household!$B$19:$L$37,11)</f>
        <v>1.4613053477899538</v>
      </c>
      <c r="S27">
        <f>VLOOKUP(S1,Household!$B$19:$L$37,11)</f>
        <v>0.56903826401059987</v>
      </c>
      <c r="T27">
        <f>VLOOKUP(T1,Household!$B$19:$L$37,11)</f>
        <v>0.57059034394279573</v>
      </c>
    </row>
    <row r="28" spans="1:20" x14ac:dyDescent="0.25">
      <c r="A28" t="s">
        <v>223</v>
      </c>
      <c r="B28">
        <f>VLOOKUP(B1,'Energi Primer Nasional'!$F$24:$G$43,2)</f>
        <v>955101.35158651904</v>
      </c>
      <c r="C28">
        <f>VLOOKUP(C1,'Energi Primer Nasional'!$F$24:$G$43,2)</f>
        <v>998224.41556934861</v>
      </c>
      <c r="D28">
        <f>VLOOKUP(D1,'Energi Primer Nasional'!$F$24:$G$43,2)</f>
        <v>1095320.5754394107</v>
      </c>
      <c r="E28">
        <f>VLOOKUP(E1,'Energi Primer Nasional'!$F$24:$G$43,2)</f>
        <v>1184187.3310516851</v>
      </c>
      <c r="F28">
        <f>VLOOKUP(F1,'Energi Primer Nasional'!$F$24:$G$43,2)</f>
        <v>1087962.0395614596</v>
      </c>
      <c r="G28">
        <f>VLOOKUP(G1,'Energi Primer Nasional'!$F$24:$G$43,2)</f>
        <v>1109051.429897326</v>
      </c>
      <c r="H28">
        <f>VLOOKUP(H1,'Energi Primer Nasional'!$F$24:$G$43,2)</f>
        <v>1140433.8186669762</v>
      </c>
      <c r="I28">
        <f>VLOOKUP(I1,'Energi Primer Nasional'!$F$24:$G$43,2)</f>
        <v>1065164.0814432392</v>
      </c>
      <c r="J28">
        <f>VLOOKUP(J1,'Energi Primer Nasional'!$F$24:$G$43,2)</f>
        <v>1369276.4429491272</v>
      </c>
      <c r="K28">
        <f>VLOOKUP(K1,'Energi Primer Nasional'!$F$24:$G$43,2)</f>
        <v>1456205.4063460759</v>
      </c>
      <c r="L28">
        <f>VLOOKUP(L1,'Energi Primer Nasional'!$F$24:$G$43,2)</f>
        <v>1565880.7645455075</v>
      </c>
      <c r="M28">
        <f>VLOOKUP(M1,'Energi Primer Nasional'!$F$24:$G$43,2)</f>
        <v>1518117.8258599688</v>
      </c>
      <c r="N28">
        <f>VLOOKUP(N1,'Energi Primer Nasional'!$F$24:$G$43,2)</f>
        <v>1505054.8987760313</v>
      </c>
      <c r="O28">
        <f>VLOOKUP(O1,'Energi Primer Nasional'!$F$24:$G$43,2)</f>
        <v>1348105.7891989097</v>
      </c>
      <c r="P28">
        <f>VLOOKUP(P1,'Energi Primer Nasional'!$F$24:$G$43,2)</f>
        <v>1574194.3906259066</v>
      </c>
      <c r="Q28">
        <f>VLOOKUP(Q1,'Energi Primer Nasional'!$F$24:$G$43,2)</f>
        <v>1597921.2251290679</v>
      </c>
      <c r="R28">
        <f>VLOOKUP(R1,'Energi Primer Nasional'!$F$24:$G$43,2)</f>
        <v>1607806.4678925693</v>
      </c>
      <c r="S28">
        <f>VLOOKUP(S1,'Energi Primer Nasional'!$F$24:$G$43,2)</f>
        <v>1596045.1708335751</v>
      </c>
      <c r="T28">
        <f>VLOOKUP(T1,'Energi Primer Nasional'!$F$24:$G$43,2)</f>
        <v>1672433.5228261501</v>
      </c>
    </row>
    <row r="29" spans="1:20" x14ac:dyDescent="0.25">
      <c r="A29" t="s">
        <v>225</v>
      </c>
      <c r="B29">
        <f>VLOOKUP(B1,'Energi Primer Nasional'!$K$25:$L$43,2)</f>
        <v>303899141</v>
      </c>
      <c r="C29">
        <f>VLOOKUP(C1,'Energi Primer Nasional'!$K$25:$L$43,2)</f>
        <v>308311581</v>
      </c>
      <c r="D29">
        <f>VLOOKUP(D1,'Energi Primer Nasional'!$K$25:$L$43,2)</f>
        <v>305516297</v>
      </c>
      <c r="E29">
        <f>VLOOKUP(E1,'Energi Primer Nasional'!$K$25:$L$43,2)</f>
        <v>305318112</v>
      </c>
      <c r="F29">
        <f>VLOOKUP(F1,'Energi Primer Nasional'!$K$25:$L$43,2)</f>
        <v>307268880</v>
      </c>
      <c r="G29">
        <f>VLOOKUP(G1,'Energi Primer Nasional'!$K$25:$L$43,2)</f>
        <v>307988196</v>
      </c>
      <c r="H29">
        <f>VLOOKUP(H1,'Energi Primer Nasional'!$K$25:$L$43,2)</f>
        <v>311775482</v>
      </c>
      <c r="I29">
        <f>VLOOKUP(I1,'Energi Primer Nasional'!$K$25:$L$43,2)</f>
        <v>315108704</v>
      </c>
      <c r="J29">
        <f>VLOOKUP(J1,'Energi Primer Nasional'!$K$25:$L$43,2)</f>
        <v>320525851</v>
      </c>
      <c r="K29">
        <f>VLOOKUP(K1,'Energi Primer Nasional'!$K$25:$L$43,2)</f>
        <v>323721303</v>
      </c>
      <c r="L29">
        <f>VLOOKUP(L1,'Energi Primer Nasional'!$K$25:$L$43,2)</f>
        <v>334335363</v>
      </c>
      <c r="M29">
        <f>VLOOKUP(M1,'Energi Primer Nasional'!$K$25:$L$43,2)</f>
        <v>331857894</v>
      </c>
      <c r="N29">
        <f>VLOOKUP(N1,'Energi Primer Nasional'!$K$25:$L$43,2)</f>
        <v>352534164</v>
      </c>
      <c r="O29">
        <f>VLOOKUP(O1,'Energi Primer Nasional'!$K$25:$L$43,2)</f>
        <v>362170189</v>
      </c>
      <c r="P29">
        <f>VLOOKUP(P1,'Energi Primer Nasional'!$K$25:$L$43,2)</f>
        <v>368459329</v>
      </c>
      <c r="Q29">
        <f>VLOOKUP(Q1,'Energi Primer Nasional'!$K$25:$L$43,2)</f>
        <v>370645047.71765685</v>
      </c>
      <c r="R29">
        <f>VLOOKUP(R1,'Energi Primer Nasional'!$K$25:$L$43,2)</f>
        <v>399032953.97687203</v>
      </c>
      <c r="S29">
        <f>VLOOKUP(S1,'Energi Primer Nasional'!$K$25:$L$43,2)</f>
        <v>404298920.66309011</v>
      </c>
      <c r="T29">
        <f>VLOOKUP(T1,'Energi Primer Nasional'!$K$25:$L$43,2)</f>
        <v>448406840.02910364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82" t="s">
        <v>18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3" ht="15" customHeight="1" x14ac:dyDescent="0.25">
      <c r="A3" s="83" t="s">
        <v>0</v>
      </c>
      <c r="B3" s="83" t="s">
        <v>1</v>
      </c>
      <c r="C3" s="83" t="s">
        <v>2</v>
      </c>
      <c r="D3" s="83" t="s">
        <v>3</v>
      </c>
      <c r="E3" s="83" t="s">
        <v>4</v>
      </c>
      <c r="F3" s="83" t="s">
        <v>5</v>
      </c>
      <c r="G3" s="83"/>
      <c r="H3" s="83"/>
      <c r="I3" s="83"/>
      <c r="J3" s="83"/>
      <c r="K3" s="98" t="s">
        <v>90</v>
      </c>
      <c r="L3" s="92" t="s">
        <v>11</v>
      </c>
      <c r="M3" s="83" t="s">
        <v>12</v>
      </c>
    </row>
    <row r="4" spans="1:13" x14ac:dyDescent="0.25">
      <c r="A4" s="83"/>
      <c r="B4" s="83"/>
      <c r="C4" s="83"/>
      <c r="D4" s="83"/>
      <c r="E4" s="83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98"/>
      <c r="L4" s="93"/>
      <c r="M4" s="83"/>
    </row>
    <row r="5" spans="1:13" x14ac:dyDescent="0.25">
      <c r="A5" s="83"/>
      <c r="B5" s="82" t="s">
        <v>13</v>
      </c>
      <c r="C5" s="82"/>
      <c r="D5" s="82"/>
      <c r="E5" s="3" t="s">
        <v>14</v>
      </c>
      <c r="F5" s="87" t="s">
        <v>15</v>
      </c>
      <c r="G5" s="88"/>
      <c r="H5" s="88"/>
      <c r="I5" s="88"/>
      <c r="J5" s="88"/>
      <c r="K5" s="102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82" t="s">
        <v>18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3"/>
      <c r="AC26" t="s">
        <v>101</v>
      </c>
    </row>
    <row r="27" spans="1:38" ht="45" x14ac:dyDescent="0.25">
      <c r="A27" s="83" t="s">
        <v>0</v>
      </c>
      <c r="B27" s="83" t="s">
        <v>1</v>
      </c>
      <c r="C27" s="83" t="s">
        <v>2</v>
      </c>
      <c r="D27" s="83" t="s">
        <v>3</v>
      </c>
      <c r="E27" s="83" t="s">
        <v>4</v>
      </c>
      <c r="F27" s="83" t="s">
        <v>5</v>
      </c>
      <c r="G27" s="83"/>
      <c r="H27" s="83"/>
      <c r="I27" s="83"/>
      <c r="J27" s="83"/>
      <c r="K27" s="103" t="s">
        <v>91</v>
      </c>
      <c r="L27" s="92" t="s">
        <v>11</v>
      </c>
      <c r="M27" s="92" t="s">
        <v>12</v>
      </c>
      <c r="N27" s="92" t="s">
        <v>20</v>
      </c>
      <c r="P27" s="98" t="s">
        <v>2</v>
      </c>
      <c r="Q27" s="98" t="s">
        <v>92</v>
      </c>
      <c r="R27" s="98" t="s">
        <v>93</v>
      </c>
      <c r="S27" s="98" t="s">
        <v>12</v>
      </c>
      <c r="T27" s="98" t="s">
        <v>94</v>
      </c>
      <c r="U27" s="83" t="s">
        <v>20</v>
      </c>
      <c r="V27" s="96" t="s">
        <v>2</v>
      </c>
      <c r="W27" s="96" t="s">
        <v>92</v>
      </c>
      <c r="X27" s="96" t="s">
        <v>93</v>
      </c>
      <c r="Y27" s="96" t="s">
        <v>12</v>
      </c>
      <c r="Z27" s="96" t="s">
        <v>94</v>
      </c>
      <c r="AA27" s="94" t="s">
        <v>20</v>
      </c>
      <c r="AC27" s="98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83"/>
      <c r="B28" s="83"/>
      <c r="C28" s="83"/>
      <c r="D28" s="83"/>
      <c r="E28" s="83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04"/>
      <c r="L28" s="93"/>
      <c r="M28" s="93"/>
      <c r="N28" s="93"/>
      <c r="P28" s="98"/>
      <c r="Q28" s="98"/>
      <c r="R28" s="98"/>
      <c r="S28" s="98"/>
      <c r="T28" s="98"/>
      <c r="U28" s="83"/>
      <c r="V28" s="96"/>
      <c r="W28" s="96"/>
      <c r="X28" s="96"/>
      <c r="Y28" s="96"/>
      <c r="Z28" s="96"/>
      <c r="AA28" s="94"/>
      <c r="AC28" s="98"/>
      <c r="AE28" s="20"/>
      <c r="AG28" s="20"/>
      <c r="AI28" s="20"/>
      <c r="AK28" s="20"/>
      <c r="AL28" s="2"/>
    </row>
    <row r="29" spans="1:38" x14ac:dyDescent="0.25">
      <c r="A29" s="83"/>
      <c r="B29" s="98" t="s">
        <v>19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P29" s="83" t="s">
        <v>19</v>
      </c>
      <c r="Q29" s="83"/>
      <c r="R29" s="83"/>
      <c r="S29" s="83"/>
      <c r="T29" s="83"/>
      <c r="U29" s="83"/>
      <c r="V29" s="94" t="s">
        <v>95</v>
      </c>
      <c r="W29" s="94"/>
      <c r="X29" s="94"/>
      <c r="Y29" s="94"/>
      <c r="Z29" s="94"/>
      <c r="AA29" s="94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82" t="s">
        <v>23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1:13" x14ac:dyDescent="0.25">
      <c r="A52" s="83" t="s">
        <v>0</v>
      </c>
      <c r="B52" s="83" t="s">
        <v>2</v>
      </c>
      <c r="C52" s="83" t="s">
        <v>3</v>
      </c>
      <c r="D52" s="83" t="s">
        <v>4</v>
      </c>
      <c r="E52" s="99" t="s">
        <v>5</v>
      </c>
      <c r="F52" s="100"/>
      <c r="G52" s="100"/>
      <c r="H52" s="101"/>
      <c r="I52" s="83" t="s">
        <v>11</v>
      </c>
      <c r="J52" s="83" t="s">
        <v>12</v>
      </c>
      <c r="K52" s="3"/>
      <c r="L52" s="3"/>
      <c r="M52" s="3"/>
    </row>
    <row r="53" spans="1:13" x14ac:dyDescent="0.25">
      <c r="A53" s="83"/>
      <c r="B53" s="83"/>
      <c r="C53" s="83"/>
      <c r="D53" s="83"/>
      <c r="E53" s="2" t="s">
        <v>6</v>
      </c>
      <c r="F53" s="2" t="s">
        <v>22</v>
      </c>
      <c r="G53" s="2" t="s">
        <v>8</v>
      </c>
      <c r="H53" s="2" t="s">
        <v>9</v>
      </c>
      <c r="I53" s="83"/>
      <c r="J53" s="83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C27:AC28"/>
    <mergeCell ref="X27:X28"/>
    <mergeCell ref="Y27:Y28"/>
    <mergeCell ref="Z27:Z28"/>
    <mergeCell ref="AA27:AA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A51:M51"/>
    <mergeCell ref="A52:A53"/>
    <mergeCell ref="B52:B53"/>
    <mergeCell ref="J52:J53"/>
    <mergeCell ref="I52:I53"/>
    <mergeCell ref="D52:D53"/>
    <mergeCell ref="A2:L2"/>
    <mergeCell ref="F3:J3"/>
    <mergeCell ref="B3:B4"/>
    <mergeCell ref="C3:C4"/>
    <mergeCell ref="D3:D4"/>
    <mergeCell ref="E3:E4"/>
    <mergeCell ref="L3:L4"/>
    <mergeCell ref="K3:K4"/>
    <mergeCell ref="A3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F28" sqref="F28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82" t="s">
        <v>27</v>
      </c>
      <c r="C2" s="82"/>
      <c r="D2" s="82"/>
      <c r="E2" s="82"/>
      <c r="F2" s="82"/>
      <c r="G2" s="82"/>
      <c r="H2" s="82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82" t="s">
        <v>96</v>
      </c>
      <c r="C17" s="82"/>
      <c r="D17" s="82"/>
      <c r="E17" s="82"/>
      <c r="F17" s="82"/>
      <c r="G17" s="82"/>
      <c r="H17" s="82"/>
      <c r="I17" s="82"/>
      <c r="L17" t="s">
        <v>154</v>
      </c>
      <c r="N17" s="98" t="s">
        <v>2</v>
      </c>
      <c r="O17" s="98" t="s">
        <v>92</v>
      </c>
      <c r="P17" s="98" t="s">
        <v>93</v>
      </c>
      <c r="Q17" s="98" t="s">
        <v>12</v>
      </c>
      <c r="R17" s="98" t="s">
        <v>94</v>
      </c>
      <c r="S17" s="83" t="s">
        <v>20</v>
      </c>
      <c r="U17" s="98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61" t="s">
        <v>0</v>
      </c>
      <c r="C18" s="61" t="s">
        <v>1</v>
      </c>
      <c r="D18" s="61" t="s">
        <v>4</v>
      </c>
      <c r="E18" s="61" t="s">
        <v>6</v>
      </c>
      <c r="F18" s="61" t="s">
        <v>11</v>
      </c>
      <c r="G18" s="61" t="s">
        <v>24</v>
      </c>
      <c r="H18" s="61" t="s">
        <v>12</v>
      </c>
      <c r="I18" s="61" t="s">
        <v>20</v>
      </c>
      <c r="K18" s="3" t="s">
        <v>216</v>
      </c>
      <c r="N18" s="98"/>
      <c r="O18" s="98"/>
      <c r="P18" s="98"/>
      <c r="Q18" s="98"/>
      <c r="R18" s="98"/>
      <c r="S18" s="83"/>
      <c r="U18" s="98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9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7" si="5">J20*1000</f>
        <v>301346000</v>
      </c>
      <c r="L20" s="39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9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9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9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9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9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9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9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9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8">
        <v>0</v>
      </c>
      <c r="H29" s="4">
        <v>36673</v>
      </c>
      <c r="I29" s="4">
        <v>310548</v>
      </c>
      <c r="J29" s="4">
        <f t="shared" si="4"/>
        <v>310548</v>
      </c>
      <c r="K29" s="4">
        <f t="shared" si="5"/>
        <v>310548000</v>
      </c>
      <c r="L29" s="39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8">
        <v>0</v>
      </c>
      <c r="H30" s="4">
        <v>39914</v>
      </c>
      <c r="I30" s="4">
        <v>323356</v>
      </c>
      <c r="J30" s="4">
        <f t="shared" si="4"/>
        <v>323355</v>
      </c>
      <c r="K30" s="4">
        <f t="shared" si="5"/>
        <v>323355000</v>
      </c>
      <c r="L30" s="39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3">
        <v>2012</v>
      </c>
      <c r="C31" s="4">
        <v>256594</v>
      </c>
      <c r="D31" s="3">
        <v>134</v>
      </c>
      <c r="E31" s="4">
        <v>7015</v>
      </c>
      <c r="F31" s="4">
        <v>41123</v>
      </c>
      <c r="G31" s="18">
        <v>0</v>
      </c>
      <c r="H31" s="4">
        <v>44217</v>
      </c>
      <c r="I31" s="4">
        <v>349084</v>
      </c>
      <c r="J31" s="4">
        <f t="shared" si="4"/>
        <v>349083</v>
      </c>
      <c r="K31" s="4">
        <f t="shared" si="5"/>
        <v>349083000</v>
      </c>
      <c r="L31" s="39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3">
        <v>2013</v>
      </c>
      <c r="C32" s="4">
        <v>260328</v>
      </c>
      <c r="D32" s="3">
        <v>122</v>
      </c>
      <c r="E32" s="4">
        <v>6396</v>
      </c>
      <c r="F32" s="4">
        <v>45839</v>
      </c>
      <c r="G32" s="18">
        <v>0</v>
      </c>
      <c r="H32" s="4">
        <v>47330</v>
      </c>
      <c r="I32" s="4">
        <v>360016</v>
      </c>
      <c r="J32" s="4">
        <f t="shared" si="4"/>
        <v>360015</v>
      </c>
      <c r="K32" s="4">
        <f t="shared" si="5"/>
        <v>360015000</v>
      </c>
      <c r="L32" s="39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8">
        <v>0</v>
      </c>
      <c r="H33" s="18">
        <v>51545</v>
      </c>
      <c r="I33" s="4">
        <v>369893</v>
      </c>
      <c r="J33" s="4">
        <f t="shared" si="4"/>
        <v>369893</v>
      </c>
      <c r="K33" s="4">
        <f t="shared" si="5"/>
        <v>369893000</v>
      </c>
      <c r="L33" s="39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3">
        <v>2015</v>
      </c>
      <c r="C34" s="4">
        <v>263275</v>
      </c>
      <c r="D34" s="3">
        <v>116</v>
      </c>
      <c r="E34" s="4">
        <v>3903</v>
      </c>
      <c r="F34" s="4">
        <v>52130</v>
      </c>
      <c r="G34" s="18">
        <v>0</v>
      </c>
      <c r="H34" s="18">
        <v>54362</v>
      </c>
      <c r="I34" s="4">
        <v>373787</v>
      </c>
      <c r="J34" s="4">
        <f t="shared" si="4"/>
        <v>373786</v>
      </c>
      <c r="K34" s="4">
        <f t="shared" si="5"/>
        <v>373786000</v>
      </c>
      <c r="L34" s="39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3">
        <v>2016</v>
      </c>
      <c r="C35" s="4">
        <v>263215</v>
      </c>
      <c r="D35" s="3">
        <v>137</v>
      </c>
      <c r="E35" s="4">
        <v>2995</v>
      </c>
      <c r="F35" s="4">
        <v>54302</v>
      </c>
      <c r="G35" s="18">
        <v>0</v>
      </c>
      <c r="H35" s="18">
        <v>57398</v>
      </c>
      <c r="I35" s="4">
        <v>378046</v>
      </c>
      <c r="J35" s="4">
        <f t="shared" si="4"/>
        <v>378047</v>
      </c>
      <c r="K35" s="4">
        <f t="shared" si="5"/>
        <v>378047000</v>
      </c>
      <c r="L35" s="39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4">
        <f>SUM(C36:H36)</f>
        <v>149026</v>
      </c>
      <c r="K36" s="4">
        <f t="shared" si="5"/>
        <v>149026000</v>
      </c>
      <c r="L36" s="39">
        <f>J36*1000/Population!L20</f>
        <v>0.56903826401059987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3">
        <v>2018</v>
      </c>
      <c r="C37" s="62">
        <v>23020</v>
      </c>
      <c r="D37" s="36">
        <v>203</v>
      </c>
      <c r="E37" s="62">
        <v>3043</v>
      </c>
      <c r="F37" s="62">
        <v>61819</v>
      </c>
      <c r="G37" s="36">
        <v>167</v>
      </c>
      <c r="H37" s="62">
        <v>62963</v>
      </c>
      <c r="I37" s="62">
        <v>151214</v>
      </c>
      <c r="J37" s="4">
        <f t="shared" si="4"/>
        <v>151215</v>
      </c>
      <c r="K37" s="4">
        <f t="shared" si="5"/>
        <v>151215000</v>
      </c>
      <c r="L37" s="39">
        <f>J37*1000/Population!L21</f>
        <v>0.57059034394279573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82" t="s">
        <v>28</v>
      </c>
      <c r="C39" s="82"/>
      <c r="D39" s="82"/>
      <c r="E39" s="82"/>
      <c r="F39" s="82"/>
      <c r="G39" s="82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B1" workbookViewId="0">
      <selection activeCell="Q4" sqref="Q4:Q20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80" t="s">
        <v>19</v>
      </c>
      <c r="D2" s="80"/>
      <c r="E2" s="80"/>
      <c r="F2" s="80"/>
      <c r="G2" s="80"/>
      <c r="H2" s="80"/>
      <c r="I2" s="80"/>
      <c r="J2" s="80"/>
      <c r="K2" s="80"/>
      <c r="M2" s="98" t="s">
        <v>2</v>
      </c>
      <c r="N2" s="98" t="s">
        <v>92</v>
      </c>
      <c r="O2" s="98" t="s">
        <v>93</v>
      </c>
      <c r="P2" s="98" t="s">
        <v>12</v>
      </c>
      <c r="Q2" s="98" t="s">
        <v>94</v>
      </c>
      <c r="R2" s="83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98"/>
      <c r="N3" s="98"/>
      <c r="O3" s="98"/>
      <c r="P3" s="98"/>
      <c r="Q3" s="98"/>
      <c r="R3" s="83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83" t="s">
        <v>40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3:19" x14ac:dyDescent="0.25">
      <c r="C3" s="83" t="s">
        <v>0</v>
      </c>
      <c r="D3" s="83" t="s">
        <v>4</v>
      </c>
      <c r="E3" s="83" t="s">
        <v>5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 t="s">
        <v>12</v>
      </c>
    </row>
    <row r="4" spans="3:19" x14ac:dyDescent="0.25">
      <c r="C4" s="83"/>
      <c r="D4" s="83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83"/>
    </row>
    <row r="5" spans="3:19" x14ac:dyDescent="0.25">
      <c r="C5" s="83"/>
      <c r="D5" s="2" t="s">
        <v>14</v>
      </c>
      <c r="E5" s="83" t="s">
        <v>15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82" t="s">
        <v>41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V18" s="98" t="s">
        <v>2</v>
      </c>
      <c r="W18" s="98" t="s">
        <v>92</v>
      </c>
      <c r="X18" s="98" t="s">
        <v>93</v>
      </c>
      <c r="Y18" s="98" t="s">
        <v>12</v>
      </c>
      <c r="Z18" s="98" t="s">
        <v>94</v>
      </c>
      <c r="AA18" s="83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83" t="s">
        <v>0</v>
      </c>
      <c r="D19" s="83" t="s">
        <v>4</v>
      </c>
      <c r="E19" s="83" t="s">
        <v>5</v>
      </c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 t="s">
        <v>12</v>
      </c>
      <c r="T19" s="83" t="s">
        <v>20</v>
      </c>
      <c r="V19" s="98"/>
      <c r="W19" s="98"/>
      <c r="X19" s="98"/>
      <c r="Y19" s="98"/>
      <c r="Z19" s="98"/>
      <c r="AA19" s="83"/>
      <c r="AC19" s="20"/>
      <c r="AE19" s="20"/>
      <c r="AG19" s="20"/>
      <c r="AI19" s="20"/>
      <c r="AK19" s="20"/>
      <c r="AL19" s="2"/>
    </row>
    <row r="20" spans="3:38" x14ac:dyDescent="0.25">
      <c r="C20" s="83"/>
      <c r="D20" s="83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83"/>
      <c r="T20" s="83"/>
      <c r="V20" s="83" t="s">
        <v>95</v>
      </c>
      <c r="W20" s="83"/>
      <c r="X20" s="83"/>
      <c r="Y20" s="83"/>
      <c r="Z20" s="83"/>
      <c r="AA20" s="83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82" t="s">
        <v>42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83" t="s">
        <v>0</v>
      </c>
      <c r="D42" s="83" t="s">
        <v>4</v>
      </c>
      <c r="E42" s="83" t="s">
        <v>5</v>
      </c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 t="s">
        <v>12</v>
      </c>
      <c r="T42" s="83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83"/>
      <c r="D43" s="83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83"/>
      <c r="T43" s="83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AA18:AA19"/>
    <mergeCell ref="V20:AA20"/>
    <mergeCell ref="V18:V19"/>
    <mergeCell ref="W18:W19"/>
    <mergeCell ref="X18:X19"/>
    <mergeCell ref="Y18:Y19"/>
    <mergeCell ref="Z18:Z19"/>
    <mergeCell ref="C41:T41"/>
    <mergeCell ref="C42:C43"/>
    <mergeCell ref="D42:D43"/>
    <mergeCell ref="E42:R42"/>
    <mergeCell ref="S42:S43"/>
    <mergeCell ref="T42:T43"/>
    <mergeCell ref="D19:D20"/>
    <mergeCell ref="E19:R19"/>
    <mergeCell ref="S19:S20"/>
    <mergeCell ref="T19:T20"/>
    <mergeCell ref="C19:C20"/>
    <mergeCell ref="C2:S2"/>
    <mergeCell ref="C18:T18"/>
    <mergeCell ref="S3:S4"/>
    <mergeCell ref="C3:C5"/>
    <mergeCell ref="D3:D4"/>
    <mergeCell ref="E3:R3"/>
    <mergeCell ref="E5:R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98" t="s">
        <v>2</v>
      </c>
      <c r="K1" s="98" t="s">
        <v>92</v>
      </c>
      <c r="L1" s="98" t="s">
        <v>93</v>
      </c>
      <c r="M1" s="98" t="s">
        <v>12</v>
      </c>
      <c r="N1" s="98" t="s">
        <v>94</v>
      </c>
      <c r="O1" s="83" t="s">
        <v>20</v>
      </c>
      <c r="Q1" s="98" t="s">
        <v>2</v>
      </c>
      <c r="R1" s="98" t="s">
        <v>92</v>
      </c>
      <c r="S1" s="98" t="s">
        <v>93</v>
      </c>
      <c r="T1" s="98" t="s">
        <v>12</v>
      </c>
      <c r="U1" s="98" t="s">
        <v>94</v>
      </c>
      <c r="V1" s="83" t="s">
        <v>20</v>
      </c>
    </row>
    <row r="2" spans="2:22" x14ac:dyDescent="0.25">
      <c r="B2" s="88" t="s">
        <v>19</v>
      </c>
      <c r="C2" s="88"/>
      <c r="D2" s="88"/>
      <c r="E2" s="88"/>
      <c r="F2" s="88"/>
      <c r="G2" s="88"/>
      <c r="H2" s="88"/>
      <c r="J2" s="98"/>
      <c r="K2" s="98"/>
      <c r="L2" s="98"/>
      <c r="M2" s="98"/>
      <c r="N2" s="98"/>
      <c r="O2" s="83"/>
      <c r="Q2" s="98"/>
      <c r="R2" s="98"/>
      <c r="S2" s="98"/>
      <c r="T2" s="98"/>
      <c r="U2" s="98"/>
      <c r="V2" s="83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83" t="s">
        <v>95</v>
      </c>
      <c r="K3" s="83"/>
      <c r="L3" s="83"/>
      <c r="M3" s="83"/>
      <c r="N3" s="83"/>
      <c r="O3" s="83"/>
      <c r="Q3" s="83" t="s">
        <v>101</v>
      </c>
      <c r="R3" s="83"/>
      <c r="S3" s="83"/>
      <c r="T3" s="83"/>
      <c r="U3" s="83"/>
      <c r="V3" s="83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82" t="s">
        <v>45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3:23" x14ac:dyDescent="0.25">
      <c r="C3" s="83" t="s">
        <v>0</v>
      </c>
      <c r="D3" s="83" t="s">
        <v>32</v>
      </c>
      <c r="E3" s="83" t="s">
        <v>43</v>
      </c>
      <c r="F3" s="83" t="s">
        <v>30</v>
      </c>
      <c r="G3" s="83" t="s">
        <v>6</v>
      </c>
      <c r="H3" s="83" t="s">
        <v>7</v>
      </c>
      <c r="I3" s="83" t="s">
        <v>8</v>
      </c>
      <c r="J3" s="83" t="s">
        <v>9</v>
      </c>
      <c r="K3" s="83" t="s">
        <v>34</v>
      </c>
      <c r="L3" s="83" t="s">
        <v>33</v>
      </c>
      <c r="M3" s="83" t="s">
        <v>44</v>
      </c>
      <c r="N3" s="83" t="s">
        <v>29</v>
      </c>
      <c r="O3" s="83" t="s">
        <v>46</v>
      </c>
      <c r="P3" s="83"/>
      <c r="Q3" s="83"/>
      <c r="R3" s="83"/>
      <c r="S3" s="83" t="s">
        <v>50</v>
      </c>
      <c r="T3" s="83" t="s">
        <v>51</v>
      </c>
      <c r="U3" s="83" t="s">
        <v>11</v>
      </c>
      <c r="V3" s="83" t="s">
        <v>52</v>
      </c>
      <c r="W3" s="98" t="s">
        <v>53</v>
      </c>
    </row>
    <row r="4" spans="3:23" x14ac:dyDescent="0.25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2" t="s">
        <v>47</v>
      </c>
      <c r="P4" s="2" t="s">
        <v>48</v>
      </c>
      <c r="Q4" s="2" t="s">
        <v>49</v>
      </c>
      <c r="R4" s="2" t="s">
        <v>20</v>
      </c>
      <c r="S4" s="83"/>
      <c r="T4" s="83"/>
      <c r="U4" s="83"/>
      <c r="V4" s="83"/>
      <c r="W4" s="98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U3:U4"/>
    <mergeCell ref="V3:V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82" t="s">
        <v>56</v>
      </c>
      <c r="D2" s="82"/>
      <c r="E2" s="82"/>
      <c r="F2" s="84"/>
      <c r="G2" s="82" t="s">
        <v>60</v>
      </c>
      <c r="H2" s="82"/>
      <c r="I2" s="82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84" t="s">
        <v>59</v>
      </c>
      <c r="D16" s="85"/>
      <c r="E16" s="85"/>
      <c r="F16" s="86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83" t="s">
        <v>0</v>
      </c>
      <c r="B2" s="83" t="s">
        <v>69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S2" s="99" t="s">
        <v>69</v>
      </c>
      <c r="T2" s="100"/>
      <c r="U2" s="100"/>
      <c r="V2" s="101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83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83"/>
      <c r="B4" s="83" t="s">
        <v>75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S4" s="83" t="s">
        <v>75</v>
      </c>
      <c r="T4" s="83"/>
      <c r="U4" s="83"/>
      <c r="V4" s="83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83" t="s">
        <v>0</v>
      </c>
      <c r="B25" s="83" t="s">
        <v>81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</row>
    <row r="26" spans="1:22" x14ac:dyDescent="0.25">
      <c r="A26" s="83"/>
      <c r="B26" s="83" t="s">
        <v>64</v>
      </c>
      <c r="C26" s="83" t="s">
        <v>63</v>
      </c>
      <c r="D26" s="83" t="s">
        <v>66</v>
      </c>
      <c r="E26" s="83" t="s">
        <v>78</v>
      </c>
      <c r="F26" s="83" t="s">
        <v>61</v>
      </c>
      <c r="G26" s="83"/>
      <c r="H26" s="83"/>
      <c r="I26" s="83"/>
      <c r="J26" s="83" t="s">
        <v>79</v>
      </c>
      <c r="K26" s="83" t="s">
        <v>62</v>
      </c>
      <c r="L26" s="83" t="s">
        <v>80</v>
      </c>
      <c r="M26" s="83" t="s">
        <v>77</v>
      </c>
      <c r="N26" s="83" t="s">
        <v>68</v>
      </c>
      <c r="P26" s="83" t="s">
        <v>82</v>
      </c>
      <c r="Q26" s="83" t="s">
        <v>4</v>
      </c>
      <c r="R26" s="83" t="s">
        <v>21</v>
      </c>
      <c r="S26" s="83" t="s">
        <v>83</v>
      </c>
      <c r="T26" s="98" t="s">
        <v>84</v>
      </c>
    </row>
    <row r="27" spans="1:22" x14ac:dyDescent="0.25">
      <c r="A27" s="83"/>
      <c r="B27" s="83"/>
      <c r="C27" s="83"/>
      <c r="D27" s="83"/>
      <c r="E27" s="83"/>
      <c r="F27" s="2" t="s">
        <v>2</v>
      </c>
      <c r="G27" s="2" t="s">
        <v>21</v>
      </c>
      <c r="H27" s="2" t="s">
        <v>4</v>
      </c>
      <c r="I27" s="2" t="s">
        <v>20</v>
      </c>
      <c r="J27" s="83"/>
      <c r="K27" s="83"/>
      <c r="L27" s="83"/>
      <c r="M27" s="83"/>
      <c r="N27" s="83"/>
      <c r="P27" s="83"/>
      <c r="Q27" s="83"/>
      <c r="R27" s="83"/>
      <c r="S27" s="83"/>
      <c r="T27" s="98"/>
    </row>
    <row r="28" spans="1:22" x14ac:dyDescent="0.25">
      <c r="A28" s="83"/>
      <c r="B28" s="83" t="s">
        <v>26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10"/>
      <c r="P28" s="83" t="s">
        <v>26</v>
      </c>
      <c r="Q28" s="83"/>
      <c r="R28" s="83"/>
      <c r="S28" s="83"/>
      <c r="T28" s="83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05" t="s">
        <v>0</v>
      </c>
      <c r="B50" s="83" t="s">
        <v>85</v>
      </c>
      <c r="C50" s="83"/>
      <c r="D50" s="83" t="s">
        <v>87</v>
      </c>
      <c r="E50" s="83"/>
      <c r="F50" s="83"/>
      <c r="G50" s="83"/>
      <c r="H50" s="83"/>
      <c r="I50" s="83"/>
    </row>
    <row r="51" spans="1:9" x14ac:dyDescent="0.25">
      <c r="A51" s="105"/>
      <c r="B51" s="83" t="s">
        <v>26</v>
      </c>
      <c r="C51" s="83" t="s">
        <v>86</v>
      </c>
      <c r="D51" s="2" t="s">
        <v>88</v>
      </c>
      <c r="E51" s="2"/>
      <c r="F51" s="83" t="s">
        <v>89</v>
      </c>
      <c r="G51" s="83"/>
      <c r="H51" s="83" t="s">
        <v>20</v>
      </c>
      <c r="I51" s="83"/>
    </row>
    <row r="52" spans="1:9" x14ac:dyDescent="0.25">
      <c r="A52" s="106"/>
      <c r="B52" s="83"/>
      <c r="C52" s="83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82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82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84" t="s">
        <v>95</v>
      </c>
      <c r="I75" s="85"/>
      <c r="J75" s="85"/>
      <c r="K75" s="85"/>
      <c r="L75" s="86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N26:N27"/>
    <mergeCell ref="S4:V4"/>
    <mergeCell ref="S2:V2"/>
    <mergeCell ref="P26:P27"/>
    <mergeCell ref="Q26:Q27"/>
    <mergeCell ref="R26:R27"/>
    <mergeCell ref="S26:S27"/>
    <mergeCell ref="T26:T27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83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83"/>
      <c r="C2" s="83" t="s">
        <v>19</v>
      </c>
      <c r="D2" s="83"/>
      <c r="E2" s="83"/>
      <c r="F2" s="83"/>
      <c r="G2" s="83"/>
      <c r="H2" s="83"/>
      <c r="I2" s="83"/>
      <c r="J2" s="83"/>
      <c r="K2" s="83"/>
      <c r="M2" s="82" t="s">
        <v>95</v>
      </c>
      <c r="N2" s="82"/>
      <c r="O2" s="82"/>
      <c r="P2" s="82"/>
      <c r="Q2" s="82"/>
      <c r="R2" s="82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2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2" sqref="V2:V20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28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3" t="s">
        <v>168</v>
      </c>
      <c r="T1" s="42" t="s">
        <v>165</v>
      </c>
      <c r="U1" s="42" t="s">
        <v>166</v>
      </c>
      <c r="V1" s="42"/>
      <c r="W1" s="42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0">
        <f t="shared" ref="Q2:Q11" si="3">J2</f>
        <v>100</v>
      </c>
      <c r="R2" s="41">
        <f>P2*1000000000</f>
        <v>1389769900000000</v>
      </c>
      <c r="S2" s="44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0">
        <f t="shared" si="3"/>
        <v>116.72</v>
      </c>
      <c r="R3" s="41">
        <f t="shared" ref="R3:R20" si="4">P3*1000000000</f>
        <v>1684280500000000</v>
      </c>
      <c r="S3" s="44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0">
        <f t="shared" si="3"/>
        <v>123.71</v>
      </c>
      <c r="R4" s="41">
        <f t="shared" si="4"/>
        <v>1863274700000000</v>
      </c>
      <c r="S4" s="44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0">
        <f t="shared" si="3"/>
        <v>127.68</v>
      </c>
      <c r="R5" s="41">
        <f t="shared" si="4"/>
        <v>2013674600000000</v>
      </c>
      <c r="S5" s="44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0">
        <f t="shared" si="3"/>
        <v>138.59</v>
      </c>
      <c r="R6" s="41">
        <f t="shared" si="4"/>
        <v>2295826200000000</v>
      </c>
      <c r="S6" s="44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0">
        <f t="shared" si="3"/>
        <v>158.46</v>
      </c>
      <c r="R7" s="41">
        <f t="shared" si="4"/>
        <v>2774281100000000</v>
      </c>
      <c r="S7" s="44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0">
        <f t="shared" si="3"/>
        <v>180.79</v>
      </c>
      <c r="R8" s="41">
        <f t="shared" si="4"/>
        <v>3339479600000000</v>
      </c>
      <c r="S8" s="44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0">
        <f t="shared" si="3"/>
        <v>201.13</v>
      </c>
      <c r="R9" s="41">
        <f t="shared" si="4"/>
        <v>3950893200000000</v>
      </c>
      <c r="S9" s="44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0">
        <f t="shared" si="3"/>
        <v>237.78</v>
      </c>
      <c r="R10" s="41">
        <f t="shared" si="4"/>
        <v>4951356700000000</v>
      </c>
      <c r="S10" s="44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0">
        <f t="shared" si="3"/>
        <v>257.3</v>
      </c>
      <c r="R11" s="41">
        <f t="shared" si="4"/>
        <v>5606203400000000</v>
      </c>
      <c r="S11" s="44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0">
        <f>J12</f>
        <v>278.55</v>
      </c>
      <c r="R12" s="41">
        <f t="shared" si="4"/>
        <v>6864133000000000</v>
      </c>
      <c r="S12" s="44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0">
        <f>J13</f>
        <v>301.17</v>
      </c>
      <c r="R13" s="41">
        <f t="shared" si="4"/>
        <v>7831726000000000</v>
      </c>
      <c r="S13" s="44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0">
        <f>J14</f>
        <v>314.8</v>
      </c>
      <c r="R14" s="41">
        <f t="shared" si="4"/>
        <v>8615704000000000</v>
      </c>
      <c r="S14" s="44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0">
        <f>J15</f>
        <v>291.57</v>
      </c>
      <c r="R15" s="41">
        <f t="shared" si="4"/>
        <v>9546134000000000</v>
      </c>
      <c r="S15" s="44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0">
        <f>J16</f>
        <v>308.37</v>
      </c>
      <c r="R16" s="41">
        <f t="shared" si="4"/>
        <v>1.0569705E+16</v>
      </c>
      <c r="S16" s="44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0">
        <f t="shared" ref="Q17:Q18" si="9">J23*$J$12/$J$18</f>
        <v>356.54400000000004</v>
      </c>
      <c r="R17" s="41">
        <f t="shared" si="4"/>
        <v>1.1526333E+16</v>
      </c>
      <c r="S17" s="44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7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8">
        <v>6864133</v>
      </c>
      <c r="J18" s="34">
        <v>100</v>
      </c>
      <c r="K18" s="37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0">
        <f t="shared" si="9"/>
        <v>364.90050000000002</v>
      </c>
      <c r="R18" s="41">
        <f t="shared" si="4"/>
        <v>1.2406774E+16</v>
      </c>
      <c r="S18" s="44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8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0">
        <f>J25*$J$12/$J$18</f>
        <v>381.61349999999999</v>
      </c>
      <c r="R19" s="41">
        <f t="shared" si="4"/>
        <v>1.3587213E+16</v>
      </c>
      <c r="S19" s="44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7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8">
        <v>8615704</v>
      </c>
      <c r="J20" s="34">
        <v>111</v>
      </c>
      <c r="K20" s="37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0">
        <f>J26*$J$12/J18</f>
        <v>395.541</v>
      </c>
      <c r="R20" s="41">
        <f t="shared" si="4"/>
        <v>1.4837357E+16</v>
      </c>
      <c r="S20" s="44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8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7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8">
        <v>10569705</v>
      </c>
      <c r="J22" s="34">
        <v>123</v>
      </c>
      <c r="K22" s="37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8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7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8">
        <v>12406774</v>
      </c>
      <c r="J24" s="34">
        <v>131</v>
      </c>
      <c r="K24" s="37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8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7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8">
        <v>14837357</v>
      </c>
      <c r="J26" s="34">
        <v>142</v>
      </c>
      <c r="K26" s="37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7">
        <v>2020</v>
      </c>
      <c r="K28" s="3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activeCell="E23" sqref="E23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workbookViewId="0">
      <pane xSplit="1" ySplit="1" topLeftCell="C2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5" x14ac:dyDescent="0.25"/>
  <cols>
    <col min="1" max="1" width="43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2" bestFit="1" customWidth="1"/>
    <col min="8" max="8" width="14.7109375" bestFit="1" customWidth="1"/>
    <col min="9" max="11" width="10.140625" customWidth="1"/>
    <col min="12" max="12" width="23.1406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63" t="s">
        <v>221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5" t="s">
        <v>152</v>
      </c>
      <c r="P1" s="35" t="s">
        <v>153</v>
      </c>
      <c r="Q1" s="35" t="s">
        <v>2</v>
      </c>
      <c r="R1" s="35" t="s">
        <v>92</v>
      </c>
      <c r="S1" s="35" t="s">
        <v>135</v>
      </c>
      <c r="T1" s="35" t="s">
        <v>136</v>
      </c>
      <c r="U1" s="36" t="s">
        <v>133</v>
      </c>
      <c r="V1" s="36" t="s">
        <v>134</v>
      </c>
      <c r="W1" s="36" t="s">
        <v>137</v>
      </c>
      <c r="X1" s="36" t="s">
        <v>138</v>
      </c>
      <c r="Y1" s="35"/>
      <c r="Z1" s="52" t="s">
        <v>220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65">
        <v>2000</v>
      </c>
      <c r="B2" s="62">
        <v>93831548</v>
      </c>
      <c r="C2" s="62">
        <v>433360999</v>
      </c>
      <c r="D2" s="62">
        <v>164649922</v>
      </c>
      <c r="E2" s="62">
        <v>25248631</v>
      </c>
      <c r="F2" s="62">
        <v>9596400</v>
      </c>
      <c r="G2" s="62">
        <v>269054110</v>
      </c>
      <c r="H2" s="62">
        <v>0</v>
      </c>
      <c r="I2" s="62"/>
      <c r="J2" s="62"/>
      <c r="K2" s="62"/>
      <c r="L2" s="62"/>
      <c r="M2" s="62"/>
      <c r="N2" s="64">
        <f>SUM(B2:M2)</f>
        <v>995741610</v>
      </c>
      <c r="O2" s="33">
        <f>N2/'Macro dari HEESI'!O2</f>
        <v>716.47926999159495</v>
      </c>
      <c r="P2" s="33">
        <f>N2/'Macro dari HEESI'!P2</f>
        <v>716.47947620681668</v>
      </c>
      <c r="Q2" s="33">
        <f>B2</f>
        <v>93831548</v>
      </c>
      <c r="R2" s="33">
        <f>C2</f>
        <v>433360999</v>
      </c>
      <c r="S2" s="33">
        <f>D2</f>
        <v>164649922</v>
      </c>
      <c r="T2" s="33">
        <f t="shared" ref="T2:T20" si="0">SUM(E2:M2)</f>
        <v>303899141</v>
      </c>
      <c r="U2" s="36">
        <f>Q2/$N2</f>
        <v>9.423282813299326E-2</v>
      </c>
      <c r="V2" s="36">
        <f t="shared" ref="V2:X2" si="1">R2/$N2</f>
        <v>0.43521431127097321</v>
      </c>
      <c r="W2" s="36">
        <f t="shared" si="1"/>
        <v>0.16535406409299297</v>
      </c>
      <c r="X2" s="36">
        <f t="shared" si="1"/>
        <v>0.3051987965030406</v>
      </c>
      <c r="Y2" s="35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62">
        <v>119125379</v>
      </c>
      <c r="C3" s="62">
        <v>441731352</v>
      </c>
      <c r="D3" s="62">
        <v>172083907</v>
      </c>
      <c r="E3" s="62">
        <v>29380607</v>
      </c>
      <c r="F3" s="62">
        <v>9960940</v>
      </c>
      <c r="G3" s="62">
        <v>268970034</v>
      </c>
      <c r="H3" s="36">
        <v>0</v>
      </c>
      <c r="I3" s="36"/>
      <c r="J3" s="36"/>
      <c r="K3" s="36"/>
      <c r="L3" s="36"/>
      <c r="M3" s="36"/>
      <c r="N3" s="64">
        <f t="shared" ref="N3:N20" si="4">SUM(B3:M3)</f>
        <v>1041252219</v>
      </c>
      <c r="O3" s="33">
        <f>N3/'Macro dari HEESI'!O3</f>
        <v>721.59621038228681</v>
      </c>
      <c r="P3" s="33">
        <f>N3/'Macro dari HEESI'!P3</f>
        <v>618.21782001275915</v>
      </c>
      <c r="Q3" s="33">
        <f t="shared" ref="Q3:Q20" si="5">B3</f>
        <v>119125379</v>
      </c>
      <c r="R3" s="33">
        <f t="shared" ref="R3:R20" si="6">C3</f>
        <v>441731352</v>
      </c>
      <c r="S3" s="33">
        <f t="shared" ref="S3:S20" si="7">D3</f>
        <v>172083907</v>
      </c>
      <c r="T3" s="33">
        <f t="shared" si="0"/>
        <v>308311581</v>
      </c>
      <c r="U3" s="36">
        <f t="shared" ref="U3:U16" si="8">Q3/$N3</f>
        <v>0.11440588248100531</v>
      </c>
      <c r="V3" s="36">
        <f t="shared" ref="V3:V16" si="9">R3/$N3</f>
        <v>0.42423088656102065</v>
      </c>
      <c r="W3" s="36">
        <f t="shared" ref="W3:W16" si="10">S3/$N3</f>
        <v>0.16526630518518012</v>
      </c>
      <c r="X3" s="36">
        <f t="shared" ref="X3:X16" si="11">T3/$N3</f>
        <v>0.29609692577279395</v>
      </c>
      <c r="Y3" s="35">
        <f t="shared" ref="Y3:Y16" si="12">SUM(U3:X3)</f>
        <v>1</v>
      </c>
      <c r="Z3">
        <v>2001</v>
      </c>
      <c r="AA3">
        <f t="shared" ref="AA3:AA16" si="13">AF3/100</f>
        <v>0.42420000000000002</v>
      </c>
      <c r="AB3">
        <f t="shared" ref="AB3:AB16" si="14">AG3/100</f>
        <v>0.1144</v>
      </c>
      <c r="AC3">
        <f t="shared" ref="AC3:AC16" si="15">AH3/100</f>
        <v>0.1653</v>
      </c>
      <c r="AD3">
        <f t="shared" ref="AD3:AD16" si="16">AI3/100</f>
        <v>0.29609999999999997</v>
      </c>
      <c r="AE3">
        <f t="shared" ref="AE3:AE16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16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62">
        <v>122879411</v>
      </c>
      <c r="C4" s="62">
        <v>452817870</v>
      </c>
      <c r="D4" s="62">
        <v>188822314</v>
      </c>
      <c r="E4" s="62">
        <v>25038179</v>
      </c>
      <c r="F4" s="62">
        <v>10248040</v>
      </c>
      <c r="G4" s="62">
        <v>270230078</v>
      </c>
      <c r="H4" s="36">
        <v>0</v>
      </c>
      <c r="I4" s="36"/>
      <c r="J4" s="36"/>
      <c r="K4" s="36"/>
      <c r="L4" s="36"/>
      <c r="M4" s="36"/>
      <c r="N4" s="64">
        <f t="shared" si="4"/>
        <v>1070035892</v>
      </c>
      <c r="O4" s="33">
        <f>N4/'Macro dari HEESI'!O4</f>
        <v>710.45651474738747</v>
      </c>
      <c r="P4" s="33">
        <f>N4/'Macro dari HEESI'!P4</f>
        <v>574.27704675000416</v>
      </c>
      <c r="Q4" s="33">
        <f t="shared" si="5"/>
        <v>122879411</v>
      </c>
      <c r="R4" s="33">
        <f t="shared" si="6"/>
        <v>452817870</v>
      </c>
      <c r="S4" s="33">
        <f t="shared" si="7"/>
        <v>188822314</v>
      </c>
      <c r="T4" s="33">
        <f t="shared" si="0"/>
        <v>305516297</v>
      </c>
      <c r="U4" s="36">
        <f t="shared" si="8"/>
        <v>0.11483671895372272</v>
      </c>
      <c r="V4" s="36">
        <f t="shared" si="9"/>
        <v>0.4231800759072108</v>
      </c>
      <c r="W4" s="36">
        <f t="shared" si="10"/>
        <v>0.17646353305688928</v>
      </c>
      <c r="X4" s="36">
        <f t="shared" si="11"/>
        <v>0.28551967208217721</v>
      </c>
      <c r="Y4" s="35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62">
        <v>164950173</v>
      </c>
      <c r="C5" s="62">
        <v>456647707</v>
      </c>
      <c r="D5" s="62">
        <v>204142054</v>
      </c>
      <c r="E5" s="62">
        <v>22937538</v>
      </c>
      <c r="F5" s="62">
        <v>10375200</v>
      </c>
      <c r="G5" s="62">
        <v>272005374</v>
      </c>
      <c r="H5" s="36">
        <v>0</v>
      </c>
      <c r="I5" s="36"/>
      <c r="J5" s="36"/>
      <c r="K5" s="36"/>
      <c r="L5" s="36"/>
      <c r="M5" s="36"/>
      <c r="N5" s="64">
        <f t="shared" si="4"/>
        <v>1131058046</v>
      </c>
      <c r="O5" s="33">
        <f>N5/'Macro dari HEESI'!O5</f>
        <v>717.14343648023521</v>
      </c>
      <c r="P5" s="33">
        <f>N5/'Macro dari HEESI'!P5</f>
        <v>561.68858960628495</v>
      </c>
      <c r="Q5" s="33">
        <f t="shared" si="5"/>
        <v>164950173</v>
      </c>
      <c r="R5" s="33">
        <f t="shared" si="6"/>
        <v>456647707</v>
      </c>
      <c r="S5" s="33">
        <f t="shared" si="7"/>
        <v>204142054</v>
      </c>
      <c r="T5" s="33">
        <f t="shared" si="0"/>
        <v>305318112</v>
      </c>
      <c r="U5" s="36">
        <f t="shared" si="8"/>
        <v>0.14583705370679093</v>
      </c>
      <c r="V5" s="36">
        <f t="shared" si="9"/>
        <v>0.40373498832791116</v>
      </c>
      <c r="W5" s="36">
        <f t="shared" si="10"/>
        <v>0.18048769001904966</v>
      </c>
      <c r="X5" s="36">
        <f t="shared" si="11"/>
        <v>0.26994026794624826</v>
      </c>
      <c r="Y5" s="3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62">
        <v>151543284</v>
      </c>
      <c r="C6" s="62">
        <v>498117696</v>
      </c>
      <c r="D6" s="62">
        <v>187553776</v>
      </c>
      <c r="E6" s="62">
        <v>24385647</v>
      </c>
      <c r="F6" s="62">
        <v>11077000</v>
      </c>
      <c r="G6" s="62">
        <v>271806233</v>
      </c>
      <c r="H6" s="36">
        <v>0</v>
      </c>
      <c r="I6" s="36"/>
      <c r="J6" s="36"/>
      <c r="K6" s="36"/>
      <c r="L6" s="36"/>
      <c r="M6" s="36"/>
      <c r="N6" s="64">
        <f t="shared" si="4"/>
        <v>1144483636</v>
      </c>
      <c r="O6" s="33">
        <f>N6/'Macro dari HEESI'!O6</f>
        <v>690.89769328026136</v>
      </c>
      <c r="P6" s="33">
        <f>N6/'Macro dari HEESI'!P6</f>
        <v>498.50621793583502</v>
      </c>
      <c r="Q6" s="33">
        <f t="shared" si="5"/>
        <v>151543284</v>
      </c>
      <c r="R6" s="33">
        <f t="shared" si="6"/>
        <v>498117696</v>
      </c>
      <c r="S6" s="33">
        <f t="shared" si="7"/>
        <v>187553776</v>
      </c>
      <c r="T6" s="33">
        <f t="shared" si="0"/>
        <v>307268880</v>
      </c>
      <c r="U6" s="36">
        <f t="shared" si="8"/>
        <v>0.13241192729469484</v>
      </c>
      <c r="V6" s="36">
        <f t="shared" si="9"/>
        <v>0.43523356763835808</v>
      </c>
      <c r="W6" s="36">
        <f t="shared" si="10"/>
        <v>0.16387632824135898</v>
      </c>
      <c r="X6" s="36">
        <f t="shared" si="11"/>
        <v>0.26847817682558811</v>
      </c>
      <c r="Y6" s="35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62">
        <v>173673093</v>
      </c>
      <c r="C7" s="62">
        <v>493636985</v>
      </c>
      <c r="D7" s="62">
        <v>191189376</v>
      </c>
      <c r="E7" s="62">
        <v>27034841</v>
      </c>
      <c r="F7" s="62">
        <v>10910460</v>
      </c>
      <c r="G7" s="62">
        <v>270042895</v>
      </c>
      <c r="H7" s="36">
        <v>0</v>
      </c>
      <c r="I7" s="36"/>
      <c r="J7" s="36"/>
      <c r="K7" s="36"/>
      <c r="L7" s="36"/>
      <c r="M7" s="36"/>
      <c r="N7" s="64">
        <f t="shared" si="4"/>
        <v>1166487650</v>
      </c>
      <c r="O7" s="33">
        <f>N7/'Macro dari HEESI'!O7</f>
        <v>666.25401127429097</v>
      </c>
      <c r="P7" s="33">
        <f>N7/'Macro dari HEESI'!P7</f>
        <v>420.46483681844637</v>
      </c>
      <c r="Q7" s="33">
        <f t="shared" si="5"/>
        <v>173673093</v>
      </c>
      <c r="R7" s="33">
        <f t="shared" si="6"/>
        <v>493636985</v>
      </c>
      <c r="S7" s="33">
        <f t="shared" si="7"/>
        <v>191189376</v>
      </c>
      <c r="T7" s="33">
        <f t="shared" si="0"/>
        <v>307988196</v>
      </c>
      <c r="U7" s="36">
        <f t="shared" si="8"/>
        <v>0.14888549655883626</v>
      </c>
      <c r="V7" s="36">
        <f t="shared" si="9"/>
        <v>0.42318235002316568</v>
      </c>
      <c r="W7" s="36">
        <f t="shared" si="10"/>
        <v>0.16390175755396982</v>
      </c>
      <c r="X7" s="36">
        <f t="shared" si="11"/>
        <v>0.26403039586402821</v>
      </c>
      <c r="Y7" s="35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62">
        <v>205779290</v>
      </c>
      <c r="C8" s="62">
        <v>459929016</v>
      </c>
      <c r="D8" s="62">
        <v>196599386</v>
      </c>
      <c r="E8" s="62">
        <v>24256796</v>
      </c>
      <c r="F8" s="62">
        <v>11182742</v>
      </c>
      <c r="G8" s="62">
        <v>276335944</v>
      </c>
      <c r="H8" s="62">
        <v>0</v>
      </c>
      <c r="I8" s="62"/>
      <c r="J8" s="62"/>
      <c r="K8" s="62"/>
      <c r="L8" s="62"/>
      <c r="M8" s="62"/>
      <c r="N8" s="64">
        <f t="shared" si="4"/>
        <v>1174083174</v>
      </c>
      <c r="O8" s="33">
        <f>N8/'Macro dari HEESI'!O8</f>
        <v>635.62676777938407</v>
      </c>
      <c r="P8" s="33">
        <f>N8/'Macro dari HEESI'!P8</f>
        <v>351.57668697841422</v>
      </c>
      <c r="Q8" s="33">
        <f t="shared" si="5"/>
        <v>205779290</v>
      </c>
      <c r="R8" s="33">
        <f t="shared" si="6"/>
        <v>459929016</v>
      </c>
      <c r="S8" s="33">
        <f t="shared" si="7"/>
        <v>196599386</v>
      </c>
      <c r="T8" s="33">
        <f t="shared" si="0"/>
        <v>311775482</v>
      </c>
      <c r="U8" s="36">
        <f t="shared" si="8"/>
        <v>0.17526806835918424</v>
      </c>
      <c r="V8" s="36">
        <f t="shared" si="9"/>
        <v>0.39173461146969812</v>
      </c>
      <c r="W8" s="36">
        <f t="shared" si="10"/>
        <v>0.16744928328220807</v>
      </c>
      <c r="X8" s="36">
        <f t="shared" si="11"/>
        <v>0.26554803688890954</v>
      </c>
      <c r="Y8" s="35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62">
        <v>258174000</v>
      </c>
      <c r="C9" s="62">
        <v>470036057</v>
      </c>
      <c r="D9" s="62">
        <v>183623636</v>
      </c>
      <c r="E9" s="62">
        <v>28450964</v>
      </c>
      <c r="F9" s="62">
        <v>11421759</v>
      </c>
      <c r="G9" s="62">
        <v>275199938</v>
      </c>
      <c r="H9" s="62">
        <v>36043</v>
      </c>
      <c r="I9" s="62"/>
      <c r="J9" s="62"/>
      <c r="K9" s="62"/>
      <c r="L9" s="62"/>
      <c r="M9" s="62"/>
      <c r="N9" s="64">
        <f t="shared" si="4"/>
        <v>1226942397</v>
      </c>
      <c r="O9" s="33">
        <f>N9/'Macro dari HEESI'!O9</f>
        <v>624.61199668711015</v>
      </c>
      <c r="P9" s="33">
        <f>N9/'Macro dari HEESI'!P9</f>
        <v>310.54810517277457</v>
      </c>
      <c r="Q9" s="33">
        <f t="shared" si="5"/>
        <v>258174000</v>
      </c>
      <c r="R9" s="33">
        <f t="shared" si="6"/>
        <v>470036057</v>
      </c>
      <c r="S9" s="33">
        <f t="shared" si="7"/>
        <v>183623636</v>
      </c>
      <c r="T9" s="33">
        <f t="shared" si="0"/>
        <v>315108704</v>
      </c>
      <c r="U9" s="36">
        <f t="shared" si="8"/>
        <v>0.21042063639765152</v>
      </c>
      <c r="V9" s="36">
        <f t="shared" si="9"/>
        <v>0.38309545594747263</v>
      </c>
      <c r="W9" s="36">
        <f t="shared" si="10"/>
        <v>0.14965954102570636</v>
      </c>
      <c r="X9" s="36">
        <f t="shared" si="11"/>
        <v>0.25682436662916946</v>
      </c>
      <c r="Y9" s="35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62">
        <v>224587657</v>
      </c>
      <c r="C10" s="62">
        <v>474496098</v>
      </c>
      <c r="D10" s="62">
        <v>236049566</v>
      </c>
      <c r="E10" s="62">
        <v>29060413</v>
      </c>
      <c r="F10" s="62">
        <v>13423610</v>
      </c>
      <c r="G10" s="62">
        <v>277981421</v>
      </c>
      <c r="H10" s="62">
        <v>60407</v>
      </c>
      <c r="I10" s="62"/>
      <c r="J10" s="62"/>
      <c r="K10" s="62"/>
      <c r="L10" s="62"/>
      <c r="M10" s="62"/>
      <c r="N10" s="64">
        <f t="shared" si="4"/>
        <v>1255659172</v>
      </c>
      <c r="O10" s="33">
        <f>N10/'Macro dari HEESI'!O10</f>
        <v>603.01089378417566</v>
      </c>
      <c r="P10" s="33">
        <f>N10/'Macro dari HEESI'!P10</f>
        <v>253.59901297355529</v>
      </c>
      <c r="Q10" s="33">
        <f t="shared" si="5"/>
        <v>224587657</v>
      </c>
      <c r="R10" s="33">
        <f t="shared" si="6"/>
        <v>474496098</v>
      </c>
      <c r="S10" s="33">
        <f t="shared" si="7"/>
        <v>236049566</v>
      </c>
      <c r="T10" s="33">
        <f t="shared" si="0"/>
        <v>320525851</v>
      </c>
      <c r="U10" s="36">
        <f t="shared" si="8"/>
        <v>0.17886036434734059</v>
      </c>
      <c r="V10" s="36">
        <f t="shared" si="9"/>
        <v>0.37788606062919755</v>
      </c>
      <c r="W10" s="36">
        <f t="shared" si="10"/>
        <v>0.18798856510084888</v>
      </c>
      <c r="X10" s="36">
        <f t="shared" si="11"/>
        <v>0.25526500992261297</v>
      </c>
      <c r="Y10" s="35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62">
        <v>236439000</v>
      </c>
      <c r="C11" s="62">
        <v>467883065</v>
      </c>
      <c r="D11" s="62">
        <v>251035250</v>
      </c>
      <c r="E11" s="62">
        <v>28662883</v>
      </c>
      <c r="F11" s="62">
        <v>14973198</v>
      </c>
      <c r="G11" s="62">
        <v>279313257</v>
      </c>
      <c r="H11" s="62">
        <v>771965</v>
      </c>
      <c r="I11" s="62"/>
      <c r="J11" s="62"/>
      <c r="K11" s="62"/>
      <c r="L11" s="62"/>
      <c r="M11" s="62"/>
      <c r="N11" s="64">
        <f t="shared" si="4"/>
        <v>1279078618</v>
      </c>
      <c r="O11" s="33">
        <f>N11/'Macro dari HEESI'!O11</f>
        <v>587.04290882214354</v>
      </c>
      <c r="P11" s="33">
        <f>N11/'Macro dari HEESI'!P11</f>
        <v>228.15415830256887</v>
      </c>
      <c r="Q11" s="33">
        <f t="shared" si="5"/>
        <v>236439000</v>
      </c>
      <c r="R11" s="33">
        <f t="shared" si="6"/>
        <v>467883065</v>
      </c>
      <c r="S11" s="33">
        <f t="shared" si="7"/>
        <v>251035250</v>
      </c>
      <c r="T11" s="33">
        <f t="shared" si="0"/>
        <v>323721303</v>
      </c>
      <c r="U11" s="36">
        <f t="shared" si="8"/>
        <v>0.18485103000916556</v>
      </c>
      <c r="V11" s="36">
        <f t="shared" si="9"/>
        <v>0.36579695603980461</v>
      </c>
      <c r="W11" s="36">
        <f t="shared" si="10"/>
        <v>0.1962625646831038</v>
      </c>
      <c r="X11" s="36">
        <f t="shared" si="11"/>
        <v>0.25308944926792609</v>
      </c>
      <c r="Y11" s="35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62">
        <v>281400000</v>
      </c>
      <c r="C12" s="62">
        <v>518405561</v>
      </c>
      <c r="D12" s="62">
        <v>269942185</v>
      </c>
      <c r="E12" s="62">
        <v>43952237</v>
      </c>
      <c r="F12" s="62">
        <v>15266074</v>
      </c>
      <c r="G12" s="62">
        <v>273670429</v>
      </c>
      <c r="H12" s="62">
        <v>1446623</v>
      </c>
      <c r="I12" s="62"/>
      <c r="J12" s="62"/>
      <c r="K12" s="62"/>
      <c r="L12" s="62"/>
      <c r="M12" s="62"/>
      <c r="N12" s="64">
        <f t="shared" si="4"/>
        <v>1404083109</v>
      </c>
      <c r="O12" s="33">
        <f>N12/'Macro dari HEESI'!O12</f>
        <v>569.78404994767732</v>
      </c>
      <c r="P12" s="33">
        <f>N12/'Macro dari HEESI'!P12</f>
        <v>204.55359897601051</v>
      </c>
      <c r="Q12" s="33">
        <f t="shared" si="5"/>
        <v>281400000</v>
      </c>
      <c r="R12" s="33">
        <f t="shared" si="6"/>
        <v>518405561</v>
      </c>
      <c r="S12" s="33">
        <f t="shared" si="7"/>
        <v>269942185</v>
      </c>
      <c r="T12" s="33">
        <f t="shared" si="0"/>
        <v>334335363</v>
      </c>
      <c r="U12" s="36">
        <f t="shared" si="8"/>
        <v>0.20041548694394271</v>
      </c>
      <c r="V12" s="36">
        <f t="shared" si="9"/>
        <v>0.36921287470598008</v>
      </c>
      <c r="W12" s="36">
        <f t="shared" si="10"/>
        <v>0.19225513309696826</v>
      </c>
      <c r="X12" s="36">
        <f t="shared" si="11"/>
        <v>0.23811650525310893</v>
      </c>
      <c r="Y12" s="35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62">
        <v>334142760</v>
      </c>
      <c r="C13" s="62">
        <v>546635311</v>
      </c>
      <c r="D13" s="62">
        <v>261708332</v>
      </c>
      <c r="E13" s="62">
        <v>31268976</v>
      </c>
      <c r="F13" s="62">
        <v>15119152</v>
      </c>
      <c r="G13" s="62">
        <v>283140897</v>
      </c>
      <c r="H13" s="62">
        <v>2328869</v>
      </c>
      <c r="I13" s="62"/>
      <c r="J13" s="62"/>
      <c r="K13" s="62"/>
      <c r="L13" s="62"/>
      <c r="M13" s="62"/>
      <c r="N13" s="64">
        <f t="shared" si="4"/>
        <v>1474344297</v>
      </c>
      <c r="O13" s="33">
        <f>N13/'Macro dari HEESI'!O13</f>
        <v>566.96093801990776</v>
      </c>
      <c r="P13" s="33">
        <f>N13/'Macro dari HEESI'!P13</f>
        <v>188.25279344553167</v>
      </c>
      <c r="Q13" s="33">
        <f t="shared" si="5"/>
        <v>334142760</v>
      </c>
      <c r="R13" s="33">
        <f t="shared" si="6"/>
        <v>546635311</v>
      </c>
      <c r="S13" s="33">
        <f t="shared" si="7"/>
        <v>261708332</v>
      </c>
      <c r="T13" s="33">
        <f t="shared" si="0"/>
        <v>331857894</v>
      </c>
      <c r="U13" s="36">
        <f t="shared" si="8"/>
        <v>0.22663821515769053</v>
      </c>
      <c r="V13" s="36">
        <f t="shared" si="9"/>
        <v>0.37076503236882669</v>
      </c>
      <c r="W13" s="36">
        <f t="shared" si="10"/>
        <v>0.17750828794368104</v>
      </c>
      <c r="X13" s="36">
        <f t="shared" si="11"/>
        <v>0.22508846452980175</v>
      </c>
      <c r="Y13" s="35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62">
        <v>377892961</v>
      </c>
      <c r="C14" s="62">
        <v>533830676</v>
      </c>
      <c r="D14" s="62">
        <v>259456414</v>
      </c>
      <c r="E14" s="62">
        <v>32226297</v>
      </c>
      <c r="F14" s="62">
        <v>15129340</v>
      </c>
      <c r="G14" s="62">
        <v>300838657</v>
      </c>
      <c r="H14" s="62">
        <v>4339870</v>
      </c>
      <c r="I14" s="62"/>
      <c r="J14" s="62"/>
      <c r="K14" s="62"/>
      <c r="L14" s="62"/>
      <c r="M14" s="62"/>
      <c r="N14" s="64">
        <f t="shared" si="4"/>
        <v>1523714215</v>
      </c>
      <c r="O14" s="33">
        <f>N14/'Macro dari HEESI'!O14</f>
        <v>556.733651576238</v>
      </c>
      <c r="P14" s="33">
        <f>N14/'Macro dari HEESI'!P14</f>
        <v>176.85312947148603</v>
      </c>
      <c r="Q14" s="33">
        <f t="shared" si="5"/>
        <v>377892961</v>
      </c>
      <c r="R14" s="33">
        <f t="shared" si="6"/>
        <v>533830676</v>
      </c>
      <c r="S14" s="33">
        <f t="shared" si="7"/>
        <v>259456414</v>
      </c>
      <c r="T14" s="33">
        <f t="shared" si="0"/>
        <v>352534164</v>
      </c>
      <c r="U14" s="36">
        <f t="shared" si="8"/>
        <v>0.24800776765083865</v>
      </c>
      <c r="V14" s="36">
        <f t="shared" si="9"/>
        <v>0.35034829415173502</v>
      </c>
      <c r="W14" s="36">
        <f t="shared" si="10"/>
        <v>0.1702789220221326</v>
      </c>
      <c r="X14" s="36">
        <f t="shared" si="11"/>
        <v>0.23136501617529373</v>
      </c>
      <c r="Y14" s="35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62">
        <v>410566607</v>
      </c>
      <c r="C15" s="62">
        <v>542950370</v>
      </c>
      <c r="D15" s="62">
        <v>232399957</v>
      </c>
      <c r="E15" s="62">
        <v>38494094</v>
      </c>
      <c r="F15" s="62">
        <v>10644873</v>
      </c>
      <c r="G15" s="62">
        <v>306232741</v>
      </c>
      <c r="H15" s="62">
        <v>6798481</v>
      </c>
      <c r="I15" s="62"/>
      <c r="J15" s="62"/>
      <c r="K15" s="62"/>
      <c r="L15" s="62"/>
      <c r="M15" s="62"/>
      <c r="N15" s="64">
        <f t="shared" si="4"/>
        <v>1548087123</v>
      </c>
      <c r="O15" s="33">
        <f>N15/'Macro dari HEESI'!O15</f>
        <v>472.83618944916338</v>
      </c>
      <c r="P15" s="33">
        <f>N15/'Macro dari HEESI'!P15</f>
        <v>162.16901239810798</v>
      </c>
      <c r="Q15" s="33">
        <f t="shared" si="5"/>
        <v>410566607</v>
      </c>
      <c r="R15" s="33">
        <f t="shared" si="6"/>
        <v>542950370</v>
      </c>
      <c r="S15" s="33">
        <f t="shared" si="7"/>
        <v>232399957</v>
      </c>
      <c r="T15" s="33">
        <f t="shared" si="0"/>
        <v>362170189</v>
      </c>
      <c r="U15" s="36">
        <f t="shared" si="8"/>
        <v>0.26520898010208432</v>
      </c>
      <c r="V15" s="36">
        <f t="shared" si="9"/>
        <v>0.35072339400887842</v>
      </c>
      <c r="W15" s="36">
        <f t="shared" si="10"/>
        <v>0.15012072224309819</v>
      </c>
      <c r="X15" s="36">
        <f t="shared" si="11"/>
        <v>0.23394690364593906</v>
      </c>
      <c r="Y15" s="3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3">
        <v>497804744</v>
      </c>
      <c r="C16" s="62">
        <v>544795076</v>
      </c>
      <c r="D16" s="62">
        <v>271375371</v>
      </c>
      <c r="E16" s="62">
        <v>30139213</v>
      </c>
      <c r="F16" s="62">
        <v>16191566</v>
      </c>
      <c r="G16" s="62">
        <v>310162037</v>
      </c>
      <c r="H16" s="62">
        <v>11966513</v>
      </c>
      <c r="I16" s="62"/>
      <c r="J16" s="62"/>
      <c r="K16" s="62"/>
      <c r="L16" s="62"/>
      <c r="M16" s="62"/>
      <c r="N16" s="64">
        <f t="shared" si="4"/>
        <v>1682434520</v>
      </c>
      <c r="O16" s="33">
        <f>N16/'Macro dari HEESI'!O16</f>
        <v>490.84845124097598</v>
      </c>
      <c r="P16" s="33">
        <f>N16/'Macro dari HEESI'!P16</f>
        <v>159.17516335602554</v>
      </c>
      <c r="Q16" s="33">
        <f t="shared" si="5"/>
        <v>497804744</v>
      </c>
      <c r="R16" s="33">
        <f t="shared" si="6"/>
        <v>544795076</v>
      </c>
      <c r="S16" s="33">
        <f t="shared" si="7"/>
        <v>271375371</v>
      </c>
      <c r="T16" s="33">
        <f t="shared" si="0"/>
        <v>368459329</v>
      </c>
      <c r="U16" s="36">
        <f t="shared" si="8"/>
        <v>0.29588357709160651</v>
      </c>
      <c r="V16" s="36">
        <f t="shared" si="9"/>
        <v>0.32381353896614057</v>
      </c>
      <c r="W16" s="36">
        <f t="shared" si="10"/>
        <v>0.16129921716061793</v>
      </c>
      <c r="X16" s="36">
        <f t="shared" si="11"/>
        <v>0.21900366678163499</v>
      </c>
      <c r="Y16" s="35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25" x14ac:dyDescent="0.25">
      <c r="A17" s="36">
        <v>2015</v>
      </c>
      <c r="B17" s="62">
        <v>364619216</v>
      </c>
      <c r="C17" s="62">
        <v>607791169</v>
      </c>
      <c r="D17" s="62">
        <v>275465640</v>
      </c>
      <c r="E17" s="62">
        <v>35040466</v>
      </c>
      <c r="F17" s="62">
        <v>16337878</v>
      </c>
      <c r="G17" s="64">
        <f>B40</f>
        <v>313328055.71765685</v>
      </c>
      <c r="H17" s="62">
        <v>5938648</v>
      </c>
      <c r="I17" s="36"/>
      <c r="J17" s="36"/>
      <c r="K17" s="36"/>
      <c r="L17" s="36"/>
      <c r="M17" s="36"/>
      <c r="N17" s="64">
        <f t="shared" si="4"/>
        <v>1618521072.7176569</v>
      </c>
      <c r="O17" s="33">
        <f>N17/'Macro dari HEESI'!O17</f>
        <v>500.65704101299548</v>
      </c>
      <c r="P17" s="33">
        <f>N17/'Macro dari HEESI'!P17</f>
        <v>140.41942677846083</v>
      </c>
      <c r="Q17" s="33">
        <f t="shared" si="5"/>
        <v>364619216</v>
      </c>
      <c r="R17" s="33">
        <f t="shared" si="6"/>
        <v>607791169</v>
      </c>
      <c r="S17" s="33">
        <f t="shared" si="7"/>
        <v>275465640</v>
      </c>
      <c r="T17" s="33">
        <f t="shared" si="0"/>
        <v>370645047.71765685</v>
      </c>
      <c r="U17" s="36">
        <f t="shared" ref="U17:U20" si="19">Q17/$N17</f>
        <v>0.22527925162430434</v>
      </c>
      <c r="V17" s="36">
        <f t="shared" ref="V17:V20" si="20">R17/$N17</f>
        <v>0.37552255527909723</v>
      </c>
      <c r="W17" s="36">
        <f t="shared" ref="W17:W20" si="21">S17/$N17</f>
        <v>0.17019589342600647</v>
      </c>
      <c r="X17" s="36">
        <f t="shared" ref="X17:X20" si="22">T17/$N17</f>
        <v>0.22900229967059199</v>
      </c>
      <c r="Y17" s="35">
        <f t="shared" ref="Y17:Y20" si="23">SUM(U17:X17)</f>
        <v>1</v>
      </c>
    </row>
    <row r="18" spans="1:25" x14ac:dyDescent="0.25">
      <c r="A18" s="36">
        <v>2016</v>
      </c>
      <c r="B18" s="62">
        <v>380310000</v>
      </c>
      <c r="C18" s="62">
        <v>534207126</v>
      </c>
      <c r="D18" s="62">
        <v>277169757</v>
      </c>
      <c r="E18" s="62">
        <v>45452580</v>
      </c>
      <c r="F18" s="62">
        <v>17537710</v>
      </c>
      <c r="G18" s="64">
        <f t="shared" ref="G18:G20" si="24">B41</f>
        <v>316526391.97687203</v>
      </c>
      <c r="H18" s="62">
        <v>19516272</v>
      </c>
      <c r="I18" s="36"/>
      <c r="J18" s="36"/>
      <c r="K18" s="36"/>
      <c r="L18" s="36"/>
      <c r="M18" s="36"/>
      <c r="N18" s="64">
        <f t="shared" si="4"/>
        <v>1590719836.976872</v>
      </c>
      <c r="O18" s="33">
        <f>N18/'Macro dari HEESI'!O18</f>
        <v>467.85285511993624</v>
      </c>
      <c r="P18" s="33">
        <f>N18/'Macro dari HEESI'!P18</f>
        <v>128.21381585389335</v>
      </c>
      <c r="Q18" s="33">
        <f t="shared" si="5"/>
        <v>380310000</v>
      </c>
      <c r="R18" s="33">
        <f t="shared" si="6"/>
        <v>534207126</v>
      </c>
      <c r="S18" s="33">
        <f t="shared" si="7"/>
        <v>277169757</v>
      </c>
      <c r="T18" s="33">
        <f t="shared" si="0"/>
        <v>399032953.97687203</v>
      </c>
      <c r="U18" s="36">
        <f t="shared" si="19"/>
        <v>0.23908044091709499</v>
      </c>
      <c r="V18" s="36">
        <f t="shared" si="20"/>
        <v>0.33582728622737795</v>
      </c>
      <c r="W18" s="36">
        <f t="shared" si="21"/>
        <v>0.17424171784187656</v>
      </c>
      <c r="X18" s="36">
        <f t="shared" si="22"/>
        <v>0.25085055501365056</v>
      </c>
      <c r="Y18" s="35">
        <f t="shared" si="23"/>
        <v>1</v>
      </c>
    </row>
    <row r="19" spans="1:25" x14ac:dyDescent="0.25">
      <c r="A19" s="36">
        <v>2017</v>
      </c>
      <c r="B19" s="62">
        <v>407526000</v>
      </c>
      <c r="C19" s="62">
        <v>567528788</v>
      </c>
      <c r="D19" s="62">
        <v>275142227</v>
      </c>
      <c r="E19" s="62">
        <v>47599892</v>
      </c>
      <c r="F19" s="62">
        <v>20259621</v>
      </c>
      <c r="G19" s="64">
        <f t="shared" si="24"/>
        <v>319757375.66309011</v>
      </c>
      <c r="H19" s="62">
        <v>16682032</v>
      </c>
      <c r="I19" s="36"/>
      <c r="J19" s="36"/>
      <c r="K19" s="36"/>
      <c r="L19" s="36"/>
      <c r="M19" s="36"/>
      <c r="N19" s="64">
        <f t="shared" si="4"/>
        <v>1654495935.6630902</v>
      </c>
      <c r="O19" s="33">
        <f>N19/'Macro dari HEESI'!O19</f>
        <v>464.68542499787605</v>
      </c>
      <c r="P19" s="33">
        <f>N19/'Macro dari HEESI'!P19</f>
        <v>121.76860226325223</v>
      </c>
      <c r="Q19" s="33">
        <f t="shared" si="5"/>
        <v>407526000</v>
      </c>
      <c r="R19" s="33">
        <f t="shared" si="6"/>
        <v>567528788</v>
      </c>
      <c r="S19" s="33">
        <f t="shared" si="7"/>
        <v>275142227</v>
      </c>
      <c r="T19" s="33">
        <f t="shared" si="0"/>
        <v>404298920.66309011</v>
      </c>
      <c r="U19" s="36">
        <f t="shared" si="19"/>
        <v>0.24631429501618654</v>
      </c>
      <c r="V19" s="36">
        <f t="shared" si="20"/>
        <v>0.3430221711439535</v>
      </c>
      <c r="W19" s="36">
        <f t="shared" si="21"/>
        <v>0.16629972976617091</v>
      </c>
      <c r="X19" s="36">
        <f t="shared" si="22"/>
        <v>0.24436380407368899</v>
      </c>
      <c r="Y19" s="35">
        <f t="shared" si="23"/>
        <v>0.99999999999999989</v>
      </c>
    </row>
    <row r="20" spans="1:25" x14ac:dyDescent="0.25">
      <c r="A20" s="36">
        <v>2018</v>
      </c>
      <c r="B20" s="62">
        <v>483336000</v>
      </c>
      <c r="C20" s="62">
        <v>569024765</v>
      </c>
      <c r="D20" s="62">
        <v>288310815</v>
      </c>
      <c r="E20" s="62">
        <v>40204916</v>
      </c>
      <c r="F20" s="62">
        <v>26040932</v>
      </c>
      <c r="G20" s="64">
        <f t="shared" si="24"/>
        <v>323021340.02910364</v>
      </c>
      <c r="H20" s="62">
        <v>28381188</v>
      </c>
      <c r="I20" s="62">
        <v>359291</v>
      </c>
      <c r="J20" s="36">
        <v>466082</v>
      </c>
      <c r="K20" s="62">
        <v>29757578</v>
      </c>
      <c r="L20" s="62">
        <v>8795</v>
      </c>
      <c r="M20" s="62">
        <v>166718</v>
      </c>
      <c r="N20" s="64">
        <f t="shared" si="4"/>
        <v>1789078420.0291038</v>
      </c>
      <c r="O20" s="33">
        <f>N20/'Macro dari HEESI'!O20</f>
        <v>476.94064875350216</v>
      </c>
      <c r="P20" s="33">
        <f>N20/'Macro dari HEESI'!P20</f>
        <v>120.57932015985756</v>
      </c>
      <c r="Q20" s="33">
        <f t="shared" si="5"/>
        <v>483336000</v>
      </c>
      <c r="R20" s="33">
        <f t="shared" si="6"/>
        <v>569024765</v>
      </c>
      <c r="S20" s="33">
        <f t="shared" si="7"/>
        <v>288310815</v>
      </c>
      <c r="T20" s="33">
        <f t="shared" si="0"/>
        <v>448406840.02910364</v>
      </c>
      <c r="U20" s="36">
        <f t="shared" si="19"/>
        <v>0.27015920296670803</v>
      </c>
      <c r="V20" s="36">
        <f t="shared" si="20"/>
        <v>0.31805468034807743</v>
      </c>
      <c r="W20" s="36">
        <f t="shared" si="21"/>
        <v>0.16115046259141055</v>
      </c>
      <c r="X20" s="36">
        <f t="shared" si="22"/>
        <v>0.25063565409380389</v>
      </c>
      <c r="Y20" s="35">
        <f t="shared" si="23"/>
        <v>0.99999999999999978</v>
      </c>
    </row>
    <row r="21" spans="1:25" x14ac:dyDescent="0.25">
      <c r="A21" s="36">
        <v>2019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4" spans="1:25" ht="45" x14ac:dyDescent="0.25">
      <c r="B24" s="69" t="s">
        <v>178</v>
      </c>
      <c r="C24" s="20" t="s">
        <v>179</v>
      </c>
      <c r="D24" s="20" t="s">
        <v>180</v>
      </c>
      <c r="F24" s="20" t="s">
        <v>222</v>
      </c>
      <c r="G24" s="20" t="s">
        <v>241</v>
      </c>
      <c r="H24" s="76">
        <v>2132298</v>
      </c>
      <c r="I24" s="77" t="s">
        <v>212</v>
      </c>
      <c r="K24" s="2" t="s">
        <v>222</v>
      </c>
      <c r="L24" s="2" t="s">
        <v>224</v>
      </c>
    </row>
    <row r="25" spans="1:25" x14ac:dyDescent="0.25">
      <c r="A25" s="3">
        <v>2000</v>
      </c>
      <c r="B25" s="62">
        <v>269054110</v>
      </c>
      <c r="C25" s="3"/>
      <c r="D25" s="3"/>
      <c r="F25" s="3">
        <v>2000</v>
      </c>
      <c r="G25" s="3">
        <f>D2*$H$44</f>
        <v>955101.35158651904</v>
      </c>
      <c r="H25" s="76"/>
      <c r="I25" s="77"/>
      <c r="K25" s="3">
        <v>2000</v>
      </c>
      <c r="L25" s="4">
        <f>SUM(E2:M2)</f>
        <v>303899141</v>
      </c>
    </row>
    <row r="26" spans="1:25" x14ac:dyDescent="0.25">
      <c r="A26" s="3">
        <v>2001</v>
      </c>
      <c r="B26" s="62">
        <v>268970034</v>
      </c>
      <c r="C26" s="3"/>
      <c r="D26" s="3"/>
      <c r="F26" s="3">
        <v>2001</v>
      </c>
      <c r="G26" s="3">
        <f t="shared" ref="G26:G43" si="25">D3*$H$44</f>
        <v>998224.41556934861</v>
      </c>
      <c r="H26" s="76"/>
      <c r="I26" s="77"/>
      <c r="K26" s="3">
        <v>2001</v>
      </c>
      <c r="L26" s="4">
        <f t="shared" ref="L26:L43" si="26">SUM(E3:M3)</f>
        <v>308311581</v>
      </c>
    </row>
    <row r="27" spans="1:25" x14ac:dyDescent="0.25">
      <c r="A27" s="3">
        <v>2002</v>
      </c>
      <c r="B27" s="62">
        <v>270230078</v>
      </c>
      <c r="C27" s="3"/>
      <c r="D27" s="3"/>
      <c r="F27" s="3">
        <v>2002</v>
      </c>
      <c r="G27" s="3">
        <f t="shared" si="25"/>
        <v>1095320.5754394107</v>
      </c>
      <c r="H27" s="76"/>
      <c r="I27" s="77"/>
      <c r="K27" s="3">
        <v>2002</v>
      </c>
      <c r="L27" s="4">
        <f t="shared" si="26"/>
        <v>305516297</v>
      </c>
    </row>
    <row r="28" spans="1:25" x14ac:dyDescent="0.25">
      <c r="A28" s="3">
        <v>2003</v>
      </c>
      <c r="B28" s="62">
        <v>272005374</v>
      </c>
      <c r="C28" s="3"/>
      <c r="D28" s="3"/>
      <c r="F28" s="3">
        <v>2003</v>
      </c>
      <c r="G28" s="3">
        <f t="shared" si="25"/>
        <v>1184187.3310516851</v>
      </c>
      <c r="H28" s="76"/>
      <c r="I28" s="77"/>
      <c r="K28" s="3">
        <v>2003</v>
      </c>
      <c r="L28" s="4">
        <f t="shared" si="26"/>
        <v>305318112</v>
      </c>
    </row>
    <row r="29" spans="1:25" x14ac:dyDescent="0.25">
      <c r="A29" s="3">
        <v>2004</v>
      </c>
      <c r="B29" s="62">
        <v>271806233</v>
      </c>
      <c r="C29" s="3"/>
      <c r="D29" s="3"/>
      <c r="F29" s="3">
        <v>2004</v>
      </c>
      <c r="G29" s="3">
        <f t="shared" si="25"/>
        <v>1087962.0395614596</v>
      </c>
      <c r="H29" s="76"/>
      <c r="I29" s="77"/>
      <c r="K29" s="3">
        <v>2004</v>
      </c>
      <c r="L29" s="4">
        <f t="shared" si="26"/>
        <v>307268880</v>
      </c>
    </row>
    <row r="30" spans="1:25" x14ac:dyDescent="0.25">
      <c r="A30" s="3">
        <v>2005</v>
      </c>
      <c r="B30" s="62">
        <v>270042895</v>
      </c>
      <c r="C30" s="3"/>
      <c r="D30" s="3"/>
      <c r="F30" s="3">
        <v>2005</v>
      </c>
      <c r="G30" s="3">
        <f t="shared" si="25"/>
        <v>1109051.429897326</v>
      </c>
      <c r="H30" s="76"/>
      <c r="I30" s="77"/>
      <c r="K30" s="3">
        <v>2005</v>
      </c>
      <c r="L30" s="4">
        <f t="shared" si="26"/>
        <v>307988196</v>
      </c>
    </row>
    <row r="31" spans="1:25" x14ac:dyDescent="0.25">
      <c r="A31" s="3">
        <v>2006</v>
      </c>
      <c r="B31" s="62">
        <v>276335944</v>
      </c>
      <c r="C31" s="3"/>
      <c r="D31" s="3"/>
      <c r="F31" s="3">
        <v>2006</v>
      </c>
      <c r="G31" s="3">
        <f t="shared" si="25"/>
        <v>1140433.8186669762</v>
      </c>
      <c r="H31" s="76"/>
      <c r="I31" s="77"/>
      <c r="K31" s="3">
        <v>2006</v>
      </c>
      <c r="L31" s="4">
        <f t="shared" si="26"/>
        <v>311775482</v>
      </c>
    </row>
    <row r="32" spans="1:25" x14ac:dyDescent="0.25">
      <c r="A32" s="3">
        <v>2007</v>
      </c>
      <c r="B32" s="62">
        <v>275199938</v>
      </c>
      <c r="C32" s="3"/>
      <c r="D32" s="3"/>
      <c r="F32" s="3">
        <v>2007</v>
      </c>
      <c r="G32" s="3">
        <f t="shared" si="25"/>
        <v>1065164.0814432392</v>
      </c>
      <c r="H32" s="76"/>
      <c r="I32" s="77"/>
      <c r="K32" s="3">
        <v>2007</v>
      </c>
      <c r="L32" s="4">
        <f t="shared" si="26"/>
        <v>315108704</v>
      </c>
    </row>
    <row r="33" spans="1:12" x14ac:dyDescent="0.25">
      <c r="A33" s="3">
        <v>2008</v>
      </c>
      <c r="B33" s="62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25"/>
        <v>1369276.4429491272</v>
      </c>
      <c r="H33" s="76"/>
      <c r="I33" s="77"/>
      <c r="K33" s="3">
        <v>2008</v>
      </c>
      <c r="L33" s="4">
        <f t="shared" si="26"/>
        <v>320525851</v>
      </c>
    </row>
    <row r="34" spans="1:12" x14ac:dyDescent="0.25">
      <c r="A34" s="3">
        <v>2009</v>
      </c>
      <c r="B34" s="62">
        <v>279313257</v>
      </c>
      <c r="C34" s="4">
        <v>109029170</v>
      </c>
      <c r="D34" s="3">
        <f t="shared" ref="D34:D39" si="27">C34/B34</f>
        <v>0.39034727950632148</v>
      </c>
      <c r="F34" s="3">
        <v>2009</v>
      </c>
      <c r="G34" s="3">
        <f t="shared" si="25"/>
        <v>1456205.4063460759</v>
      </c>
      <c r="H34" s="76"/>
      <c r="I34" s="77"/>
      <c r="K34" s="3">
        <v>2009</v>
      </c>
      <c r="L34" s="4">
        <f t="shared" si="26"/>
        <v>323721303</v>
      </c>
    </row>
    <row r="35" spans="1:12" x14ac:dyDescent="0.25">
      <c r="A35" s="3">
        <v>2010</v>
      </c>
      <c r="B35" s="62">
        <v>273670429</v>
      </c>
      <c r="C35" s="4">
        <v>107822916</v>
      </c>
      <c r="D35" s="3">
        <f t="shared" si="27"/>
        <v>0.39398818642550526</v>
      </c>
      <c r="F35" s="3">
        <v>2010</v>
      </c>
      <c r="G35" s="3">
        <f t="shared" si="25"/>
        <v>1565880.7645455075</v>
      </c>
      <c r="H35" s="76"/>
      <c r="I35" s="77"/>
      <c r="K35" s="3">
        <v>2010</v>
      </c>
      <c r="L35" s="4">
        <f t="shared" si="26"/>
        <v>334335363</v>
      </c>
    </row>
    <row r="36" spans="1:12" x14ac:dyDescent="0.25">
      <c r="A36" s="3">
        <v>2011</v>
      </c>
      <c r="B36" s="62">
        <v>283140897</v>
      </c>
      <c r="C36" s="4">
        <v>105354823</v>
      </c>
      <c r="D36" s="3">
        <f t="shared" si="27"/>
        <v>0.37209327270019915</v>
      </c>
      <c r="F36" s="3">
        <v>2011</v>
      </c>
      <c r="G36" s="3">
        <f t="shared" si="25"/>
        <v>1518117.8258599688</v>
      </c>
      <c r="H36" s="76"/>
      <c r="I36" s="77"/>
      <c r="K36" s="3">
        <v>2011</v>
      </c>
      <c r="L36" s="4">
        <f t="shared" si="26"/>
        <v>331857894</v>
      </c>
    </row>
    <row r="37" spans="1:12" x14ac:dyDescent="0.25">
      <c r="A37" s="3">
        <v>2012</v>
      </c>
      <c r="B37" s="62">
        <v>300838657</v>
      </c>
      <c r="C37" s="4">
        <v>99383737</v>
      </c>
      <c r="D37" s="3">
        <f t="shared" si="27"/>
        <v>0.33035560652698964</v>
      </c>
      <c r="F37" s="3">
        <v>2012</v>
      </c>
      <c r="G37" s="3">
        <f t="shared" si="25"/>
        <v>1505054.8987760313</v>
      </c>
      <c r="H37" s="76"/>
      <c r="I37" s="77"/>
      <c r="K37" s="3">
        <v>2012</v>
      </c>
      <c r="L37" s="4">
        <f t="shared" si="26"/>
        <v>352534164</v>
      </c>
    </row>
    <row r="38" spans="1:12" x14ac:dyDescent="0.25">
      <c r="A38" s="3">
        <v>2013</v>
      </c>
      <c r="B38" s="62">
        <v>306232741</v>
      </c>
      <c r="C38" s="4">
        <v>95374094</v>
      </c>
      <c r="D38" s="3">
        <f t="shared" si="27"/>
        <v>0.3114431647267919</v>
      </c>
      <c r="F38" s="3">
        <v>2013</v>
      </c>
      <c r="G38" s="3">
        <f t="shared" si="25"/>
        <v>1348105.7891989097</v>
      </c>
      <c r="H38" s="76"/>
      <c r="I38" s="77"/>
      <c r="K38" s="3">
        <v>2013</v>
      </c>
      <c r="L38" s="4">
        <f t="shared" si="26"/>
        <v>362170189</v>
      </c>
    </row>
    <row r="39" spans="1:12" x14ac:dyDescent="0.25">
      <c r="A39" s="3">
        <v>2014</v>
      </c>
      <c r="B39" s="62">
        <v>310162037</v>
      </c>
      <c r="C39" s="4">
        <v>92873723</v>
      </c>
      <c r="D39" s="3">
        <f t="shared" si="27"/>
        <v>0.29943613956855719</v>
      </c>
      <c r="E39">
        <f>(D39/D33)^(1/6)-1</f>
        <v>-5.1184976955164219E-2</v>
      </c>
      <c r="F39" s="3">
        <v>2014</v>
      </c>
      <c r="G39" s="3">
        <f t="shared" si="25"/>
        <v>1574194.3906259066</v>
      </c>
      <c r="H39" s="76"/>
      <c r="I39" s="77"/>
      <c r="K39" s="3">
        <v>2014</v>
      </c>
      <c r="L39" s="4">
        <f t="shared" si="26"/>
        <v>368459329</v>
      </c>
    </row>
    <row r="40" spans="1:12" x14ac:dyDescent="0.25">
      <c r="A40" s="3">
        <v>2015</v>
      </c>
      <c r="B40" s="64">
        <f>B39*(1+$E$40)</f>
        <v>313328055.71765685</v>
      </c>
      <c r="C40" s="62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25"/>
        <v>1597921.2251290679</v>
      </c>
      <c r="H40" s="76"/>
      <c r="I40" s="77"/>
      <c r="K40" s="3">
        <v>2015</v>
      </c>
      <c r="L40" s="4">
        <f t="shared" si="26"/>
        <v>370645047.71765685</v>
      </c>
    </row>
    <row r="41" spans="1:12" x14ac:dyDescent="0.25">
      <c r="A41" s="3">
        <v>2016</v>
      </c>
      <c r="B41" s="64">
        <f t="shared" ref="B41:B43" si="28">B40*(1+$E$40)</f>
        <v>316526391.97687203</v>
      </c>
      <c r="C41" s="62">
        <v>79987014</v>
      </c>
      <c r="D41" s="3">
        <f t="shared" ref="D41:D43" si="29">D40*(1+$E$39)</f>
        <v>0.26956736906261108</v>
      </c>
      <c r="F41" s="3">
        <v>2016</v>
      </c>
      <c r="G41" s="3">
        <f t="shared" si="25"/>
        <v>1607806.4678925693</v>
      </c>
      <c r="H41" s="76"/>
      <c r="I41" s="77"/>
      <c r="K41" s="3">
        <v>2016</v>
      </c>
      <c r="L41" s="4">
        <f t="shared" si="26"/>
        <v>399032953.97687203</v>
      </c>
    </row>
    <row r="42" spans="1:12" x14ac:dyDescent="0.25">
      <c r="A42" s="3">
        <v>2017</v>
      </c>
      <c r="B42" s="64">
        <f t="shared" si="28"/>
        <v>319757375.66309011</v>
      </c>
      <c r="C42" s="62">
        <v>75001916</v>
      </c>
      <c r="D42" s="3">
        <f t="shared" si="29"/>
        <v>0.25576956948927709</v>
      </c>
      <c r="F42" s="3">
        <v>2017</v>
      </c>
      <c r="G42" s="3">
        <f t="shared" si="25"/>
        <v>1596045.1708335751</v>
      </c>
      <c r="H42" s="76"/>
      <c r="I42" s="77"/>
      <c r="K42" s="3">
        <v>2017</v>
      </c>
      <c r="L42" s="4">
        <f t="shared" si="26"/>
        <v>404298920.66309011</v>
      </c>
    </row>
    <row r="43" spans="1:12" x14ac:dyDescent="0.25">
      <c r="A43" s="3">
        <v>2018</v>
      </c>
      <c r="B43" s="64">
        <f t="shared" si="28"/>
        <v>323021340.02910364</v>
      </c>
      <c r="C43" s="62">
        <v>67750663</v>
      </c>
      <c r="D43" s="3">
        <f t="shared" si="29"/>
        <v>0.24267800996913616</v>
      </c>
      <c r="F43" s="3">
        <v>2018</v>
      </c>
      <c r="G43" s="3">
        <f t="shared" si="25"/>
        <v>1672433.5228261501</v>
      </c>
      <c r="H43" s="76"/>
      <c r="I43" s="77"/>
      <c r="K43" s="3">
        <v>2018</v>
      </c>
      <c r="L43" s="4">
        <f t="shared" si="26"/>
        <v>448406840.02910364</v>
      </c>
    </row>
    <row r="44" spans="1:12" x14ac:dyDescent="0.25">
      <c r="H44">
        <f>1/172.39</f>
        <v>5.8008005104704455E-3</v>
      </c>
      <c r="I44" t="s">
        <v>240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7" sqref="Q17"/>
    </sheetView>
  </sheetViews>
  <sheetFormatPr defaultRowHeight="15" x14ac:dyDescent="0.25"/>
  <cols>
    <col min="2" max="3" width="11.140625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4.42578125" bestFit="1" customWidth="1"/>
    <col min="10" max="10" width="17" bestFit="1" customWidth="1"/>
    <col min="11" max="11" width="15.28515625" bestFit="1" customWidth="1"/>
    <col min="12" max="12" width="15.28515625" customWidth="1"/>
    <col min="16" max="16" width="12.7109375" bestFit="1" customWidth="1"/>
  </cols>
  <sheetData>
    <row r="1" spans="1:18" x14ac:dyDescent="0.25">
      <c r="B1" s="78" t="s">
        <v>184</v>
      </c>
      <c r="C1" s="78"/>
      <c r="D1" s="78"/>
      <c r="E1" s="47" t="s">
        <v>185</v>
      </c>
      <c r="F1" s="47">
        <v>4.79</v>
      </c>
      <c r="G1" s="47" t="s">
        <v>186</v>
      </c>
      <c r="H1" s="81" t="s">
        <v>187</v>
      </c>
      <c r="I1" s="81"/>
      <c r="J1" s="81"/>
      <c r="K1" s="81"/>
      <c r="L1" s="81"/>
      <c r="M1" s="79" t="s">
        <v>188</v>
      </c>
      <c r="N1" s="80"/>
      <c r="O1" s="80"/>
      <c r="P1" s="80"/>
      <c r="Q1" s="80"/>
    </row>
    <row r="2" spans="1:18" x14ac:dyDescent="0.25">
      <c r="B2" s="48" t="s">
        <v>181</v>
      </c>
      <c r="C2" s="48" t="s">
        <v>182</v>
      </c>
      <c r="D2" s="48" t="s">
        <v>183</v>
      </c>
      <c r="E2" s="47" t="s">
        <v>181</v>
      </c>
      <c r="F2" s="47" t="s">
        <v>182</v>
      </c>
      <c r="G2" s="47" t="s">
        <v>183</v>
      </c>
      <c r="H2" s="46" t="s">
        <v>181</v>
      </c>
      <c r="I2" s="46" t="s">
        <v>183</v>
      </c>
      <c r="J2" s="46" t="s">
        <v>182</v>
      </c>
      <c r="K2" s="46" t="s">
        <v>121</v>
      </c>
      <c r="L2" s="46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9">
        <v>77040185</v>
      </c>
      <c r="C3" s="49">
        <v>58460492</v>
      </c>
      <c r="D3" s="49">
        <v>140116</v>
      </c>
      <c r="E3" s="50">
        <f t="shared" ref="E3:E21" si="0">B3*$F$1</f>
        <v>369022486.14999998</v>
      </c>
      <c r="F3" s="50">
        <f t="shared" ref="F3:F21" si="1">C3*$F$1</f>
        <v>280025756.68000001</v>
      </c>
      <c r="G3" s="50">
        <f t="shared" ref="G3:G21" si="2">D3*$F$1</f>
        <v>671155.64</v>
      </c>
      <c r="H3" s="46"/>
      <c r="I3" s="46"/>
      <c r="J3" s="46"/>
      <c r="K3" s="46"/>
      <c r="L3" s="46"/>
      <c r="M3" s="1"/>
      <c r="N3" s="45"/>
    </row>
    <row r="4" spans="1:18" x14ac:dyDescent="0.25">
      <c r="A4">
        <v>2001</v>
      </c>
      <c r="B4" s="49">
        <v>92540460</v>
      </c>
      <c r="C4" s="49">
        <v>65281086</v>
      </c>
      <c r="D4" s="49">
        <v>30466</v>
      </c>
      <c r="E4" s="50">
        <f t="shared" si="0"/>
        <v>443268803.39999998</v>
      </c>
      <c r="F4" s="50">
        <f t="shared" si="1"/>
        <v>312696401.94</v>
      </c>
      <c r="G4" s="50">
        <f t="shared" si="2"/>
        <v>145932.14000000001</v>
      </c>
      <c r="H4" s="46"/>
      <c r="I4" s="46"/>
      <c r="J4" s="46"/>
      <c r="K4" s="46"/>
      <c r="L4" s="46"/>
      <c r="N4" s="1"/>
      <c r="O4" s="45"/>
    </row>
    <row r="5" spans="1:18" x14ac:dyDescent="0.25">
      <c r="A5">
        <v>2002</v>
      </c>
      <c r="B5" s="49">
        <v>103329093</v>
      </c>
      <c r="C5" s="49">
        <v>74177926</v>
      </c>
      <c r="D5" s="49">
        <v>20026</v>
      </c>
      <c r="E5" s="50">
        <f t="shared" si="0"/>
        <v>494946355.47000003</v>
      </c>
      <c r="F5" s="50">
        <f t="shared" si="1"/>
        <v>355312265.54000002</v>
      </c>
      <c r="G5" s="50">
        <f t="shared" si="2"/>
        <v>95924.54</v>
      </c>
      <c r="H5" s="46"/>
      <c r="I5" s="46"/>
      <c r="J5" s="46"/>
      <c r="K5" s="46"/>
      <c r="L5" s="46"/>
    </row>
    <row r="6" spans="1:18" x14ac:dyDescent="0.25">
      <c r="A6">
        <v>2003</v>
      </c>
      <c r="B6" s="49">
        <v>114278000</v>
      </c>
      <c r="C6" s="49">
        <v>85680621</v>
      </c>
      <c r="D6" s="49">
        <v>38228</v>
      </c>
      <c r="E6" s="50">
        <f t="shared" si="0"/>
        <v>547391620</v>
      </c>
      <c r="F6" s="50">
        <f t="shared" si="1"/>
        <v>410410174.58999997</v>
      </c>
      <c r="G6" s="50">
        <f t="shared" si="2"/>
        <v>183112.12</v>
      </c>
      <c r="H6" s="46"/>
      <c r="I6" s="46"/>
      <c r="J6" s="46"/>
      <c r="K6" s="46"/>
      <c r="L6" s="46"/>
    </row>
    <row r="7" spans="1:18" x14ac:dyDescent="0.25">
      <c r="A7">
        <v>2004</v>
      </c>
      <c r="B7" s="49">
        <v>132352025</v>
      </c>
      <c r="C7" s="49">
        <v>93758806</v>
      </c>
      <c r="D7" s="49">
        <v>97183</v>
      </c>
      <c r="E7" s="50">
        <f t="shared" si="0"/>
        <v>633966199.75</v>
      </c>
      <c r="F7" s="50">
        <f t="shared" si="1"/>
        <v>449104680.74000001</v>
      </c>
      <c r="G7" s="50">
        <f t="shared" si="2"/>
        <v>465506.57</v>
      </c>
      <c r="H7" s="46"/>
      <c r="I7" s="46"/>
      <c r="J7" s="46"/>
      <c r="K7" s="46"/>
      <c r="L7" s="46"/>
    </row>
    <row r="8" spans="1:18" x14ac:dyDescent="0.25">
      <c r="A8">
        <v>2005</v>
      </c>
      <c r="B8" s="49">
        <v>152722438</v>
      </c>
      <c r="C8" s="49">
        <v>110789700</v>
      </c>
      <c r="D8" s="49">
        <v>98179</v>
      </c>
      <c r="E8" s="50">
        <f t="shared" si="0"/>
        <v>731540478.01999998</v>
      </c>
      <c r="F8" s="50">
        <f t="shared" si="1"/>
        <v>530682663</v>
      </c>
      <c r="G8" s="50">
        <f t="shared" si="2"/>
        <v>470277.41000000003</v>
      </c>
      <c r="H8" s="46"/>
      <c r="I8" s="46"/>
      <c r="J8" s="46"/>
      <c r="K8" s="46"/>
      <c r="L8" s="46"/>
    </row>
    <row r="9" spans="1:18" x14ac:dyDescent="0.25">
      <c r="A9">
        <v>2006</v>
      </c>
      <c r="B9" s="49">
        <v>193761311</v>
      </c>
      <c r="C9" s="49">
        <v>143632865</v>
      </c>
      <c r="D9" s="49">
        <v>110683</v>
      </c>
      <c r="E9" s="50">
        <f t="shared" si="0"/>
        <v>928116679.69000006</v>
      </c>
      <c r="F9" s="50">
        <f t="shared" si="1"/>
        <v>688001423.35000002</v>
      </c>
      <c r="G9" s="50">
        <f t="shared" si="2"/>
        <v>530171.56999999995</v>
      </c>
      <c r="H9" s="46"/>
      <c r="I9" s="46"/>
      <c r="J9" s="46"/>
      <c r="K9" s="46"/>
      <c r="L9" s="46"/>
    </row>
    <row r="10" spans="1:18" x14ac:dyDescent="0.25">
      <c r="A10">
        <v>2007</v>
      </c>
      <c r="B10" s="49">
        <v>216946699</v>
      </c>
      <c r="C10" s="49">
        <v>163000000</v>
      </c>
      <c r="D10" s="49">
        <v>67534</v>
      </c>
      <c r="E10" s="50">
        <f t="shared" si="0"/>
        <v>1039174688.21</v>
      </c>
      <c r="F10" s="50">
        <f t="shared" si="1"/>
        <v>780770000</v>
      </c>
      <c r="G10" s="50">
        <f t="shared" si="2"/>
        <v>323487.86</v>
      </c>
      <c r="H10" s="46"/>
      <c r="I10" s="46"/>
      <c r="J10" s="46"/>
      <c r="K10" s="46"/>
      <c r="L10" s="46"/>
    </row>
    <row r="11" spans="1:18" x14ac:dyDescent="0.25">
      <c r="A11">
        <v>2008</v>
      </c>
      <c r="B11" s="49">
        <v>240249968</v>
      </c>
      <c r="C11" s="49">
        <v>191430218</v>
      </c>
      <c r="D11" s="49">
        <v>106931</v>
      </c>
      <c r="E11" s="50">
        <f t="shared" si="0"/>
        <v>1150797346.72</v>
      </c>
      <c r="F11" s="50">
        <f t="shared" si="1"/>
        <v>916950744.22000003</v>
      </c>
      <c r="G11" s="50">
        <f t="shared" si="2"/>
        <v>512199.49</v>
      </c>
      <c r="H11" s="46"/>
      <c r="I11" s="46"/>
      <c r="J11" s="46"/>
      <c r="K11" s="46"/>
      <c r="L11" s="46"/>
    </row>
    <row r="12" spans="1:18" x14ac:dyDescent="0.25">
      <c r="A12">
        <v>2009</v>
      </c>
      <c r="B12" s="49">
        <v>256181000</v>
      </c>
      <c r="C12" s="49">
        <v>198366000</v>
      </c>
      <c r="D12" s="49">
        <v>68804</v>
      </c>
      <c r="E12" s="50">
        <f t="shared" si="0"/>
        <v>1227106990</v>
      </c>
      <c r="F12" s="50">
        <f t="shared" si="1"/>
        <v>950173140</v>
      </c>
      <c r="G12" s="50">
        <f t="shared" si="2"/>
        <v>329571.15999999997</v>
      </c>
      <c r="H12" s="46"/>
      <c r="I12" s="46"/>
      <c r="J12" s="46"/>
      <c r="K12" s="46"/>
      <c r="L12" s="46"/>
    </row>
    <row r="13" spans="1:18" x14ac:dyDescent="0.25">
      <c r="A13">
        <v>2010</v>
      </c>
      <c r="B13" s="49">
        <v>275164196</v>
      </c>
      <c r="C13" s="49">
        <v>208000000</v>
      </c>
      <c r="D13" s="49">
        <v>55230</v>
      </c>
      <c r="E13" s="50">
        <f t="shared" si="0"/>
        <v>1318036498.8399999</v>
      </c>
      <c r="F13" s="50">
        <f t="shared" si="1"/>
        <v>996320000</v>
      </c>
      <c r="G13" s="50">
        <f t="shared" si="2"/>
        <v>264551.7</v>
      </c>
      <c r="H13" s="46"/>
      <c r="I13" s="46"/>
      <c r="J13" s="46"/>
      <c r="K13" s="46"/>
      <c r="L13" s="46"/>
    </row>
    <row r="14" spans="1:18" x14ac:dyDescent="0.25">
      <c r="A14">
        <v>2011</v>
      </c>
      <c r="B14" s="49">
        <v>353270937</v>
      </c>
      <c r="C14" s="49">
        <v>272671351</v>
      </c>
      <c r="D14" s="49">
        <v>42449</v>
      </c>
      <c r="E14" s="50">
        <f t="shared" si="0"/>
        <v>1692167788.23</v>
      </c>
      <c r="F14" s="50">
        <f t="shared" si="1"/>
        <v>1306095771.29</v>
      </c>
      <c r="G14" s="50">
        <f t="shared" si="2"/>
        <v>203330.71</v>
      </c>
      <c r="H14" s="46"/>
      <c r="I14" s="46"/>
      <c r="J14" s="46"/>
      <c r="K14" s="46"/>
      <c r="L14" s="46"/>
    </row>
    <row r="15" spans="1:18" x14ac:dyDescent="0.25">
      <c r="A15">
        <v>2012</v>
      </c>
      <c r="B15" s="49">
        <v>386077357</v>
      </c>
      <c r="C15" s="49">
        <v>304051216</v>
      </c>
      <c r="D15" s="49">
        <v>77786</v>
      </c>
      <c r="E15" s="50">
        <f t="shared" si="0"/>
        <v>1849310540.03</v>
      </c>
      <c r="F15" s="50">
        <f t="shared" si="1"/>
        <v>1456405324.6400001</v>
      </c>
      <c r="G15" s="50">
        <f t="shared" si="2"/>
        <v>372594.94</v>
      </c>
      <c r="H15" s="46"/>
      <c r="I15" s="46"/>
      <c r="J15" s="46"/>
      <c r="K15" s="46"/>
      <c r="L15" s="46"/>
    </row>
    <row r="16" spans="1:18" x14ac:dyDescent="0.25">
      <c r="A16">
        <v>2013</v>
      </c>
      <c r="B16" s="49">
        <v>474371369</v>
      </c>
      <c r="C16" s="49">
        <v>356357973</v>
      </c>
      <c r="D16" s="49">
        <v>609875</v>
      </c>
      <c r="E16" s="50">
        <f t="shared" si="0"/>
        <v>2272238857.5100002</v>
      </c>
      <c r="F16" s="50">
        <f t="shared" si="1"/>
        <v>1706954690.6700001</v>
      </c>
      <c r="G16" s="50">
        <f t="shared" si="2"/>
        <v>2921301.25</v>
      </c>
      <c r="H16" s="46"/>
      <c r="I16" s="46"/>
      <c r="J16" s="46"/>
      <c r="K16" s="46"/>
      <c r="L16" s="46"/>
    </row>
    <row r="17" spans="1:18" x14ac:dyDescent="0.25">
      <c r="A17" s="28">
        <v>2014</v>
      </c>
      <c r="B17" s="49">
        <v>458096707</v>
      </c>
      <c r="C17" s="49">
        <v>381972830</v>
      </c>
      <c r="D17" s="49">
        <v>2442319</v>
      </c>
      <c r="E17" s="50">
        <f t="shared" si="0"/>
        <v>2194283226.5300002</v>
      </c>
      <c r="F17" s="50">
        <f t="shared" si="1"/>
        <v>1829649855.7</v>
      </c>
      <c r="G17" s="50">
        <f t="shared" si="2"/>
        <v>11698708.01</v>
      </c>
      <c r="H17" s="51">
        <f>M17*1000</f>
        <v>1924006000</v>
      </c>
      <c r="I17" s="51">
        <f t="shared" ref="I17:K17" si="3">N17*1000</f>
        <v>10662000</v>
      </c>
      <c r="J17" s="51">
        <f t="shared" si="3"/>
        <v>1604286000</v>
      </c>
      <c r="K17" s="51">
        <f t="shared" si="3"/>
        <v>167423000</v>
      </c>
      <c r="L17" s="54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3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9">
        <v>461566080</v>
      </c>
      <c r="C18" s="49">
        <v>365849610</v>
      </c>
      <c r="D18" s="49">
        <v>3007934</v>
      </c>
      <c r="E18" s="50">
        <f t="shared" si="0"/>
        <v>2210901523.1999998</v>
      </c>
      <c r="F18" s="50">
        <f t="shared" si="1"/>
        <v>1752419631.9000001</v>
      </c>
      <c r="G18" s="50">
        <f t="shared" si="2"/>
        <v>14408003.859999999</v>
      </c>
      <c r="H18" s="46"/>
      <c r="I18" s="46"/>
      <c r="J18" s="46"/>
      <c r="K18" s="46"/>
      <c r="L18" s="46"/>
    </row>
    <row r="19" spans="1:18" x14ac:dyDescent="0.25">
      <c r="A19">
        <v>2016</v>
      </c>
      <c r="B19" s="49">
        <v>456197775</v>
      </c>
      <c r="C19" s="49">
        <v>331128438</v>
      </c>
      <c r="D19" s="49">
        <v>3898932</v>
      </c>
      <c r="E19" s="50">
        <f t="shared" si="0"/>
        <v>2185187342.25</v>
      </c>
      <c r="F19" s="50">
        <f t="shared" si="1"/>
        <v>1586105218.02</v>
      </c>
      <c r="G19" s="50">
        <f t="shared" si="2"/>
        <v>18675884.280000001</v>
      </c>
      <c r="H19" s="46"/>
      <c r="I19" s="46"/>
      <c r="J19" s="46"/>
      <c r="K19" s="46"/>
      <c r="L19" s="46"/>
    </row>
    <row r="20" spans="1:18" x14ac:dyDescent="0.25">
      <c r="A20">
        <v>2017</v>
      </c>
      <c r="B20" s="49">
        <v>461248184</v>
      </c>
      <c r="C20" s="49">
        <v>297741135</v>
      </c>
      <c r="D20" s="49">
        <v>4532308</v>
      </c>
      <c r="E20" s="50">
        <f t="shared" si="0"/>
        <v>2209378801.3600001</v>
      </c>
      <c r="F20" s="50">
        <f t="shared" si="1"/>
        <v>1426180036.6500001</v>
      </c>
      <c r="G20" s="50">
        <f t="shared" si="2"/>
        <v>21709755.32</v>
      </c>
      <c r="H20" s="46"/>
      <c r="I20" s="46"/>
      <c r="J20" s="46"/>
      <c r="K20" s="46"/>
      <c r="L20" s="46"/>
    </row>
    <row r="21" spans="1:18" x14ac:dyDescent="0.25">
      <c r="A21">
        <v>2018</v>
      </c>
      <c r="B21" s="49">
        <v>557772940</v>
      </c>
      <c r="C21" s="49">
        <v>356394687</v>
      </c>
      <c r="D21" s="49">
        <v>5468706</v>
      </c>
      <c r="E21" s="50">
        <f t="shared" si="0"/>
        <v>2671732382.5999999</v>
      </c>
      <c r="F21" s="50">
        <f t="shared" si="1"/>
        <v>1707130550.73</v>
      </c>
      <c r="G21" s="50">
        <f t="shared" si="2"/>
        <v>26195101.739999998</v>
      </c>
      <c r="H21" s="46"/>
      <c r="I21" s="46"/>
      <c r="J21" s="46"/>
      <c r="K21" s="46"/>
      <c r="L21" s="46"/>
    </row>
    <row r="22" spans="1:18" x14ac:dyDescent="0.25">
      <c r="A22">
        <v>2019</v>
      </c>
    </row>
    <row r="23" spans="1:18" x14ac:dyDescent="0.25">
      <c r="A23">
        <v>2020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J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:I21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7.5703125" bestFit="1" customWidth="1"/>
    <col min="6" max="6" width="13.5703125" bestFit="1" customWidth="1"/>
    <col min="8" max="10" width="10" bestFit="1" customWidth="1"/>
  </cols>
  <sheetData>
    <row r="1" spans="1:10" x14ac:dyDescent="0.25">
      <c r="B1" s="3" t="s">
        <v>197</v>
      </c>
      <c r="C1" s="3" t="s">
        <v>122</v>
      </c>
      <c r="D1" s="3" t="s">
        <v>123</v>
      </c>
      <c r="E1" s="3" t="s">
        <v>198</v>
      </c>
      <c r="F1" s="3"/>
      <c r="H1" s="3" t="s">
        <v>197</v>
      </c>
      <c r="I1" s="3" t="s">
        <v>122</v>
      </c>
      <c r="J1" s="3" t="s">
        <v>123</v>
      </c>
    </row>
    <row r="2" spans="1:10" x14ac:dyDescent="0.25">
      <c r="B2" s="82" t="s">
        <v>199</v>
      </c>
      <c r="C2" s="82"/>
      <c r="D2" s="82"/>
      <c r="E2" s="82"/>
      <c r="F2" s="56" t="s">
        <v>200</v>
      </c>
      <c r="H2" s="82" t="s">
        <v>201</v>
      </c>
      <c r="I2" s="82"/>
      <c r="J2" s="82"/>
    </row>
    <row r="3" spans="1:10" x14ac:dyDescent="0.25">
      <c r="A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H3" s="3">
        <f>B3*1000</f>
        <v>517489000</v>
      </c>
      <c r="I3" s="3">
        <f t="shared" ref="I3:J3" si="0">C3*1000</f>
        <v>223500000</v>
      </c>
      <c r="J3" s="3">
        <f t="shared" si="0"/>
        <v>78615000</v>
      </c>
    </row>
    <row r="4" spans="1:10" x14ac:dyDescent="0.25">
      <c r="A4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H4" s="3">
        <f t="shared" ref="H4:H17" si="1">B4*1000</f>
        <v>489306000</v>
      </c>
      <c r="I4" s="3">
        <f t="shared" ref="I4:I17" si="2">C4*1000</f>
        <v>241612000</v>
      </c>
      <c r="J4" s="3">
        <f t="shared" ref="J4:J17" si="3">D4*1000</f>
        <v>117168000</v>
      </c>
    </row>
    <row r="5" spans="1:10" x14ac:dyDescent="0.25">
      <c r="A5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H5" s="3">
        <f t="shared" si="1"/>
        <v>456026000</v>
      </c>
      <c r="I5" s="3">
        <f t="shared" si="2"/>
        <v>218115000</v>
      </c>
      <c r="J5" s="3">
        <f t="shared" si="3"/>
        <v>124148000</v>
      </c>
    </row>
    <row r="6" spans="1:10" x14ac:dyDescent="0.25">
      <c r="A6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H6" s="3">
        <f t="shared" si="1"/>
        <v>419255000</v>
      </c>
      <c r="I6" s="3">
        <f t="shared" si="2"/>
        <v>189095000</v>
      </c>
      <c r="J6" s="3">
        <f t="shared" si="3"/>
        <v>137127000</v>
      </c>
    </row>
    <row r="7" spans="1:10" x14ac:dyDescent="0.25">
      <c r="A7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H7" s="3">
        <f t="shared" si="1"/>
        <v>400554000</v>
      </c>
      <c r="I7" s="3">
        <f t="shared" si="2"/>
        <v>178869000</v>
      </c>
      <c r="J7" s="3">
        <f t="shared" si="3"/>
        <v>148490000</v>
      </c>
    </row>
    <row r="8" spans="1:10" x14ac:dyDescent="0.25">
      <c r="A8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H8" s="3">
        <f t="shared" si="1"/>
        <v>386483000</v>
      </c>
      <c r="I8" s="3">
        <f t="shared" si="2"/>
        <v>159703000</v>
      </c>
      <c r="J8" s="3">
        <f t="shared" si="3"/>
        <v>164007000</v>
      </c>
    </row>
    <row r="9" spans="1:10" x14ac:dyDescent="0.25">
      <c r="A9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H9" s="3">
        <f t="shared" si="1"/>
        <v>367049000</v>
      </c>
      <c r="I9" s="3">
        <f t="shared" si="2"/>
        <v>134960000</v>
      </c>
      <c r="J9" s="3">
        <f t="shared" si="3"/>
        <v>116232000</v>
      </c>
    </row>
    <row r="10" spans="1:10" x14ac:dyDescent="0.25">
      <c r="A10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H10" s="3">
        <f t="shared" si="1"/>
        <v>348348000</v>
      </c>
      <c r="I10" s="3">
        <f t="shared" si="2"/>
        <v>135267000</v>
      </c>
      <c r="J10" s="3">
        <f t="shared" si="3"/>
        <v>115812000</v>
      </c>
    </row>
    <row r="11" spans="1:10" x14ac:dyDescent="0.25">
      <c r="A11">
        <v>2008</v>
      </c>
      <c r="B11" s="4">
        <v>357501</v>
      </c>
      <c r="C11" s="4">
        <v>134872</v>
      </c>
      <c r="D11" s="4">
        <v>97006</v>
      </c>
      <c r="E11" s="4">
        <v>331949</v>
      </c>
      <c r="F11" s="3">
        <v>885</v>
      </c>
      <c r="H11" s="3">
        <f t="shared" si="1"/>
        <v>357501000</v>
      </c>
      <c r="I11" s="3">
        <f t="shared" si="2"/>
        <v>134872000</v>
      </c>
      <c r="J11" s="3">
        <f t="shared" si="3"/>
        <v>97006000</v>
      </c>
    </row>
    <row r="12" spans="1:10" x14ac:dyDescent="0.25">
      <c r="A12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H12" s="3">
        <f t="shared" si="1"/>
        <v>346313000</v>
      </c>
      <c r="I12" s="3">
        <f t="shared" si="2"/>
        <v>132223000</v>
      </c>
      <c r="J12" s="3">
        <f t="shared" si="3"/>
        <v>120119000</v>
      </c>
    </row>
    <row r="13" spans="1:10" x14ac:dyDescent="0.25">
      <c r="A13">
        <v>2010</v>
      </c>
      <c r="B13" s="4">
        <v>344888</v>
      </c>
      <c r="C13" s="4">
        <v>134473</v>
      </c>
      <c r="D13" s="4">
        <v>101093</v>
      </c>
      <c r="E13" s="4">
        <v>299116</v>
      </c>
      <c r="F13" s="3">
        <v>819</v>
      </c>
      <c r="H13" s="3">
        <f t="shared" si="1"/>
        <v>344888000</v>
      </c>
      <c r="I13" s="3">
        <f t="shared" si="2"/>
        <v>134473000</v>
      </c>
      <c r="J13" s="3">
        <f t="shared" si="3"/>
        <v>101093000</v>
      </c>
    </row>
    <row r="14" spans="1:10" x14ac:dyDescent="0.25">
      <c r="A14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H14" s="3">
        <f t="shared" si="1"/>
        <v>329265000</v>
      </c>
      <c r="I14" s="3">
        <f t="shared" si="2"/>
        <v>135572000</v>
      </c>
      <c r="J14" s="3">
        <f t="shared" si="3"/>
        <v>96862000</v>
      </c>
    </row>
    <row r="15" spans="1:10" x14ac:dyDescent="0.25">
      <c r="A15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H15" s="3">
        <f t="shared" si="1"/>
        <v>314666000</v>
      </c>
      <c r="I15" s="3">
        <f t="shared" si="2"/>
        <v>106485000</v>
      </c>
      <c r="J15" s="3">
        <f t="shared" si="3"/>
        <v>95968000</v>
      </c>
    </row>
    <row r="16" spans="1:10" x14ac:dyDescent="0.25">
      <c r="A16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H16" s="3">
        <f t="shared" si="1"/>
        <v>300830000</v>
      </c>
      <c r="I16" s="3">
        <f t="shared" si="2"/>
        <v>104791000</v>
      </c>
      <c r="J16" s="3">
        <f t="shared" si="3"/>
        <v>118334000</v>
      </c>
    </row>
    <row r="17" spans="1:10" x14ac:dyDescent="0.25">
      <c r="A17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H17" s="3">
        <f t="shared" si="1"/>
        <v>287902000</v>
      </c>
      <c r="I17" s="3">
        <f t="shared" si="2"/>
        <v>93080000</v>
      </c>
      <c r="J17" s="3">
        <f t="shared" si="3"/>
        <v>121993000</v>
      </c>
    </row>
    <row r="18" spans="1:10" x14ac:dyDescent="0.25">
      <c r="A18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H18" s="3">
        <f t="shared" ref="H18:H21" si="4">B18*1000</f>
        <v>286814000</v>
      </c>
      <c r="I18" s="3">
        <f t="shared" ref="I18:I21" si="5">C18*1000</f>
        <v>115017000</v>
      </c>
      <c r="J18" s="3">
        <f t="shared" ref="J18:J21" si="6">D18*1000</f>
        <v>136666000</v>
      </c>
    </row>
    <row r="19" spans="1:10" x14ac:dyDescent="0.25">
      <c r="A19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H19" s="3">
        <f t="shared" si="4"/>
        <v>304167000</v>
      </c>
      <c r="I19" s="3">
        <f t="shared" si="5"/>
        <v>125516000</v>
      </c>
      <c r="J19" s="3">
        <f t="shared" si="6"/>
        <v>148361000</v>
      </c>
    </row>
    <row r="20" spans="1:10" x14ac:dyDescent="0.25">
      <c r="A20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H20" s="3">
        <f t="shared" si="4"/>
        <v>292374000</v>
      </c>
      <c r="I20" s="3">
        <f t="shared" si="5"/>
        <v>102678000</v>
      </c>
      <c r="J20" s="3">
        <f t="shared" si="6"/>
        <v>141616000</v>
      </c>
    </row>
    <row r="21" spans="1:10" x14ac:dyDescent="0.25">
      <c r="A21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H21" s="3">
        <f t="shared" si="4"/>
        <v>281826000</v>
      </c>
      <c r="I21" s="3">
        <f t="shared" si="5"/>
        <v>74449000</v>
      </c>
      <c r="J21" s="3">
        <f t="shared" si="6"/>
        <v>113055000</v>
      </c>
    </row>
    <row r="22" spans="1:10" x14ac:dyDescent="0.25">
      <c r="A22">
        <v>2019</v>
      </c>
      <c r="B22" s="3"/>
      <c r="C22" s="3"/>
      <c r="D22" s="3"/>
      <c r="E22" s="3"/>
      <c r="F22" s="3"/>
    </row>
    <row r="23" spans="1:10" x14ac:dyDescent="0.25">
      <c r="A23">
        <v>2020</v>
      </c>
      <c r="B23" s="3"/>
      <c r="C23" s="3"/>
      <c r="D23" s="3"/>
      <c r="E23" s="3"/>
      <c r="F23" s="3"/>
    </row>
    <row r="24" spans="1:10" x14ac:dyDescent="0.25">
      <c r="B24" s="80" t="s">
        <v>196</v>
      </c>
      <c r="C24" s="80"/>
      <c r="D24" s="80"/>
    </row>
    <row r="25" spans="1:10" x14ac:dyDescent="0.25">
      <c r="B25" s="55"/>
      <c r="C25" s="55"/>
      <c r="D25" s="55"/>
    </row>
    <row r="26" spans="1:10" x14ac:dyDescent="0.25">
      <c r="C26" t="s">
        <v>92</v>
      </c>
      <c r="D26" t="s">
        <v>195</v>
      </c>
    </row>
    <row r="27" spans="1:10" x14ac:dyDescent="0.25">
      <c r="B27" t="s">
        <v>194</v>
      </c>
      <c r="C27" s="1">
        <v>340967</v>
      </c>
      <c r="D27" s="1">
        <v>180875</v>
      </c>
    </row>
    <row r="28" spans="1:10" x14ac:dyDescent="0.25">
      <c r="B28" t="s">
        <v>197</v>
      </c>
      <c r="C28" s="1">
        <v>281826</v>
      </c>
      <c r="D28">
        <v>0</v>
      </c>
    </row>
    <row r="29" spans="1:10" x14ac:dyDescent="0.25">
      <c r="B29" t="s">
        <v>123</v>
      </c>
      <c r="C29" s="1">
        <v>113055</v>
      </c>
      <c r="D29" s="1">
        <v>165725</v>
      </c>
    </row>
    <row r="30" spans="1:10" x14ac:dyDescent="0.25">
      <c r="B30" t="s">
        <v>122</v>
      </c>
      <c r="C30" s="1">
        <v>74449</v>
      </c>
      <c r="D30" s="1">
        <v>2244</v>
      </c>
    </row>
    <row r="31" spans="1:10" x14ac:dyDescent="0.25">
      <c r="B31" t="s">
        <v>121</v>
      </c>
      <c r="C31" s="1">
        <v>20535</v>
      </c>
      <c r="D31" s="1">
        <v>17394</v>
      </c>
    </row>
  </sheetData>
  <mergeCells count="3">
    <mergeCell ref="B24:D24"/>
    <mergeCell ref="B2:E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BG47"/>
  <sheetViews>
    <sheetView zoomScale="50" workbookViewId="0">
      <selection activeCell="G4" sqref="G4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3.85546875" bestFit="1" customWidth="1"/>
    <col min="4" max="7" width="18.85546875" customWidth="1"/>
    <col min="8" max="8" width="12.7109375" bestFit="1" customWidth="1"/>
    <col min="9" max="9" width="18.5703125" customWidth="1"/>
    <col min="11" max="11" width="21" customWidth="1"/>
    <col min="12" max="12" width="30.7109375" customWidth="1"/>
    <col min="14" max="14" width="15.85546875" bestFit="1" customWidth="1"/>
    <col min="15" max="15" width="16.140625" bestFit="1" customWidth="1"/>
    <col min="16" max="16" width="11.28515625" bestFit="1" customWidth="1"/>
    <col min="17" max="17" width="12" bestFit="1" customWidth="1"/>
    <col min="18" max="18" width="14.85546875" bestFit="1" customWidth="1"/>
    <col min="19" max="19" width="23.5703125" bestFit="1" customWidth="1"/>
    <col min="20" max="20" width="7.42578125" customWidth="1"/>
    <col min="23" max="23" width="12.5703125" bestFit="1" customWidth="1"/>
    <col min="25" max="25" width="11.5703125" bestFit="1" customWidth="1"/>
    <col min="27" max="27" width="12.5703125" bestFit="1" customWidth="1"/>
    <col min="29" max="29" width="11.5703125" bestFit="1" customWidth="1"/>
    <col min="31" max="31" width="21.7109375" bestFit="1" customWidth="1"/>
    <col min="33" max="33" width="20" bestFit="1" customWidth="1"/>
    <col min="34" max="34" width="16.7109375" bestFit="1" customWidth="1"/>
  </cols>
  <sheetData>
    <row r="1" spans="1:35" ht="28.5" x14ac:dyDescent="0.25">
      <c r="A1" s="82" t="s">
        <v>56</v>
      </c>
      <c r="B1" s="82"/>
      <c r="C1" s="82"/>
      <c r="D1" s="82"/>
      <c r="E1" s="84" t="s">
        <v>60</v>
      </c>
      <c r="F1" s="85"/>
      <c r="G1" s="86"/>
      <c r="H1" s="84" t="s">
        <v>206</v>
      </c>
      <c r="I1" s="85"/>
      <c r="J1" s="86"/>
      <c r="K1">
        <f>10^12</f>
        <v>1000000000000</v>
      </c>
      <c r="L1" t="s">
        <v>239</v>
      </c>
      <c r="M1" s="83" t="s">
        <v>59</v>
      </c>
      <c r="N1" s="83"/>
      <c r="O1" s="83"/>
      <c r="P1" s="83"/>
      <c r="Q1" s="87" t="s">
        <v>208</v>
      </c>
      <c r="R1" s="88"/>
      <c r="S1" s="88"/>
      <c r="T1" s="57"/>
      <c r="V1" s="83" t="s">
        <v>209</v>
      </c>
      <c r="W1" s="83"/>
      <c r="X1" s="83"/>
      <c r="Y1" s="83"/>
      <c r="Z1" s="83" t="s">
        <v>210</v>
      </c>
      <c r="AA1" s="83"/>
      <c r="AB1" s="83"/>
      <c r="AC1" s="83"/>
      <c r="AD1" s="83" t="s">
        <v>211</v>
      </c>
      <c r="AE1" s="83"/>
      <c r="AF1" s="83"/>
      <c r="AG1" s="83"/>
      <c r="AH1" s="75">
        <v>2132298</v>
      </c>
      <c r="AI1" s="57" t="s">
        <v>212</v>
      </c>
    </row>
    <row r="2" spans="1:35" ht="28.5" x14ac:dyDescent="0.25">
      <c r="A2" s="3" t="s">
        <v>0</v>
      </c>
      <c r="B2" s="3" t="s">
        <v>54</v>
      </c>
      <c r="C2" s="3" t="s">
        <v>55</v>
      </c>
      <c r="D2" s="3" t="s">
        <v>20</v>
      </c>
      <c r="E2" s="3" t="s">
        <v>54</v>
      </c>
      <c r="F2" s="3" t="s">
        <v>55</v>
      </c>
      <c r="G2" s="3" t="s">
        <v>20</v>
      </c>
      <c r="H2" s="3" t="s">
        <v>54</v>
      </c>
      <c r="I2" s="3" t="s">
        <v>55</v>
      </c>
      <c r="J2" s="3" t="s">
        <v>20</v>
      </c>
      <c r="K2" s="42" t="s">
        <v>219</v>
      </c>
      <c r="M2" s="2" t="s">
        <v>0</v>
      </c>
      <c r="N2" s="2" t="s">
        <v>57</v>
      </c>
      <c r="O2" s="2" t="s">
        <v>207</v>
      </c>
      <c r="P2" s="2" t="s">
        <v>20</v>
      </c>
      <c r="Q2" s="2" t="s">
        <v>57</v>
      </c>
      <c r="R2" s="2" t="s">
        <v>207</v>
      </c>
      <c r="S2" s="2" t="s">
        <v>20</v>
      </c>
      <c r="T2" s="60">
        <v>1000000</v>
      </c>
      <c r="V2" s="2" t="s">
        <v>0</v>
      </c>
      <c r="W2" s="2" t="s">
        <v>197</v>
      </c>
      <c r="X2" s="2" t="s">
        <v>123</v>
      </c>
      <c r="Y2" s="2" t="s">
        <v>122</v>
      </c>
      <c r="Z2" s="2" t="s">
        <v>0</v>
      </c>
      <c r="AA2" s="2" t="s">
        <v>197</v>
      </c>
      <c r="AB2" s="2" t="s">
        <v>123</v>
      </c>
      <c r="AC2" s="2" t="s">
        <v>122</v>
      </c>
      <c r="AD2" s="2" t="s">
        <v>0</v>
      </c>
      <c r="AE2" s="2" t="s">
        <v>197</v>
      </c>
      <c r="AF2" s="2" t="s">
        <v>123</v>
      </c>
      <c r="AG2" s="2" t="s">
        <v>122</v>
      </c>
      <c r="AH2" s="75">
        <v>0.17960000000000001</v>
      </c>
      <c r="AI2" s="57" t="s">
        <v>238</v>
      </c>
    </row>
    <row r="3" spans="1:35" x14ac:dyDescent="0.25">
      <c r="A3" s="3">
        <v>2000</v>
      </c>
      <c r="B3" s="3">
        <v>94.75</v>
      </c>
      <c r="C3" s="3">
        <v>75.56</v>
      </c>
      <c r="D3" s="3">
        <v>170.31</v>
      </c>
      <c r="E3" s="3">
        <f>B3*1000000</f>
        <v>94750000</v>
      </c>
      <c r="F3" s="3">
        <f t="shared" ref="F3:G18" si="0">C3*1000000</f>
        <v>75560000</v>
      </c>
      <c r="G3" s="3">
        <f t="shared" si="0"/>
        <v>170310000</v>
      </c>
      <c r="H3" s="3">
        <f t="shared" ref="H3:H21" si="1">B3*$K$1</f>
        <v>94750000000000</v>
      </c>
      <c r="I3" s="3">
        <f t="shared" ref="I3:I21" si="2">C3*$K$1</f>
        <v>75560000000000</v>
      </c>
      <c r="J3" s="3">
        <f t="shared" ref="J3:J21" si="3">D3*$K$1</f>
        <v>170310000000000</v>
      </c>
      <c r="M3" s="2">
        <v>2000</v>
      </c>
      <c r="N3" s="5">
        <v>705979</v>
      </c>
      <c r="O3" s="5">
        <v>2195323</v>
      </c>
      <c r="P3" s="5">
        <v>2901302</v>
      </c>
      <c r="Q3" s="2">
        <f>N3*$T$2</f>
        <v>705979000000</v>
      </c>
      <c r="R3" s="2">
        <f t="shared" ref="R3:S3" si="4">O3*$T$2</f>
        <v>2195323000000</v>
      </c>
      <c r="S3" s="68">
        <f t="shared" si="4"/>
        <v>2901302000000</v>
      </c>
      <c r="T3" s="57"/>
      <c r="V3" s="2">
        <v>2000</v>
      </c>
      <c r="W3" s="58"/>
      <c r="X3" s="58"/>
      <c r="Y3" s="58"/>
      <c r="Z3" s="2">
        <v>2000</v>
      </c>
      <c r="AA3" s="59">
        <f>W3*1000</f>
        <v>0</v>
      </c>
      <c r="AB3" s="59">
        <f t="shared" ref="AB3:AC18" si="5">X3*1000</f>
        <v>0</v>
      </c>
      <c r="AC3" s="59">
        <f t="shared" si="5"/>
        <v>0</v>
      </c>
      <c r="AD3" s="2">
        <v>2000</v>
      </c>
      <c r="AE3" s="59">
        <f>AA3*$AH$1</f>
        <v>0</v>
      </c>
      <c r="AF3" s="59">
        <f t="shared" ref="AF3:AG3" si="6">AB3*$AH$1</f>
        <v>0</v>
      </c>
      <c r="AG3" s="59">
        <f t="shared" si="6"/>
        <v>0</v>
      </c>
      <c r="AH3" s="57"/>
      <c r="AI3" s="57"/>
    </row>
    <row r="4" spans="1:35" x14ac:dyDescent="0.25">
      <c r="A4" s="3">
        <v>2001</v>
      </c>
      <c r="B4" s="3">
        <v>92.1</v>
      </c>
      <c r="C4" s="3">
        <v>76.05</v>
      </c>
      <c r="D4" s="3">
        <v>168.15</v>
      </c>
      <c r="E4" s="3">
        <f t="shared" ref="E4:E21" si="7">B4*1000000</f>
        <v>92100000</v>
      </c>
      <c r="F4" s="3">
        <f t="shared" si="0"/>
        <v>76050000</v>
      </c>
      <c r="G4" s="3">
        <f t="shared" si="0"/>
        <v>168150000</v>
      </c>
      <c r="H4" s="3">
        <f t="shared" si="1"/>
        <v>92100000000000</v>
      </c>
      <c r="I4" s="3">
        <f t="shared" si="2"/>
        <v>76050000000000</v>
      </c>
      <c r="J4" s="3">
        <f t="shared" si="3"/>
        <v>168150000000000</v>
      </c>
      <c r="K4">
        <f>J3-S3</f>
        <v>167408698000000</v>
      </c>
      <c r="M4" s="2">
        <v>2001</v>
      </c>
      <c r="N4" s="5">
        <v>716930</v>
      </c>
      <c r="O4" s="5">
        <v>2089154</v>
      </c>
      <c r="P4" s="5">
        <v>2806084</v>
      </c>
      <c r="Q4" s="2">
        <f t="shared" ref="Q4:Q21" si="8">N4*$T$2</f>
        <v>716930000000</v>
      </c>
      <c r="R4" s="2">
        <f t="shared" ref="R4:R21" si="9">O4*$T$2</f>
        <v>2089154000000</v>
      </c>
      <c r="S4" s="68">
        <f t="shared" ref="S4:S21" si="10">P4*$T$2</f>
        <v>2806084000000</v>
      </c>
      <c r="T4" s="57"/>
      <c r="V4" s="2">
        <v>2001</v>
      </c>
      <c r="W4" s="58"/>
      <c r="X4" s="58"/>
      <c r="Y4" s="58"/>
      <c r="Z4" s="2">
        <v>2001</v>
      </c>
      <c r="AA4" s="59">
        <f t="shared" ref="AA4:AA23" si="11">W4*1000</f>
        <v>0</v>
      </c>
      <c r="AB4" s="59">
        <f t="shared" si="5"/>
        <v>0</v>
      </c>
      <c r="AC4" s="59">
        <f t="shared" si="5"/>
        <v>0</v>
      </c>
      <c r="AD4" s="2">
        <v>2001</v>
      </c>
      <c r="AE4" s="59">
        <f t="shared" ref="AE4:AE23" si="12">AA4*$AH$1</f>
        <v>0</v>
      </c>
      <c r="AF4" s="59">
        <f t="shared" ref="AF4:AF23" si="13">AB4*$AH$1</f>
        <v>0</v>
      </c>
      <c r="AG4" s="59">
        <f t="shared" ref="AG4:AG23" si="14">AC4*$AH$1</f>
        <v>0</v>
      </c>
      <c r="AH4" s="57"/>
      <c r="AI4" s="57"/>
    </row>
    <row r="5" spans="1:35" x14ac:dyDescent="0.25">
      <c r="A5" s="3">
        <v>2002</v>
      </c>
      <c r="B5" s="3">
        <v>90.3</v>
      </c>
      <c r="C5" s="3">
        <v>86.29</v>
      </c>
      <c r="D5" s="3">
        <v>176.59</v>
      </c>
      <c r="E5" s="3">
        <f t="shared" si="7"/>
        <v>90300000</v>
      </c>
      <c r="F5" s="3">
        <f t="shared" si="0"/>
        <v>86290000</v>
      </c>
      <c r="G5" s="3">
        <f t="shared" si="0"/>
        <v>176590000</v>
      </c>
      <c r="H5" s="3">
        <f t="shared" si="1"/>
        <v>90300000000000</v>
      </c>
      <c r="I5" s="3">
        <f t="shared" si="2"/>
        <v>86290000000000</v>
      </c>
      <c r="J5" s="3">
        <f t="shared" si="3"/>
        <v>176590000000000</v>
      </c>
      <c r="K5">
        <f t="shared" ref="K5:K21" si="15">J4-S4</f>
        <v>165343916000000</v>
      </c>
      <c r="M5" s="2">
        <v>2002</v>
      </c>
      <c r="N5" s="5">
        <v>720125</v>
      </c>
      <c r="O5" s="5">
        <v>2316230</v>
      </c>
      <c r="P5" s="5">
        <v>3036355</v>
      </c>
      <c r="Q5" s="2">
        <f t="shared" si="8"/>
        <v>720125000000</v>
      </c>
      <c r="R5" s="2">
        <f t="shared" si="9"/>
        <v>2316230000000</v>
      </c>
      <c r="S5" s="68">
        <f t="shared" si="10"/>
        <v>3036355000000</v>
      </c>
      <c r="T5" s="57"/>
      <c r="V5" s="2">
        <v>2002</v>
      </c>
      <c r="W5" s="58"/>
      <c r="X5" s="58"/>
      <c r="Y5" s="58"/>
      <c r="Z5" s="2">
        <v>2002</v>
      </c>
      <c r="AA5" s="59">
        <f t="shared" si="11"/>
        <v>0</v>
      </c>
      <c r="AB5" s="59">
        <f t="shared" si="5"/>
        <v>0</v>
      </c>
      <c r="AC5" s="59">
        <f t="shared" si="5"/>
        <v>0</v>
      </c>
      <c r="AD5" s="2">
        <v>2002</v>
      </c>
      <c r="AE5" s="59">
        <f t="shared" si="12"/>
        <v>0</v>
      </c>
      <c r="AF5" s="59">
        <f t="shared" si="13"/>
        <v>0</v>
      </c>
      <c r="AG5" s="59">
        <f t="shared" si="14"/>
        <v>0</v>
      </c>
      <c r="AH5" s="57"/>
      <c r="AI5" s="57"/>
    </row>
    <row r="6" spans="1:35" x14ac:dyDescent="0.25">
      <c r="A6" s="3">
        <v>2003</v>
      </c>
      <c r="B6" s="3">
        <v>91.17</v>
      </c>
      <c r="C6" s="3">
        <v>86.96</v>
      </c>
      <c r="D6" s="3">
        <v>178.13</v>
      </c>
      <c r="E6" s="3">
        <f t="shared" si="7"/>
        <v>91170000</v>
      </c>
      <c r="F6" s="3">
        <f t="shared" si="0"/>
        <v>86960000</v>
      </c>
      <c r="G6" s="3">
        <f t="shared" si="0"/>
        <v>178130000</v>
      </c>
      <c r="H6" s="3">
        <f t="shared" si="1"/>
        <v>91170000000000</v>
      </c>
      <c r="I6" s="3">
        <f t="shared" si="2"/>
        <v>86960000000000</v>
      </c>
      <c r="J6" s="3">
        <f t="shared" si="3"/>
        <v>178130000000000</v>
      </c>
      <c r="K6">
        <f t="shared" si="15"/>
        <v>173553645000000</v>
      </c>
      <c r="M6" s="2">
        <v>2003</v>
      </c>
      <c r="N6" s="5">
        <v>789202</v>
      </c>
      <c r="O6" s="5">
        <v>2366041</v>
      </c>
      <c r="P6" s="5">
        <v>3155243</v>
      </c>
      <c r="Q6" s="2">
        <f t="shared" si="8"/>
        <v>789202000000</v>
      </c>
      <c r="R6" s="2">
        <f t="shared" si="9"/>
        <v>2366041000000</v>
      </c>
      <c r="S6" s="68">
        <f t="shared" si="10"/>
        <v>3155243000000</v>
      </c>
      <c r="T6" s="57"/>
      <c r="V6" s="2">
        <v>2003</v>
      </c>
      <c r="W6" s="58"/>
      <c r="X6" s="58"/>
      <c r="Y6" s="58"/>
      <c r="Z6" s="2">
        <v>2003</v>
      </c>
      <c r="AA6" s="59">
        <f t="shared" si="11"/>
        <v>0</v>
      </c>
      <c r="AB6" s="59">
        <f t="shared" si="5"/>
        <v>0</v>
      </c>
      <c r="AC6" s="59">
        <f t="shared" si="5"/>
        <v>0</v>
      </c>
      <c r="AD6" s="2">
        <v>2003</v>
      </c>
      <c r="AE6" s="59">
        <f t="shared" si="12"/>
        <v>0</v>
      </c>
      <c r="AF6" s="59">
        <f t="shared" si="13"/>
        <v>0</v>
      </c>
      <c r="AG6" s="59">
        <f t="shared" si="14"/>
        <v>0</v>
      </c>
      <c r="AH6" s="57"/>
      <c r="AI6" s="57"/>
    </row>
    <row r="7" spans="1:35" x14ac:dyDescent="0.25">
      <c r="A7" s="3">
        <v>2004</v>
      </c>
      <c r="B7" s="3">
        <v>97.81</v>
      </c>
      <c r="C7" s="3">
        <v>90.53</v>
      </c>
      <c r="D7" s="3">
        <v>188.34</v>
      </c>
      <c r="E7" s="3">
        <f t="shared" si="7"/>
        <v>97810000</v>
      </c>
      <c r="F7" s="3">
        <f t="shared" si="0"/>
        <v>90530000</v>
      </c>
      <c r="G7" s="3">
        <f t="shared" si="0"/>
        <v>188340000</v>
      </c>
      <c r="H7" s="3">
        <f t="shared" si="1"/>
        <v>97810000000000</v>
      </c>
      <c r="I7" s="3">
        <f t="shared" si="2"/>
        <v>90530000000000</v>
      </c>
      <c r="J7" s="3">
        <f t="shared" si="3"/>
        <v>188340000000000</v>
      </c>
      <c r="K7">
        <f t="shared" si="15"/>
        <v>174974757000000</v>
      </c>
      <c r="M7" s="2">
        <v>2004</v>
      </c>
      <c r="N7" s="5">
        <v>772812</v>
      </c>
      <c r="O7" s="5">
        <v>2231133</v>
      </c>
      <c r="P7" s="5">
        <v>3003945</v>
      </c>
      <c r="Q7" s="2">
        <f t="shared" si="8"/>
        <v>772812000000</v>
      </c>
      <c r="R7" s="2">
        <f t="shared" si="9"/>
        <v>2231133000000</v>
      </c>
      <c r="S7" s="68">
        <f t="shared" si="10"/>
        <v>3003945000000</v>
      </c>
      <c r="T7" s="57"/>
      <c r="V7" s="2">
        <v>2004</v>
      </c>
      <c r="W7" s="58"/>
      <c r="X7" s="58"/>
      <c r="Y7" s="58"/>
      <c r="Z7" s="2">
        <v>2004</v>
      </c>
      <c r="AA7" s="59">
        <f t="shared" si="11"/>
        <v>0</v>
      </c>
      <c r="AB7" s="59">
        <f t="shared" si="5"/>
        <v>0</v>
      </c>
      <c r="AC7" s="59">
        <f t="shared" si="5"/>
        <v>0</v>
      </c>
      <c r="AD7" s="2">
        <v>2004</v>
      </c>
      <c r="AE7" s="59">
        <f t="shared" si="12"/>
        <v>0</v>
      </c>
      <c r="AF7" s="59">
        <f t="shared" si="13"/>
        <v>0</v>
      </c>
      <c r="AG7" s="59">
        <f t="shared" si="14"/>
        <v>0</v>
      </c>
      <c r="AH7" s="57"/>
      <c r="AI7" s="57"/>
    </row>
    <row r="8" spans="1:35" x14ac:dyDescent="0.25">
      <c r="A8" s="3">
        <v>2005</v>
      </c>
      <c r="B8" s="3">
        <v>97.26</v>
      </c>
      <c r="C8" s="3">
        <v>88.54</v>
      </c>
      <c r="D8" s="3">
        <v>185.8</v>
      </c>
      <c r="E8" s="3">
        <f t="shared" si="7"/>
        <v>97260000</v>
      </c>
      <c r="F8" s="3">
        <f t="shared" si="0"/>
        <v>88540000</v>
      </c>
      <c r="G8" s="3">
        <f t="shared" si="0"/>
        <v>185800000</v>
      </c>
      <c r="H8" s="3">
        <f t="shared" si="1"/>
        <v>97260000000000</v>
      </c>
      <c r="I8" s="3">
        <f t="shared" si="2"/>
        <v>88540000000000</v>
      </c>
      <c r="J8" s="3">
        <f t="shared" si="3"/>
        <v>185800000000000</v>
      </c>
      <c r="K8">
        <f t="shared" si="15"/>
        <v>185336055000000</v>
      </c>
      <c r="M8" s="2">
        <v>2005</v>
      </c>
      <c r="N8" s="5">
        <v>795224</v>
      </c>
      <c r="O8" s="5">
        <v>2190117</v>
      </c>
      <c r="P8" s="5">
        <v>2985341</v>
      </c>
      <c r="Q8" s="2">
        <f t="shared" si="8"/>
        <v>795224000000</v>
      </c>
      <c r="R8" s="2">
        <f t="shared" si="9"/>
        <v>2190117000000</v>
      </c>
      <c r="S8" s="68">
        <f t="shared" si="10"/>
        <v>2985341000000</v>
      </c>
      <c r="T8" s="57"/>
      <c r="V8" s="2">
        <v>2005</v>
      </c>
      <c r="W8" s="58"/>
      <c r="X8" s="58"/>
      <c r="Y8" s="58"/>
      <c r="Z8" s="2">
        <v>2005</v>
      </c>
      <c r="AA8" s="59">
        <f t="shared" si="11"/>
        <v>0</v>
      </c>
      <c r="AB8" s="59">
        <f t="shared" si="5"/>
        <v>0</v>
      </c>
      <c r="AC8" s="59">
        <f t="shared" si="5"/>
        <v>0</v>
      </c>
      <c r="AD8" s="2">
        <v>2005</v>
      </c>
      <c r="AE8" s="59">
        <f t="shared" si="12"/>
        <v>0</v>
      </c>
      <c r="AF8" s="59">
        <f t="shared" si="13"/>
        <v>0</v>
      </c>
      <c r="AG8" s="59">
        <f t="shared" si="14"/>
        <v>0</v>
      </c>
      <c r="AH8" s="57"/>
      <c r="AI8" s="57"/>
    </row>
    <row r="9" spans="1:35" x14ac:dyDescent="0.25">
      <c r="A9" s="3">
        <v>2006</v>
      </c>
      <c r="B9" s="3">
        <v>94</v>
      </c>
      <c r="C9" s="3">
        <v>93.1</v>
      </c>
      <c r="D9" s="3">
        <v>187.1</v>
      </c>
      <c r="E9" s="3">
        <f t="shared" si="7"/>
        <v>94000000</v>
      </c>
      <c r="F9" s="3">
        <f t="shared" si="0"/>
        <v>93100000</v>
      </c>
      <c r="G9" s="3">
        <f t="shared" si="0"/>
        <v>187100000</v>
      </c>
      <c r="H9" s="3">
        <f t="shared" si="1"/>
        <v>94000000000000</v>
      </c>
      <c r="I9" s="3">
        <f t="shared" si="2"/>
        <v>93100000000000</v>
      </c>
      <c r="J9" s="3">
        <f t="shared" si="3"/>
        <v>187100000000000</v>
      </c>
      <c r="K9">
        <f t="shared" si="15"/>
        <v>182814659000000</v>
      </c>
      <c r="M9" s="2">
        <v>2006</v>
      </c>
      <c r="N9" s="5">
        <v>708715</v>
      </c>
      <c r="O9" s="5">
        <v>2245281</v>
      </c>
      <c r="P9" s="5">
        <v>2953997</v>
      </c>
      <c r="Q9" s="2">
        <f t="shared" si="8"/>
        <v>708715000000</v>
      </c>
      <c r="R9" s="2">
        <f t="shared" si="9"/>
        <v>2245281000000</v>
      </c>
      <c r="S9" s="68">
        <f t="shared" si="10"/>
        <v>2953997000000</v>
      </c>
      <c r="T9" s="57"/>
      <c r="V9" s="2">
        <v>2006</v>
      </c>
      <c r="W9" s="58"/>
      <c r="X9" s="58"/>
      <c r="Y9" s="58"/>
      <c r="Z9" s="2">
        <v>2006</v>
      </c>
      <c r="AA9" s="59">
        <f t="shared" si="11"/>
        <v>0</v>
      </c>
      <c r="AB9" s="59">
        <f t="shared" si="5"/>
        <v>0</v>
      </c>
      <c r="AC9" s="59">
        <f t="shared" si="5"/>
        <v>0</v>
      </c>
      <c r="AD9" s="2">
        <v>2006</v>
      </c>
      <c r="AE9" s="59">
        <f t="shared" si="12"/>
        <v>0</v>
      </c>
      <c r="AF9" s="59">
        <f t="shared" si="13"/>
        <v>0</v>
      </c>
      <c r="AG9" s="59">
        <f t="shared" si="14"/>
        <v>0</v>
      </c>
      <c r="AH9" s="57"/>
      <c r="AI9" s="57"/>
    </row>
    <row r="10" spans="1:35" x14ac:dyDescent="0.25">
      <c r="A10" s="3">
        <v>2007</v>
      </c>
      <c r="B10" s="3">
        <v>106</v>
      </c>
      <c r="C10" s="3">
        <v>59</v>
      </c>
      <c r="D10" s="3">
        <v>165</v>
      </c>
      <c r="E10" s="3">
        <f t="shared" si="7"/>
        <v>106000000</v>
      </c>
      <c r="F10" s="3">
        <f t="shared" si="0"/>
        <v>59000000</v>
      </c>
      <c r="G10" s="3">
        <f t="shared" si="0"/>
        <v>165000000</v>
      </c>
      <c r="H10" s="3">
        <f t="shared" si="1"/>
        <v>106000000000000</v>
      </c>
      <c r="I10" s="3">
        <f t="shared" si="2"/>
        <v>59000000000000</v>
      </c>
      <c r="J10" s="3">
        <f t="shared" si="3"/>
        <v>165000000000000</v>
      </c>
      <c r="K10">
        <f t="shared" si="15"/>
        <v>184146003000000</v>
      </c>
      <c r="M10" s="2">
        <v>2007</v>
      </c>
      <c r="N10" s="5">
        <v>433630</v>
      </c>
      <c r="O10" s="5">
        <v>2371910</v>
      </c>
      <c r="P10" s="5">
        <v>2805540</v>
      </c>
      <c r="Q10" s="2">
        <f t="shared" si="8"/>
        <v>433630000000</v>
      </c>
      <c r="R10" s="2">
        <f t="shared" si="9"/>
        <v>2371910000000</v>
      </c>
      <c r="S10" s="68">
        <f t="shared" si="10"/>
        <v>2805540000000</v>
      </c>
      <c r="T10" s="57"/>
      <c r="V10" s="2">
        <v>2007</v>
      </c>
      <c r="W10" s="58"/>
      <c r="X10" s="58"/>
      <c r="Y10" s="58"/>
      <c r="Z10" s="2">
        <v>2007</v>
      </c>
      <c r="AA10" s="59">
        <f t="shared" si="11"/>
        <v>0</v>
      </c>
      <c r="AB10" s="59">
        <f t="shared" si="5"/>
        <v>0</v>
      </c>
      <c r="AC10" s="59">
        <f t="shared" si="5"/>
        <v>0</v>
      </c>
      <c r="AD10" s="2">
        <v>2007</v>
      </c>
      <c r="AE10" s="59">
        <f t="shared" si="12"/>
        <v>0</v>
      </c>
      <c r="AF10" s="59">
        <f t="shared" si="13"/>
        <v>0</v>
      </c>
      <c r="AG10" s="59">
        <f t="shared" si="14"/>
        <v>0</v>
      </c>
      <c r="AH10" s="57"/>
      <c r="AI10" s="57"/>
    </row>
    <row r="11" spans="1:35" x14ac:dyDescent="0.25">
      <c r="A11" s="3">
        <v>2008</v>
      </c>
      <c r="B11" s="3">
        <v>112.5</v>
      </c>
      <c r="C11" s="3">
        <v>57.6</v>
      </c>
      <c r="D11" s="3">
        <v>170.1</v>
      </c>
      <c r="E11" s="3">
        <f t="shared" si="7"/>
        <v>112500000</v>
      </c>
      <c r="F11" s="3">
        <f t="shared" si="0"/>
        <v>57600000</v>
      </c>
      <c r="G11" s="3">
        <f t="shared" si="0"/>
        <v>170100000</v>
      </c>
      <c r="H11" s="3">
        <f t="shared" si="1"/>
        <v>112500000000000</v>
      </c>
      <c r="I11" s="3">
        <f t="shared" si="2"/>
        <v>57600000000000</v>
      </c>
      <c r="J11" s="3">
        <f t="shared" si="3"/>
        <v>170100000000000</v>
      </c>
      <c r="K11">
        <f t="shared" si="15"/>
        <v>162194460000000</v>
      </c>
      <c r="M11" s="2">
        <v>2008</v>
      </c>
      <c r="N11" s="5">
        <v>472897</v>
      </c>
      <c r="O11" s="5">
        <v>2412431</v>
      </c>
      <c r="P11" s="5">
        <v>2885328</v>
      </c>
      <c r="Q11" s="2">
        <f t="shared" si="8"/>
        <v>472897000000</v>
      </c>
      <c r="R11" s="2">
        <f t="shared" si="9"/>
        <v>2412431000000</v>
      </c>
      <c r="S11" s="68">
        <f t="shared" si="10"/>
        <v>2885328000000</v>
      </c>
      <c r="T11" s="57"/>
      <c r="V11" s="2">
        <v>2008</v>
      </c>
      <c r="W11" s="58">
        <v>444238</v>
      </c>
      <c r="X11" s="58"/>
      <c r="Y11" s="58">
        <v>59169</v>
      </c>
      <c r="Z11" s="2">
        <v>2008</v>
      </c>
      <c r="AA11" s="59">
        <f t="shared" si="11"/>
        <v>444238000</v>
      </c>
      <c r="AB11" s="59">
        <f t="shared" si="5"/>
        <v>0</v>
      </c>
      <c r="AC11" s="59">
        <f t="shared" si="5"/>
        <v>59169000</v>
      </c>
      <c r="AD11" s="2">
        <v>2008</v>
      </c>
      <c r="AE11" s="59">
        <f t="shared" si="12"/>
        <v>947247798924000</v>
      </c>
      <c r="AF11" s="59">
        <f t="shared" si="13"/>
        <v>0</v>
      </c>
      <c r="AG11" s="59">
        <f t="shared" si="14"/>
        <v>126165940362000</v>
      </c>
      <c r="AH11" s="57"/>
      <c r="AI11" s="57"/>
    </row>
    <row r="12" spans="1:35" x14ac:dyDescent="0.25">
      <c r="A12" s="3">
        <v>2009</v>
      </c>
      <c r="B12" s="3">
        <v>107.34</v>
      </c>
      <c r="C12" s="3">
        <v>52.29</v>
      </c>
      <c r="D12" s="3">
        <v>159.63</v>
      </c>
      <c r="E12" s="3">
        <f t="shared" si="7"/>
        <v>107340000</v>
      </c>
      <c r="F12" s="3">
        <f t="shared" si="0"/>
        <v>52290000</v>
      </c>
      <c r="G12" s="3">
        <f t="shared" si="0"/>
        <v>159630000</v>
      </c>
      <c r="H12" s="3">
        <f t="shared" si="1"/>
        <v>107340000000000</v>
      </c>
      <c r="I12" s="3">
        <f t="shared" si="2"/>
        <v>52290000000000</v>
      </c>
      <c r="J12" s="3">
        <f t="shared" si="3"/>
        <v>159630000000000</v>
      </c>
      <c r="K12">
        <f t="shared" si="15"/>
        <v>167214672000000</v>
      </c>
      <c r="M12" s="2">
        <v>2009</v>
      </c>
      <c r="N12" s="5">
        <v>467570</v>
      </c>
      <c r="O12" s="5">
        <v>2593326</v>
      </c>
      <c r="P12" s="5">
        <v>3060897</v>
      </c>
      <c r="Q12" s="2">
        <f t="shared" si="8"/>
        <v>467570000000</v>
      </c>
      <c r="R12" s="2">
        <f t="shared" si="9"/>
        <v>2593326000000</v>
      </c>
      <c r="S12" s="68">
        <f t="shared" si="10"/>
        <v>3060897000000</v>
      </c>
      <c r="T12" s="57"/>
      <c r="V12" s="2">
        <v>2009</v>
      </c>
      <c r="W12" s="58">
        <v>459544</v>
      </c>
      <c r="X12" s="58"/>
      <c r="Y12" s="58">
        <v>52822</v>
      </c>
      <c r="Z12" s="2">
        <v>2009</v>
      </c>
      <c r="AA12" s="59">
        <f t="shared" si="11"/>
        <v>459544000</v>
      </c>
      <c r="AB12" s="59">
        <f t="shared" si="5"/>
        <v>0</v>
      </c>
      <c r="AC12" s="59">
        <f t="shared" si="5"/>
        <v>52822000</v>
      </c>
      <c r="AD12" s="2">
        <v>2009</v>
      </c>
      <c r="AE12" s="59">
        <f t="shared" si="12"/>
        <v>979884752112000</v>
      </c>
      <c r="AF12" s="59">
        <f t="shared" si="13"/>
        <v>0</v>
      </c>
      <c r="AG12" s="59">
        <f t="shared" si="14"/>
        <v>112632244956000</v>
      </c>
      <c r="AH12" s="57"/>
      <c r="AI12" s="57"/>
    </row>
    <row r="13" spans="1:35" x14ac:dyDescent="0.25">
      <c r="A13" s="3">
        <v>2010</v>
      </c>
      <c r="B13" s="3">
        <v>108.4</v>
      </c>
      <c r="C13" s="3">
        <v>48.74</v>
      </c>
      <c r="D13" s="3">
        <v>157.13999999999999</v>
      </c>
      <c r="E13" s="3">
        <f t="shared" si="7"/>
        <v>108400000</v>
      </c>
      <c r="F13" s="3">
        <f t="shared" si="0"/>
        <v>48740000</v>
      </c>
      <c r="G13" s="3">
        <f t="shared" si="0"/>
        <v>157140000</v>
      </c>
      <c r="H13" s="3">
        <f t="shared" si="1"/>
        <v>108400000000000</v>
      </c>
      <c r="I13" s="3">
        <f t="shared" si="2"/>
        <v>48740000000000</v>
      </c>
      <c r="J13" s="3">
        <f t="shared" si="3"/>
        <v>157140000000000</v>
      </c>
      <c r="K13">
        <f t="shared" si="15"/>
        <v>156569103000000</v>
      </c>
      <c r="M13" s="2">
        <v>2010</v>
      </c>
      <c r="N13" s="5">
        <v>471507</v>
      </c>
      <c r="O13" s="5">
        <v>2936086</v>
      </c>
      <c r="P13" s="5">
        <v>3407592</v>
      </c>
      <c r="Q13" s="2">
        <f t="shared" si="8"/>
        <v>471507000000</v>
      </c>
      <c r="R13" s="2">
        <f t="shared" si="9"/>
        <v>2936086000000</v>
      </c>
      <c r="S13" s="68">
        <f t="shared" si="10"/>
        <v>3407592000000</v>
      </c>
      <c r="T13" s="57"/>
      <c r="V13" s="2">
        <v>2010</v>
      </c>
      <c r="W13" s="58"/>
      <c r="X13" s="58"/>
      <c r="Y13" s="58"/>
      <c r="Z13" s="2">
        <v>2010</v>
      </c>
      <c r="AA13" s="59">
        <f t="shared" si="11"/>
        <v>0</v>
      </c>
      <c r="AB13" s="59">
        <f t="shared" si="5"/>
        <v>0</v>
      </c>
      <c r="AC13" s="59">
        <f t="shared" si="5"/>
        <v>0</v>
      </c>
      <c r="AD13" s="2">
        <v>2010</v>
      </c>
      <c r="AE13" s="59">
        <f t="shared" si="12"/>
        <v>0</v>
      </c>
      <c r="AF13" s="59">
        <f t="shared" si="13"/>
        <v>0</v>
      </c>
      <c r="AG13" s="59">
        <f t="shared" si="14"/>
        <v>0</v>
      </c>
      <c r="AH13" s="57"/>
      <c r="AI13" s="57"/>
    </row>
    <row r="14" spans="1:35" x14ac:dyDescent="0.25">
      <c r="A14" s="3">
        <v>2011</v>
      </c>
      <c r="B14" s="3">
        <v>104.71</v>
      </c>
      <c r="C14" s="3">
        <v>48.18</v>
      </c>
      <c r="D14" s="3">
        <v>152.88999999999999</v>
      </c>
      <c r="E14" s="3">
        <f t="shared" si="7"/>
        <v>104710000</v>
      </c>
      <c r="F14" s="3">
        <f t="shared" si="0"/>
        <v>48180000</v>
      </c>
      <c r="G14" s="3">
        <f t="shared" si="0"/>
        <v>152890000</v>
      </c>
      <c r="H14" s="3">
        <f t="shared" si="1"/>
        <v>104710000000000</v>
      </c>
      <c r="I14" s="3">
        <f t="shared" si="2"/>
        <v>48180000000000</v>
      </c>
      <c r="J14" s="3">
        <f t="shared" si="3"/>
        <v>152890000000000</v>
      </c>
      <c r="K14">
        <f t="shared" si="15"/>
        <v>153732408000000</v>
      </c>
      <c r="M14" s="2">
        <v>2011</v>
      </c>
      <c r="N14" s="5">
        <v>472552</v>
      </c>
      <c r="O14" s="5">
        <v>2783827</v>
      </c>
      <c r="P14" s="5">
        <v>3256379</v>
      </c>
      <c r="Q14" s="2">
        <f t="shared" si="8"/>
        <v>472552000000</v>
      </c>
      <c r="R14" s="2">
        <f t="shared" si="9"/>
        <v>2783827000000</v>
      </c>
      <c r="S14" s="68">
        <f t="shared" si="10"/>
        <v>3256379000000</v>
      </c>
      <c r="T14" s="57"/>
      <c r="V14" s="2">
        <v>2011</v>
      </c>
      <c r="W14" s="58">
        <v>519210</v>
      </c>
      <c r="X14" s="58"/>
      <c r="Y14" s="58">
        <v>60258</v>
      </c>
      <c r="Z14" s="2">
        <v>2011</v>
      </c>
      <c r="AA14" s="59">
        <f t="shared" si="11"/>
        <v>519210000</v>
      </c>
      <c r="AB14" s="59">
        <f t="shared" si="5"/>
        <v>0</v>
      </c>
      <c r="AC14" s="59">
        <f t="shared" si="5"/>
        <v>60258000</v>
      </c>
      <c r="AD14" s="2">
        <v>2011</v>
      </c>
      <c r="AE14" s="59">
        <f t="shared" si="12"/>
        <v>1107110444580000</v>
      </c>
      <c r="AF14" s="59">
        <f t="shared" si="13"/>
        <v>0</v>
      </c>
      <c r="AG14" s="59">
        <f t="shared" si="14"/>
        <v>128488012884000</v>
      </c>
      <c r="AH14" s="57"/>
      <c r="AI14" s="57"/>
    </row>
    <row r="15" spans="1:35" x14ac:dyDescent="0.25">
      <c r="A15" s="3">
        <v>2012</v>
      </c>
      <c r="B15" s="3">
        <v>103.35</v>
      </c>
      <c r="C15" s="3">
        <v>47.35</v>
      </c>
      <c r="D15" s="3">
        <v>150.69999999999999</v>
      </c>
      <c r="E15" s="3">
        <f t="shared" si="7"/>
        <v>103350000</v>
      </c>
      <c r="F15" s="3">
        <f t="shared" si="0"/>
        <v>47350000</v>
      </c>
      <c r="G15" s="3">
        <f t="shared" si="0"/>
        <v>150700000</v>
      </c>
      <c r="H15" s="3">
        <f t="shared" si="1"/>
        <v>103350000000000</v>
      </c>
      <c r="I15" s="3">
        <f t="shared" si="2"/>
        <v>47350000000000</v>
      </c>
      <c r="J15" s="3">
        <f t="shared" si="3"/>
        <v>150700000000000</v>
      </c>
      <c r="K15">
        <f t="shared" si="15"/>
        <v>149633621000000</v>
      </c>
      <c r="M15" s="2">
        <v>2012</v>
      </c>
      <c r="N15" s="5">
        <v>405465</v>
      </c>
      <c r="O15" s="5">
        <v>2769175</v>
      </c>
      <c r="P15" s="5">
        <v>3174639</v>
      </c>
      <c r="Q15" s="2">
        <f t="shared" si="8"/>
        <v>405465000000</v>
      </c>
      <c r="R15" s="2">
        <f t="shared" si="9"/>
        <v>2769175000000</v>
      </c>
      <c r="S15" s="68">
        <f t="shared" si="10"/>
        <v>3174639000000</v>
      </c>
      <c r="T15" s="57"/>
      <c r="V15" s="2">
        <v>2012</v>
      </c>
      <c r="W15" s="58">
        <v>494331</v>
      </c>
      <c r="X15" s="58"/>
      <c r="Y15" s="58">
        <v>64355</v>
      </c>
      <c r="Z15" s="2">
        <v>2012</v>
      </c>
      <c r="AA15" s="59">
        <f t="shared" si="11"/>
        <v>494331000</v>
      </c>
      <c r="AB15" s="59">
        <f t="shared" si="5"/>
        <v>0</v>
      </c>
      <c r="AC15" s="59">
        <f t="shared" si="5"/>
        <v>64355000</v>
      </c>
      <c r="AD15" s="2">
        <v>2012</v>
      </c>
      <c r="AE15" s="59">
        <f t="shared" si="12"/>
        <v>1054061002638000</v>
      </c>
      <c r="AF15" s="59">
        <f t="shared" si="13"/>
        <v>0</v>
      </c>
      <c r="AG15" s="59">
        <f t="shared" si="14"/>
        <v>137224037790000</v>
      </c>
      <c r="AH15" s="57"/>
      <c r="AI15" s="57"/>
    </row>
    <row r="16" spans="1:35" x14ac:dyDescent="0.25">
      <c r="A16" s="3">
        <v>2013</v>
      </c>
      <c r="B16" s="3">
        <v>101.54</v>
      </c>
      <c r="C16" s="3">
        <v>48.85</v>
      </c>
      <c r="D16" s="3">
        <v>150.38999999999999</v>
      </c>
      <c r="E16" s="3">
        <f t="shared" si="7"/>
        <v>101540000</v>
      </c>
      <c r="F16" s="3">
        <f t="shared" si="0"/>
        <v>48850000</v>
      </c>
      <c r="G16" s="3">
        <f t="shared" si="0"/>
        <v>150390000</v>
      </c>
      <c r="H16" s="3">
        <f t="shared" si="1"/>
        <v>101540000000000</v>
      </c>
      <c r="I16" s="3">
        <f t="shared" si="2"/>
        <v>48850000000000</v>
      </c>
      <c r="J16" s="3">
        <f t="shared" si="3"/>
        <v>150390000000000</v>
      </c>
      <c r="K16">
        <f t="shared" si="15"/>
        <v>147525361000000</v>
      </c>
      <c r="M16" s="2">
        <v>2013</v>
      </c>
      <c r="N16" s="5">
        <v>352561</v>
      </c>
      <c r="O16" s="5">
        <v>2768277</v>
      </c>
      <c r="P16" s="5">
        <v>3120838</v>
      </c>
      <c r="Q16" s="2">
        <f t="shared" si="8"/>
        <v>352561000000</v>
      </c>
      <c r="R16" s="2">
        <f t="shared" si="9"/>
        <v>2768277000000</v>
      </c>
      <c r="S16" s="68">
        <f t="shared" si="10"/>
        <v>3120838000000</v>
      </c>
      <c r="T16" s="57"/>
      <c r="V16" s="2">
        <v>2013</v>
      </c>
      <c r="W16" s="58">
        <v>462317</v>
      </c>
      <c r="X16" s="58"/>
      <c r="Y16" s="58">
        <v>60195</v>
      </c>
      <c r="Z16" s="2">
        <v>2013</v>
      </c>
      <c r="AA16" s="59">
        <f t="shared" si="11"/>
        <v>462317000</v>
      </c>
      <c r="AB16" s="59">
        <f t="shared" si="5"/>
        <v>0</v>
      </c>
      <c r="AC16" s="59">
        <f t="shared" si="5"/>
        <v>60195000</v>
      </c>
      <c r="AD16" s="2">
        <v>2013</v>
      </c>
      <c r="AE16" s="59">
        <f t="shared" si="12"/>
        <v>985797614466000</v>
      </c>
      <c r="AF16" s="59">
        <f t="shared" si="13"/>
        <v>0</v>
      </c>
      <c r="AG16" s="59">
        <f t="shared" si="14"/>
        <v>128353678110000</v>
      </c>
      <c r="AH16" s="57"/>
      <c r="AI16" s="57"/>
    </row>
    <row r="17" spans="1:59" x14ac:dyDescent="0.25">
      <c r="A17" s="3">
        <v>2014</v>
      </c>
      <c r="B17" s="3">
        <v>100.26</v>
      </c>
      <c r="C17" s="3">
        <v>49.04</v>
      </c>
      <c r="D17" s="3">
        <v>149.30000000000001</v>
      </c>
      <c r="E17" s="3">
        <f t="shared" si="7"/>
        <v>100260000</v>
      </c>
      <c r="F17" s="3">
        <f t="shared" si="0"/>
        <v>49040000</v>
      </c>
      <c r="G17" s="3">
        <f t="shared" si="0"/>
        <v>149300000</v>
      </c>
      <c r="H17" s="3">
        <f t="shared" si="1"/>
        <v>100260000000000</v>
      </c>
      <c r="I17" s="3">
        <f t="shared" si="2"/>
        <v>49040000000000</v>
      </c>
      <c r="J17" s="3">
        <f t="shared" si="3"/>
        <v>149300000000000</v>
      </c>
      <c r="K17">
        <f t="shared" si="15"/>
        <v>147269162000000</v>
      </c>
      <c r="M17" s="2">
        <v>2014</v>
      </c>
      <c r="N17" s="5">
        <v>304693</v>
      </c>
      <c r="O17" s="5">
        <v>2871098</v>
      </c>
      <c r="P17" s="5">
        <v>3175791</v>
      </c>
      <c r="Q17" s="2">
        <f t="shared" si="8"/>
        <v>304693000000</v>
      </c>
      <c r="R17" s="2">
        <f t="shared" si="9"/>
        <v>2871098000000</v>
      </c>
      <c r="S17" s="68">
        <f t="shared" si="10"/>
        <v>3175791000000</v>
      </c>
      <c r="T17" s="57"/>
      <c r="V17" s="2">
        <v>2014</v>
      </c>
      <c r="W17" s="58">
        <v>482749</v>
      </c>
      <c r="X17" s="58"/>
      <c r="Y17" s="58">
        <v>61543</v>
      </c>
      <c r="Z17" s="2">
        <v>2014</v>
      </c>
      <c r="AA17" s="59">
        <f t="shared" si="11"/>
        <v>482749000</v>
      </c>
      <c r="AB17" s="59">
        <f t="shared" si="5"/>
        <v>0</v>
      </c>
      <c r="AC17" s="59">
        <f t="shared" si="5"/>
        <v>61543000</v>
      </c>
      <c r="AD17" s="2">
        <v>2014</v>
      </c>
      <c r="AE17" s="59">
        <f t="shared" si="12"/>
        <v>1029364727202000</v>
      </c>
      <c r="AF17" s="59">
        <f t="shared" si="13"/>
        <v>0</v>
      </c>
      <c r="AG17" s="59">
        <f t="shared" si="14"/>
        <v>131228015814000</v>
      </c>
      <c r="AH17" s="57"/>
      <c r="AI17" s="57"/>
    </row>
    <row r="18" spans="1:59" x14ac:dyDescent="0.25">
      <c r="A18" s="3">
        <v>2015</v>
      </c>
      <c r="B18" s="3">
        <v>97.99</v>
      </c>
      <c r="C18" s="3">
        <v>53.34</v>
      </c>
      <c r="D18" s="3">
        <v>151.33000000000001</v>
      </c>
      <c r="E18" s="3">
        <f t="shared" si="7"/>
        <v>97990000</v>
      </c>
      <c r="F18" s="3">
        <f t="shared" si="0"/>
        <v>53340000</v>
      </c>
      <c r="G18" s="3">
        <f t="shared" si="0"/>
        <v>151330000</v>
      </c>
      <c r="H18" s="3">
        <f t="shared" si="1"/>
        <v>97990000000000</v>
      </c>
      <c r="I18" s="3">
        <f t="shared" si="2"/>
        <v>53340000000000</v>
      </c>
      <c r="J18" s="3">
        <f t="shared" si="3"/>
        <v>151330000000000</v>
      </c>
      <c r="K18">
        <f t="shared" si="15"/>
        <v>146124209000000</v>
      </c>
      <c r="M18" s="2">
        <v>2015</v>
      </c>
      <c r="N18" s="66">
        <v>376669</v>
      </c>
      <c r="O18" s="5">
        <v>2739473</v>
      </c>
      <c r="P18" s="5">
        <v>3116142</v>
      </c>
      <c r="Q18" s="2">
        <f t="shared" si="8"/>
        <v>376669000000</v>
      </c>
      <c r="R18" s="2">
        <f t="shared" si="9"/>
        <v>2739473000000</v>
      </c>
      <c r="S18" s="68">
        <f t="shared" si="10"/>
        <v>3116142000000</v>
      </c>
      <c r="T18" s="57"/>
      <c r="V18" s="2">
        <v>2015</v>
      </c>
      <c r="W18" s="58">
        <v>480375</v>
      </c>
      <c r="X18" s="58"/>
      <c r="Y18" s="58">
        <v>55080</v>
      </c>
      <c r="Z18" s="2">
        <v>2015</v>
      </c>
      <c r="AA18" s="59">
        <f t="shared" si="11"/>
        <v>480375000</v>
      </c>
      <c r="AB18" s="59">
        <f t="shared" si="5"/>
        <v>0</v>
      </c>
      <c r="AC18" s="59">
        <f t="shared" si="5"/>
        <v>55080000</v>
      </c>
      <c r="AD18" s="2">
        <v>2015</v>
      </c>
      <c r="AE18" s="67">
        <f t="shared" si="12"/>
        <v>1024302651750000</v>
      </c>
      <c r="AF18" s="59">
        <f t="shared" si="13"/>
        <v>0</v>
      </c>
      <c r="AG18" s="59">
        <f t="shared" si="14"/>
        <v>117446973840000</v>
      </c>
      <c r="AH18" s="57"/>
      <c r="AI18" s="57"/>
    </row>
    <row r="19" spans="1:59" x14ac:dyDescent="0.25">
      <c r="A19" s="3">
        <v>2016</v>
      </c>
      <c r="B19" s="3">
        <v>101.22</v>
      </c>
      <c r="C19" s="3">
        <v>42.84</v>
      </c>
      <c r="D19" s="3">
        <v>144.06</v>
      </c>
      <c r="E19" s="3">
        <f t="shared" si="7"/>
        <v>101220000</v>
      </c>
      <c r="F19" s="3">
        <f t="shared" ref="F19:F21" si="16">C19*1000000</f>
        <v>42840000</v>
      </c>
      <c r="G19" s="3">
        <f t="shared" ref="G19:G21" si="17">D19*1000000</f>
        <v>144060000</v>
      </c>
      <c r="H19" s="3">
        <f t="shared" si="1"/>
        <v>101220000000000</v>
      </c>
      <c r="I19" s="3">
        <f t="shared" si="2"/>
        <v>42840000000000</v>
      </c>
      <c r="J19" s="3">
        <f t="shared" si="3"/>
        <v>144060000000000</v>
      </c>
      <c r="K19">
        <f t="shared" si="15"/>
        <v>148213858000000</v>
      </c>
      <c r="M19" s="2">
        <v>2016</v>
      </c>
      <c r="N19" s="5">
        <v>467813</v>
      </c>
      <c r="O19" s="5">
        <v>2602426</v>
      </c>
      <c r="P19" s="5">
        <v>3070239</v>
      </c>
      <c r="Q19" s="2">
        <f t="shared" si="8"/>
        <v>467813000000</v>
      </c>
      <c r="R19" s="2">
        <f t="shared" si="9"/>
        <v>2602426000000</v>
      </c>
      <c r="S19" s="68">
        <f t="shared" si="10"/>
        <v>3070239000000</v>
      </c>
      <c r="T19" s="57"/>
      <c r="V19" s="2">
        <v>2016</v>
      </c>
      <c r="W19" s="58">
        <v>473613</v>
      </c>
      <c r="X19" s="58"/>
      <c r="Y19" s="58">
        <v>50780</v>
      </c>
      <c r="Z19" s="2">
        <v>2016</v>
      </c>
      <c r="AA19" s="59">
        <f t="shared" si="11"/>
        <v>473613000</v>
      </c>
      <c r="AB19" s="59">
        <f t="shared" ref="AB19:AB23" si="18">X19*1000</f>
        <v>0</v>
      </c>
      <c r="AC19" s="59">
        <f t="shared" ref="AC19:AC23" si="19">Y19*1000</f>
        <v>50780000</v>
      </c>
      <c r="AD19" s="2">
        <v>2016</v>
      </c>
      <c r="AE19" s="59">
        <f t="shared" si="12"/>
        <v>1009884052674000</v>
      </c>
      <c r="AF19" s="59">
        <f t="shared" si="13"/>
        <v>0</v>
      </c>
      <c r="AG19" s="59">
        <f t="shared" si="14"/>
        <v>108278092440000</v>
      </c>
      <c r="AH19" s="57"/>
      <c r="AI19" s="57"/>
    </row>
    <row r="20" spans="1:59" x14ac:dyDescent="0.25">
      <c r="A20" s="3">
        <v>2017</v>
      </c>
      <c r="B20" s="3">
        <v>100.37</v>
      </c>
      <c r="C20" s="3">
        <v>42.35</v>
      </c>
      <c r="D20" s="3">
        <v>142.72</v>
      </c>
      <c r="E20" s="3">
        <f t="shared" si="7"/>
        <v>100370000</v>
      </c>
      <c r="F20" s="3">
        <f t="shared" si="16"/>
        <v>42350000</v>
      </c>
      <c r="G20" s="3">
        <f t="shared" si="17"/>
        <v>142720000</v>
      </c>
      <c r="H20" s="3">
        <f t="shared" si="1"/>
        <v>100370000000000</v>
      </c>
      <c r="I20" s="3">
        <f t="shared" si="2"/>
        <v>42350000000000</v>
      </c>
      <c r="J20" s="3">
        <f t="shared" si="3"/>
        <v>142720000000000</v>
      </c>
      <c r="K20">
        <f t="shared" si="15"/>
        <v>140989761000000</v>
      </c>
      <c r="M20" s="2">
        <v>2017</v>
      </c>
      <c r="N20" s="5">
        <v>497079</v>
      </c>
      <c r="O20" s="5">
        <v>2466105</v>
      </c>
      <c r="P20" s="5">
        <v>2963184</v>
      </c>
      <c r="Q20" s="2">
        <f t="shared" si="8"/>
        <v>497079000000</v>
      </c>
      <c r="R20" s="2">
        <f t="shared" si="9"/>
        <v>2466105000000</v>
      </c>
      <c r="S20" s="68">
        <f t="shared" si="10"/>
        <v>2963184000000</v>
      </c>
      <c r="T20" s="57"/>
      <c r="V20" s="2">
        <v>2017</v>
      </c>
      <c r="W20" s="58"/>
      <c r="X20" s="58"/>
      <c r="Y20" s="58"/>
      <c r="Z20" s="2">
        <v>2017</v>
      </c>
      <c r="AA20" s="59">
        <f t="shared" si="11"/>
        <v>0</v>
      </c>
      <c r="AB20" s="59">
        <f t="shared" si="18"/>
        <v>0</v>
      </c>
      <c r="AC20" s="59">
        <f t="shared" si="19"/>
        <v>0</v>
      </c>
      <c r="AD20" s="2">
        <v>2017</v>
      </c>
      <c r="AE20" s="59">
        <f t="shared" si="12"/>
        <v>0</v>
      </c>
      <c r="AF20" s="59">
        <f t="shared" si="13"/>
        <v>0</v>
      </c>
      <c r="AG20" s="59">
        <f t="shared" si="14"/>
        <v>0</v>
      </c>
      <c r="AH20" s="57"/>
      <c r="AI20" s="57"/>
    </row>
    <row r="21" spans="1:59" x14ac:dyDescent="0.25">
      <c r="A21" s="3">
        <v>2018</v>
      </c>
      <c r="B21" s="3">
        <v>96.06</v>
      </c>
      <c r="C21" s="3">
        <v>39.49</v>
      </c>
      <c r="D21" s="3">
        <v>135.55000000000001</v>
      </c>
      <c r="E21" s="3">
        <f t="shared" si="7"/>
        <v>96060000</v>
      </c>
      <c r="F21" s="3">
        <f t="shared" si="16"/>
        <v>39490000</v>
      </c>
      <c r="G21" s="3">
        <f t="shared" si="17"/>
        <v>135550000</v>
      </c>
      <c r="H21" s="3">
        <f t="shared" si="1"/>
        <v>96060000000000</v>
      </c>
      <c r="I21" s="3">
        <f t="shared" si="2"/>
        <v>39490000000000</v>
      </c>
      <c r="J21" s="3">
        <f t="shared" si="3"/>
        <v>135550000000000.02</v>
      </c>
      <c r="K21">
        <f t="shared" si="15"/>
        <v>139756816000000</v>
      </c>
      <c r="M21" s="2">
        <v>2018</v>
      </c>
      <c r="N21" s="5">
        <v>577270</v>
      </c>
      <c r="O21" s="5">
        <v>2419532</v>
      </c>
      <c r="P21" s="5">
        <v>2996802</v>
      </c>
      <c r="Q21" s="2">
        <f t="shared" si="8"/>
        <v>577270000000</v>
      </c>
      <c r="R21" s="2">
        <f t="shared" si="9"/>
        <v>2419532000000</v>
      </c>
      <c r="S21" s="68">
        <f t="shared" si="10"/>
        <v>2996802000000</v>
      </c>
      <c r="T21" s="57"/>
      <c r="V21" s="2">
        <v>2018</v>
      </c>
      <c r="W21" s="58">
        <v>460281</v>
      </c>
      <c r="X21" s="58"/>
      <c r="Y21" s="58">
        <v>46908</v>
      </c>
      <c r="Z21" s="2">
        <v>2018</v>
      </c>
      <c r="AA21" s="59">
        <f t="shared" si="11"/>
        <v>460281000</v>
      </c>
      <c r="AB21" s="59">
        <f t="shared" si="18"/>
        <v>0</v>
      </c>
      <c r="AC21" s="59">
        <f t="shared" si="19"/>
        <v>46908000</v>
      </c>
      <c r="AD21" s="2">
        <v>2018</v>
      </c>
      <c r="AE21" s="59">
        <f t="shared" si="12"/>
        <v>981456255738000</v>
      </c>
      <c r="AF21" s="59">
        <f t="shared" si="13"/>
        <v>0</v>
      </c>
      <c r="AG21" s="59">
        <f t="shared" si="14"/>
        <v>100021834584000</v>
      </c>
      <c r="AH21" s="57"/>
      <c r="AI21" s="57"/>
    </row>
    <row r="22" spans="1:59" x14ac:dyDescent="0.25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M22" s="2">
        <v>2019</v>
      </c>
      <c r="N22" s="2"/>
      <c r="O22" s="2"/>
      <c r="P22" s="2"/>
      <c r="Q22" s="2"/>
      <c r="R22" s="2"/>
      <c r="S22" s="2"/>
      <c r="T22" s="57"/>
      <c r="V22" s="2">
        <v>2019</v>
      </c>
      <c r="W22" s="2"/>
      <c r="X22" s="2"/>
      <c r="Y22" s="2"/>
      <c r="Z22" s="2">
        <v>2019</v>
      </c>
      <c r="AA22" s="59">
        <f t="shared" si="11"/>
        <v>0</v>
      </c>
      <c r="AB22" s="59">
        <f t="shared" si="18"/>
        <v>0</v>
      </c>
      <c r="AC22" s="59">
        <f t="shared" si="19"/>
        <v>0</v>
      </c>
      <c r="AD22" s="2">
        <v>2019</v>
      </c>
      <c r="AE22" s="59">
        <f t="shared" si="12"/>
        <v>0</v>
      </c>
      <c r="AF22" s="59">
        <f t="shared" si="13"/>
        <v>0</v>
      </c>
      <c r="AG22" s="59">
        <f t="shared" si="14"/>
        <v>0</v>
      </c>
      <c r="AH22" s="57"/>
      <c r="AI22" s="57"/>
    </row>
    <row r="23" spans="1:59" x14ac:dyDescent="0.25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M23" s="2">
        <v>2020</v>
      </c>
      <c r="N23" s="2"/>
      <c r="O23" s="2"/>
      <c r="P23" s="2"/>
      <c r="Q23" s="2"/>
      <c r="R23" s="2"/>
      <c r="S23" s="2"/>
      <c r="T23" s="57"/>
      <c r="V23" s="2">
        <v>2020</v>
      </c>
      <c r="W23" s="2"/>
      <c r="X23" s="2"/>
      <c r="Y23" s="2"/>
      <c r="Z23" s="2">
        <v>2020</v>
      </c>
      <c r="AA23" s="59">
        <f t="shared" si="11"/>
        <v>0</v>
      </c>
      <c r="AB23" s="59">
        <f t="shared" si="18"/>
        <v>0</v>
      </c>
      <c r="AC23" s="59">
        <f t="shared" si="19"/>
        <v>0</v>
      </c>
      <c r="AD23" s="2">
        <v>2020</v>
      </c>
      <c r="AE23" s="59">
        <f t="shared" si="12"/>
        <v>0</v>
      </c>
      <c r="AF23" s="59">
        <f t="shared" si="13"/>
        <v>0</v>
      </c>
      <c r="AG23" s="59">
        <f t="shared" si="14"/>
        <v>0</v>
      </c>
      <c r="AH23" s="57"/>
      <c r="AI23" s="57"/>
    </row>
    <row r="25" spans="1:59" x14ac:dyDescent="0.25">
      <c r="A25" s="82" t="s">
        <v>177</v>
      </c>
      <c r="B25" s="82"/>
      <c r="C25" s="82"/>
      <c r="H25" s="82" t="s">
        <v>232</v>
      </c>
      <c r="I25" s="82"/>
      <c r="K25" s="82" t="s">
        <v>230</v>
      </c>
      <c r="L25" s="82"/>
      <c r="N25" t="s">
        <v>233</v>
      </c>
      <c r="O25" t="s">
        <v>235</v>
      </c>
      <c r="P25" t="s">
        <v>234</v>
      </c>
    </row>
    <row r="26" spans="1:59" x14ac:dyDescent="0.25">
      <c r="A26" s="3" t="s">
        <v>0</v>
      </c>
      <c r="B26" s="3" t="s">
        <v>226</v>
      </c>
      <c r="C26" s="3" t="s">
        <v>197</v>
      </c>
      <c r="D26" s="73"/>
      <c r="E26" s="73"/>
      <c r="F26" s="73"/>
      <c r="G26" s="73"/>
      <c r="H26" s="72" t="s">
        <v>0</v>
      </c>
      <c r="I26" s="72" t="s">
        <v>197</v>
      </c>
      <c r="K26" s="72" t="s">
        <v>0</v>
      </c>
      <c r="L26" s="72" t="s">
        <v>197</v>
      </c>
    </row>
    <row r="27" spans="1:59" x14ac:dyDescent="0.25">
      <c r="A27" s="3">
        <v>2000</v>
      </c>
      <c r="B27" s="3">
        <f>J3</f>
        <v>170310000000000</v>
      </c>
      <c r="C27" s="3">
        <f>S3</f>
        <v>2901302000000</v>
      </c>
      <c r="H27" s="32">
        <v>2000</v>
      </c>
      <c r="I27" s="70">
        <f t="shared" ref="I27:I45" si="20">P3*$AH$2</f>
        <v>521073.83920000005</v>
      </c>
      <c r="J27" s="70"/>
      <c r="K27" s="32">
        <v>2000</v>
      </c>
      <c r="L27" s="70">
        <f>LPG!T4</f>
        <v>38365876380923.555</v>
      </c>
      <c r="M27" s="70"/>
      <c r="N27" s="70">
        <f>L27+I27</f>
        <v>38365876901997.391</v>
      </c>
      <c r="O27" s="70">
        <f>I27/N27</f>
        <v>1.358170023145938E-8</v>
      </c>
      <c r="P27" s="70">
        <f>L27/N27</f>
        <v>0.9999999864182999</v>
      </c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</row>
    <row r="28" spans="1:59" x14ac:dyDescent="0.25">
      <c r="A28" s="3">
        <v>2001</v>
      </c>
      <c r="B28" s="3">
        <f t="shared" ref="B28:B45" si="21">J4</f>
        <v>168150000000000</v>
      </c>
      <c r="C28" s="3">
        <f t="shared" ref="C28:C45" si="22">S4</f>
        <v>2806084000000</v>
      </c>
      <c r="H28" s="32">
        <v>2001</v>
      </c>
      <c r="I28" s="70">
        <f t="shared" si="20"/>
        <v>503972.68640000001</v>
      </c>
      <c r="K28" s="32">
        <v>2001</v>
      </c>
      <c r="L28" s="70">
        <f>LPG!T5</f>
        <v>35032868113116.438</v>
      </c>
      <c r="N28" s="70">
        <f t="shared" ref="N28:N45" si="23">L28+I28</f>
        <v>35032868617089.125</v>
      </c>
      <c r="O28" s="70">
        <f t="shared" ref="O28:O45" si="24">I28/N28</f>
        <v>1.4385709943095006E-8</v>
      </c>
      <c r="P28" s="70">
        <f t="shared" ref="P28:P45" si="25">L28/N28</f>
        <v>0.99999998561429004</v>
      </c>
    </row>
    <row r="29" spans="1:59" x14ac:dyDescent="0.25">
      <c r="A29" s="3">
        <v>2002</v>
      </c>
      <c r="B29" s="3">
        <f t="shared" si="21"/>
        <v>176590000000000</v>
      </c>
      <c r="C29" s="3">
        <f t="shared" si="22"/>
        <v>3036355000000</v>
      </c>
      <c r="H29" s="32">
        <v>2002</v>
      </c>
      <c r="I29" s="70">
        <f t="shared" si="20"/>
        <v>545329.35800000001</v>
      </c>
      <c r="K29" s="32">
        <v>2002</v>
      </c>
      <c r="L29" s="70">
        <f>LPG!T6</f>
        <v>36843606778362.297</v>
      </c>
      <c r="N29" s="70">
        <f t="shared" si="23"/>
        <v>36843607323691.656</v>
      </c>
      <c r="O29" s="70">
        <f t="shared" si="24"/>
        <v>1.480119341216991E-8</v>
      </c>
      <c r="P29" s="70">
        <f t="shared" si="25"/>
        <v>0.99999998519880651</v>
      </c>
    </row>
    <row r="30" spans="1:59" x14ac:dyDescent="0.25">
      <c r="A30" s="3">
        <v>2003</v>
      </c>
      <c r="B30" s="3">
        <f t="shared" si="21"/>
        <v>178130000000000</v>
      </c>
      <c r="C30" s="3">
        <f t="shared" si="22"/>
        <v>3155243000000</v>
      </c>
      <c r="H30" s="32">
        <v>2003</v>
      </c>
      <c r="I30" s="70">
        <f t="shared" si="20"/>
        <v>566681.64280000003</v>
      </c>
      <c r="K30" s="32">
        <v>2003</v>
      </c>
      <c r="L30" s="70">
        <f>LPG!T7</f>
        <v>33224183449388.117</v>
      </c>
      <c r="N30" s="70">
        <f t="shared" si="23"/>
        <v>33224184016069.762</v>
      </c>
      <c r="O30" s="70">
        <f t="shared" si="24"/>
        <v>1.70562997883081E-8</v>
      </c>
      <c r="P30" s="70">
        <f t="shared" si="25"/>
        <v>0.99999998294370018</v>
      </c>
    </row>
    <row r="31" spans="1:59" x14ac:dyDescent="0.25">
      <c r="A31" s="3">
        <v>2004</v>
      </c>
      <c r="B31" s="3">
        <f t="shared" si="21"/>
        <v>188340000000000</v>
      </c>
      <c r="C31" s="3">
        <f t="shared" si="22"/>
        <v>3003945000000</v>
      </c>
      <c r="H31" s="32">
        <v>2004</v>
      </c>
      <c r="I31" s="70">
        <f t="shared" si="20"/>
        <v>539508.522</v>
      </c>
      <c r="K31" s="32">
        <v>2004</v>
      </c>
      <c r="L31" s="70">
        <f>LPG!T8</f>
        <v>25965669272484.195</v>
      </c>
      <c r="N31" s="70">
        <f t="shared" si="23"/>
        <v>25965669811992.719</v>
      </c>
      <c r="O31" s="70">
        <f t="shared" si="24"/>
        <v>2.0777762557498831E-8</v>
      </c>
      <c r="P31" s="70">
        <f t="shared" si="25"/>
        <v>0.99999997922223738</v>
      </c>
    </row>
    <row r="32" spans="1:59" x14ac:dyDescent="0.25">
      <c r="A32" s="3">
        <v>2005</v>
      </c>
      <c r="B32" s="3">
        <f t="shared" si="21"/>
        <v>185800000000000</v>
      </c>
      <c r="C32" s="3">
        <f t="shared" si="22"/>
        <v>2985341000000</v>
      </c>
      <c r="H32" s="32">
        <v>2005</v>
      </c>
      <c r="I32" s="70">
        <f t="shared" si="20"/>
        <v>536167.24360000005</v>
      </c>
      <c r="K32" s="32">
        <v>2005</v>
      </c>
      <c r="L32" s="70">
        <f>LPG!T9</f>
        <v>25619215565189.398</v>
      </c>
      <c r="N32" s="70">
        <f t="shared" si="23"/>
        <v>25619216101356.641</v>
      </c>
      <c r="O32" s="70">
        <f t="shared" si="24"/>
        <v>2.0928323547401899E-8</v>
      </c>
      <c r="P32" s="70">
        <f t="shared" si="25"/>
        <v>0.99999997907167648</v>
      </c>
    </row>
    <row r="33" spans="1:16" x14ac:dyDescent="0.25">
      <c r="A33" s="3">
        <v>2006</v>
      </c>
      <c r="B33" s="3">
        <f t="shared" si="21"/>
        <v>187100000000000</v>
      </c>
      <c r="C33" s="3">
        <f t="shared" si="22"/>
        <v>2953997000000</v>
      </c>
      <c r="H33" s="32">
        <v>2006</v>
      </c>
      <c r="I33" s="70">
        <f t="shared" si="20"/>
        <v>530537.86120000004</v>
      </c>
      <c r="K33" s="32">
        <v>2006</v>
      </c>
      <c r="L33" s="70">
        <f>LPG!T10</f>
        <v>30733061325708.277</v>
      </c>
      <c r="N33" s="70">
        <f t="shared" si="23"/>
        <v>30733061856246.137</v>
      </c>
      <c r="O33" s="70">
        <f t="shared" si="24"/>
        <v>1.7262772700018968E-8</v>
      </c>
      <c r="P33" s="70">
        <f t="shared" si="25"/>
        <v>0.99999998273722734</v>
      </c>
    </row>
    <row r="34" spans="1:16" x14ac:dyDescent="0.25">
      <c r="A34" s="3">
        <v>2007</v>
      </c>
      <c r="B34" s="3">
        <f t="shared" si="21"/>
        <v>165000000000000</v>
      </c>
      <c r="C34" s="3">
        <f t="shared" si="22"/>
        <v>2805540000000</v>
      </c>
      <c r="H34" s="32">
        <v>2007</v>
      </c>
      <c r="I34" s="70">
        <f t="shared" si="20"/>
        <v>503874.98400000005</v>
      </c>
      <c r="K34" s="32">
        <v>2007</v>
      </c>
      <c r="L34" s="70">
        <f>LPG!T11</f>
        <v>38630097319498.438</v>
      </c>
      <c r="N34" s="70">
        <f t="shared" si="23"/>
        <v>38630097823373.422</v>
      </c>
      <c r="O34" s="70">
        <f t="shared" si="24"/>
        <v>1.3043585504335089E-8</v>
      </c>
      <c r="P34" s="70">
        <f t="shared" si="25"/>
        <v>0.99999998695641446</v>
      </c>
    </row>
    <row r="35" spans="1:16" x14ac:dyDescent="0.25">
      <c r="A35" s="3">
        <v>2008</v>
      </c>
      <c r="B35" s="3">
        <f t="shared" si="21"/>
        <v>170100000000000</v>
      </c>
      <c r="C35" s="3">
        <f t="shared" si="22"/>
        <v>2885328000000</v>
      </c>
      <c r="H35" s="32">
        <v>2008</v>
      </c>
      <c r="I35" s="70">
        <f t="shared" si="20"/>
        <v>518204.90880000003</v>
      </c>
      <c r="K35" s="32">
        <v>2008</v>
      </c>
      <c r="L35" s="70">
        <f>LPG!T12</f>
        <v>45049361017939.18</v>
      </c>
      <c r="N35" s="70">
        <f t="shared" si="23"/>
        <v>45049361536144.086</v>
      </c>
      <c r="O35" s="70">
        <f t="shared" si="24"/>
        <v>1.1503046683230636E-8</v>
      </c>
      <c r="P35" s="70">
        <f t="shared" si="25"/>
        <v>0.99999998849695337</v>
      </c>
    </row>
    <row r="36" spans="1:16" x14ac:dyDescent="0.25">
      <c r="A36" s="3">
        <v>2009</v>
      </c>
      <c r="B36" s="3">
        <f t="shared" si="21"/>
        <v>159630000000000</v>
      </c>
      <c r="C36" s="3">
        <f t="shared" si="22"/>
        <v>3060897000000</v>
      </c>
      <c r="H36" s="32">
        <v>2009</v>
      </c>
      <c r="I36" s="70">
        <f t="shared" si="20"/>
        <v>549737.10120000003</v>
      </c>
      <c r="K36" s="32">
        <v>2009</v>
      </c>
      <c r="L36" s="70">
        <f>LPG!T13</f>
        <v>41542435170310.617</v>
      </c>
      <c r="N36" s="70">
        <f t="shared" si="23"/>
        <v>41542435720047.719</v>
      </c>
      <c r="O36" s="70">
        <f t="shared" si="24"/>
        <v>1.323314561776419E-8</v>
      </c>
      <c r="P36" s="70">
        <f t="shared" si="25"/>
        <v>0.99999998676685442</v>
      </c>
    </row>
    <row r="37" spans="1:16" x14ac:dyDescent="0.25">
      <c r="A37" s="3">
        <v>2010</v>
      </c>
      <c r="B37" s="3">
        <f t="shared" si="21"/>
        <v>157140000000000</v>
      </c>
      <c r="C37" s="3">
        <f t="shared" si="22"/>
        <v>3407592000000</v>
      </c>
      <c r="H37" s="32">
        <v>2010</v>
      </c>
      <c r="I37" s="70">
        <f t="shared" si="20"/>
        <v>612003.52320000005</v>
      </c>
      <c r="K37" s="32">
        <v>2010</v>
      </c>
      <c r="L37" s="70">
        <f>LPG!T14</f>
        <v>40017384486048.617</v>
      </c>
      <c r="N37" s="70">
        <f t="shared" si="23"/>
        <v>40017385098052.141</v>
      </c>
      <c r="O37" s="70">
        <f t="shared" si="24"/>
        <v>1.5293441130659721E-8</v>
      </c>
      <c r="P37" s="70">
        <f t="shared" si="25"/>
        <v>0.99999998470655882</v>
      </c>
    </row>
    <row r="38" spans="1:16" x14ac:dyDescent="0.25">
      <c r="A38" s="3">
        <v>2011</v>
      </c>
      <c r="B38" s="3">
        <f t="shared" si="21"/>
        <v>152890000000000</v>
      </c>
      <c r="C38" s="3">
        <f t="shared" si="22"/>
        <v>3256379000000</v>
      </c>
      <c r="H38" s="32">
        <v>2011</v>
      </c>
      <c r="I38" s="70">
        <f t="shared" si="20"/>
        <v>584845.66840000008</v>
      </c>
      <c r="K38" s="32">
        <v>2011</v>
      </c>
      <c r="L38" s="70">
        <f>LPG!T15</f>
        <v>36553774440334.195</v>
      </c>
      <c r="N38" s="70">
        <f t="shared" si="23"/>
        <v>36553775025179.867</v>
      </c>
      <c r="O38" s="70">
        <f t="shared" si="24"/>
        <v>1.5999596977251526E-8</v>
      </c>
      <c r="P38" s="70">
        <f t="shared" si="25"/>
        <v>0.99999998400040291</v>
      </c>
    </row>
    <row r="39" spans="1:16" x14ac:dyDescent="0.25">
      <c r="A39" s="3">
        <v>2012</v>
      </c>
      <c r="B39" s="3">
        <f t="shared" si="21"/>
        <v>150700000000000</v>
      </c>
      <c r="C39" s="3">
        <f t="shared" si="22"/>
        <v>3174639000000</v>
      </c>
      <c r="H39" s="32">
        <v>2012</v>
      </c>
      <c r="I39" s="70">
        <f t="shared" si="20"/>
        <v>570165.16440000001</v>
      </c>
      <c r="K39" s="32">
        <v>2012</v>
      </c>
      <c r="L39" s="70">
        <f>LPG!T16</f>
        <v>43276939478347.953</v>
      </c>
      <c r="N39" s="70">
        <f t="shared" si="23"/>
        <v>43276940048513.117</v>
      </c>
      <c r="O39" s="70">
        <f t="shared" si="24"/>
        <v>1.3174803111330173E-8</v>
      </c>
      <c r="P39" s="70">
        <f t="shared" si="25"/>
        <v>0.99999998682519686</v>
      </c>
    </row>
    <row r="40" spans="1:16" x14ac:dyDescent="0.25">
      <c r="A40" s="3">
        <v>2013</v>
      </c>
      <c r="B40" s="3">
        <f t="shared" si="21"/>
        <v>150390000000000</v>
      </c>
      <c r="C40" s="3">
        <f t="shared" si="22"/>
        <v>3120838000000</v>
      </c>
      <c r="H40" s="32">
        <v>2013</v>
      </c>
      <c r="I40" s="70">
        <f t="shared" si="20"/>
        <v>560502.5048</v>
      </c>
      <c r="K40" s="32">
        <v>2013</v>
      </c>
      <c r="L40" s="70">
        <f>LPG!T17</f>
        <v>59980625129120.641</v>
      </c>
      <c r="N40" s="70">
        <f t="shared" si="23"/>
        <v>59980625689623.148</v>
      </c>
      <c r="O40" s="70">
        <f t="shared" si="24"/>
        <v>9.3447258736577144E-9</v>
      </c>
      <c r="P40" s="70">
        <f t="shared" si="25"/>
        <v>0.99999999065527412</v>
      </c>
    </row>
    <row r="41" spans="1:16" x14ac:dyDescent="0.25">
      <c r="A41" s="3">
        <v>2014</v>
      </c>
      <c r="B41" s="3">
        <f t="shared" si="21"/>
        <v>149300000000000</v>
      </c>
      <c r="C41" s="3">
        <f t="shared" si="22"/>
        <v>3175791000000</v>
      </c>
      <c r="H41" s="32">
        <v>2014</v>
      </c>
      <c r="I41" s="70">
        <f t="shared" si="20"/>
        <v>570372.06359999999</v>
      </c>
      <c r="K41" s="32">
        <v>2014</v>
      </c>
      <c r="L41" s="70">
        <f>LPG!T18</f>
        <v>43245420552406.234</v>
      </c>
      <c r="N41" s="70">
        <f t="shared" si="23"/>
        <v>43245421122778.297</v>
      </c>
      <c r="O41" s="70">
        <f t="shared" si="24"/>
        <v>1.3189189717465203E-8</v>
      </c>
      <c r="P41" s="70">
        <f t="shared" si="25"/>
        <v>0.99999998681081026</v>
      </c>
    </row>
    <row r="42" spans="1:16" x14ac:dyDescent="0.25">
      <c r="A42" s="3">
        <v>2015</v>
      </c>
      <c r="B42" s="3">
        <f t="shared" si="21"/>
        <v>151330000000000</v>
      </c>
      <c r="C42" s="3">
        <f t="shared" si="22"/>
        <v>3116142000000</v>
      </c>
      <c r="H42" s="32">
        <v>2015</v>
      </c>
      <c r="I42" s="70">
        <f t="shared" si="20"/>
        <v>559659.10320000001</v>
      </c>
      <c r="K42" s="32">
        <v>2015</v>
      </c>
      <c r="L42" s="70">
        <f>LPG!T19</f>
        <v>0</v>
      </c>
      <c r="N42" s="70">
        <f t="shared" si="23"/>
        <v>559659.10320000001</v>
      </c>
      <c r="O42" s="70">
        <f t="shared" si="24"/>
        <v>1</v>
      </c>
      <c r="P42" s="70">
        <f t="shared" si="25"/>
        <v>0</v>
      </c>
    </row>
    <row r="43" spans="1:16" x14ac:dyDescent="0.25">
      <c r="A43" s="3">
        <v>2016</v>
      </c>
      <c r="B43" s="3">
        <f t="shared" si="21"/>
        <v>144060000000000</v>
      </c>
      <c r="C43" s="3">
        <f t="shared" si="22"/>
        <v>3070239000000</v>
      </c>
      <c r="H43" s="32">
        <v>2016</v>
      </c>
      <c r="I43" s="70">
        <f t="shared" si="20"/>
        <v>551414.92440000002</v>
      </c>
      <c r="K43" s="32">
        <v>2016</v>
      </c>
      <c r="L43" s="70">
        <f>LPG!T20</f>
        <v>0</v>
      </c>
      <c r="N43" s="70">
        <f t="shared" si="23"/>
        <v>551414.92440000002</v>
      </c>
      <c r="O43" s="70">
        <f t="shared" si="24"/>
        <v>1</v>
      </c>
      <c r="P43" s="70">
        <f t="shared" si="25"/>
        <v>0</v>
      </c>
    </row>
    <row r="44" spans="1:16" x14ac:dyDescent="0.25">
      <c r="A44" s="3">
        <v>2017</v>
      </c>
      <c r="B44" s="3">
        <f t="shared" si="21"/>
        <v>142720000000000</v>
      </c>
      <c r="C44" s="3">
        <f t="shared" si="22"/>
        <v>2963184000000</v>
      </c>
      <c r="H44" s="32">
        <v>2017</v>
      </c>
      <c r="I44" s="70">
        <f t="shared" si="20"/>
        <v>532187.84640000004</v>
      </c>
      <c r="K44" s="32">
        <v>2017</v>
      </c>
      <c r="L44" s="70">
        <f>LPG!T21</f>
        <v>0</v>
      </c>
      <c r="N44" s="70">
        <f t="shared" si="23"/>
        <v>532187.84640000004</v>
      </c>
      <c r="O44" s="70">
        <f t="shared" si="24"/>
        <v>1</v>
      </c>
      <c r="P44" s="70">
        <f t="shared" si="25"/>
        <v>0</v>
      </c>
    </row>
    <row r="45" spans="1:16" x14ac:dyDescent="0.25">
      <c r="A45" s="3">
        <v>2018</v>
      </c>
      <c r="B45" s="3">
        <f t="shared" si="21"/>
        <v>135550000000000.02</v>
      </c>
      <c r="C45" s="3">
        <f t="shared" si="22"/>
        <v>2996802000000</v>
      </c>
      <c r="H45" s="32">
        <v>2018</v>
      </c>
      <c r="I45" s="70">
        <f t="shared" si="20"/>
        <v>538225.63919999998</v>
      </c>
      <c r="K45" s="32">
        <v>2018</v>
      </c>
      <c r="L45" s="70">
        <f>LPG!T22</f>
        <v>0</v>
      </c>
      <c r="N45" s="70">
        <f t="shared" si="23"/>
        <v>538225.63919999998</v>
      </c>
      <c r="O45" s="70">
        <f t="shared" si="24"/>
        <v>1</v>
      </c>
      <c r="P45" s="70">
        <f t="shared" si="25"/>
        <v>0</v>
      </c>
    </row>
    <row r="46" spans="1:16" x14ac:dyDescent="0.25">
      <c r="A46" s="3">
        <v>2019</v>
      </c>
      <c r="H46" s="32">
        <v>2019</v>
      </c>
      <c r="I46" s="70"/>
      <c r="K46" s="32"/>
      <c r="L46" s="70"/>
      <c r="N46" s="70"/>
      <c r="O46" s="70"/>
      <c r="P46" s="70"/>
    </row>
    <row r="47" spans="1:16" x14ac:dyDescent="0.25">
      <c r="A47" s="3">
        <v>2020</v>
      </c>
      <c r="H47" s="32">
        <v>2020</v>
      </c>
      <c r="I47" s="70"/>
      <c r="K47" s="32"/>
      <c r="L47" s="70"/>
      <c r="N47" s="70"/>
      <c r="O47" s="70"/>
      <c r="P47" s="70"/>
    </row>
  </sheetData>
  <mergeCells count="11">
    <mergeCell ref="A25:C25"/>
    <mergeCell ref="K25:L25"/>
    <mergeCell ref="H25:I25"/>
    <mergeCell ref="E1:G1"/>
    <mergeCell ref="Z1:AC1"/>
    <mergeCell ref="AD1:AG1"/>
    <mergeCell ref="A1:D1"/>
    <mergeCell ref="H1:J1"/>
    <mergeCell ref="M1:P1"/>
    <mergeCell ref="Q1:S1"/>
    <mergeCell ref="V1:Y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V23"/>
  <sheetViews>
    <sheetView workbookViewId="0">
      <selection activeCell="H1" sqref="H1:N22"/>
    </sheetView>
  </sheetViews>
  <sheetFormatPr defaultRowHeight="15" x14ac:dyDescent="0.25"/>
  <cols>
    <col min="2" max="2" width="12.140625" bestFit="1" customWidth="1"/>
    <col min="3" max="3" width="11.5703125" bestFit="1" customWidth="1"/>
    <col min="5" max="5" width="18.5703125" bestFit="1" customWidth="1"/>
    <col min="6" max="6" width="18" bestFit="1" customWidth="1"/>
    <col min="7" max="7" width="18" customWidth="1"/>
    <col min="9" max="13" width="14.28515625" bestFit="1" customWidth="1"/>
    <col min="14" max="14" width="14.28515625" customWidth="1"/>
    <col min="18" max="21" width="21.7109375" bestFit="1" customWidth="1"/>
    <col min="22" max="22" width="22.7109375" bestFit="1" customWidth="1"/>
  </cols>
  <sheetData>
    <row r="1" spans="1:22" x14ac:dyDescent="0.25">
      <c r="A1" s="89" t="s">
        <v>229</v>
      </c>
      <c r="B1" s="90"/>
      <c r="C1" s="90"/>
      <c r="D1" s="90"/>
      <c r="E1" s="90"/>
      <c r="F1" s="90"/>
      <c r="G1" s="91"/>
      <c r="H1" s="95" t="s">
        <v>230</v>
      </c>
      <c r="I1" s="95"/>
      <c r="J1" s="95"/>
      <c r="K1" s="95"/>
      <c r="L1" s="95"/>
      <c r="M1" s="95"/>
      <c r="N1" s="95"/>
      <c r="Q1" s="89" t="s">
        <v>230</v>
      </c>
      <c r="R1" s="90"/>
      <c r="S1" s="90"/>
      <c r="T1" s="90"/>
      <c r="U1" s="90"/>
      <c r="V1" s="90"/>
    </row>
    <row r="2" spans="1:22" x14ac:dyDescent="0.25">
      <c r="A2" s="83" t="s">
        <v>0</v>
      </c>
      <c r="B2" s="82" t="s">
        <v>197</v>
      </c>
      <c r="C2" s="82"/>
      <c r="D2" s="82"/>
      <c r="E2" s="83" t="s">
        <v>182</v>
      </c>
      <c r="F2" s="83" t="s">
        <v>183</v>
      </c>
      <c r="G2" s="92" t="s">
        <v>236</v>
      </c>
      <c r="H2" s="94" t="s">
        <v>0</v>
      </c>
      <c r="I2" s="95" t="s">
        <v>197</v>
      </c>
      <c r="J2" s="95"/>
      <c r="K2" s="95"/>
      <c r="L2" s="94" t="s">
        <v>182</v>
      </c>
      <c r="M2" s="94" t="s">
        <v>183</v>
      </c>
      <c r="N2" s="96" t="s">
        <v>237</v>
      </c>
      <c r="Q2" s="83" t="s">
        <v>0</v>
      </c>
      <c r="R2" s="82" t="s">
        <v>197</v>
      </c>
      <c r="S2" s="82"/>
      <c r="T2" s="82"/>
      <c r="U2" s="83" t="s">
        <v>182</v>
      </c>
      <c r="V2" s="83" t="s">
        <v>183</v>
      </c>
    </row>
    <row r="3" spans="1:22" x14ac:dyDescent="0.25">
      <c r="A3" s="83"/>
      <c r="B3" s="3" t="s">
        <v>227</v>
      </c>
      <c r="C3" s="3" t="s">
        <v>228</v>
      </c>
      <c r="D3" s="3" t="s">
        <v>20</v>
      </c>
      <c r="E3" s="83"/>
      <c r="F3" s="83"/>
      <c r="G3" s="93"/>
      <c r="H3" s="94"/>
      <c r="I3" s="25" t="s">
        <v>227</v>
      </c>
      <c r="J3" s="25" t="s">
        <v>228</v>
      </c>
      <c r="K3" s="25" t="s">
        <v>20</v>
      </c>
      <c r="L3" s="94"/>
      <c r="M3" s="94"/>
      <c r="N3" s="96"/>
      <c r="O3" s="32">
        <v>8.5245999999999995</v>
      </c>
      <c r="P3" t="s">
        <v>231</v>
      </c>
      <c r="Q3" s="83"/>
      <c r="R3" s="3" t="s">
        <v>227</v>
      </c>
      <c r="S3" s="3" t="s">
        <v>228</v>
      </c>
      <c r="T3" s="3" t="s">
        <v>20</v>
      </c>
      <c r="U3" s="83"/>
      <c r="V3" s="83"/>
    </row>
    <row r="4" spans="1:22" x14ac:dyDescent="0.25">
      <c r="A4" s="3">
        <v>2000</v>
      </c>
      <c r="B4" s="4">
        <v>1296505</v>
      </c>
      <c r="C4" s="4">
        <v>814177</v>
      </c>
      <c r="D4" s="4">
        <v>2110682</v>
      </c>
      <c r="E4" s="4">
        <v>1217410</v>
      </c>
      <c r="F4" s="3">
        <v>0</v>
      </c>
      <c r="G4" s="4">
        <f>(B4+C4)-E4</f>
        <v>893272</v>
      </c>
      <c r="H4" s="74">
        <v>2000</v>
      </c>
      <c r="I4" s="31">
        <f t="shared" ref="I4:I18" si="0">B4*$O$3</f>
        <v>11052186.523</v>
      </c>
      <c r="J4" s="31">
        <f t="shared" ref="J4:J18" si="1">C4*$O$3</f>
        <v>6940533.2541999994</v>
      </c>
      <c r="K4" s="31">
        <f t="shared" ref="K4:K18" si="2">D4*$O$3</f>
        <v>17992719.777199998</v>
      </c>
      <c r="L4" s="31">
        <f t="shared" ref="L4:L18" si="3">E4*$O$3</f>
        <v>10377933.286</v>
      </c>
      <c r="M4" s="31">
        <f t="shared" ref="M4:M18" si="4">F4*$O$3</f>
        <v>0</v>
      </c>
      <c r="N4" s="31">
        <f>(I4+J4)-L4+M4</f>
        <v>7614786.4911999982</v>
      </c>
      <c r="O4" s="70">
        <v>2132300</v>
      </c>
      <c r="P4" t="s">
        <v>212</v>
      </c>
      <c r="Q4" s="71">
        <v>2000</v>
      </c>
      <c r="R4" s="9">
        <f t="shared" ref="R4:R18" si="5">I4*$O$4</f>
        <v>23566577322992.898</v>
      </c>
      <c r="S4" s="9">
        <f t="shared" ref="S4:S18" si="6">J4*$O$4</f>
        <v>14799299057930.658</v>
      </c>
      <c r="T4" s="9">
        <f t="shared" ref="T4:T18" si="7">K4*$O$4</f>
        <v>38365876380923.555</v>
      </c>
      <c r="U4" s="9">
        <f t="shared" ref="U4:U18" si="8">L4*$O$4</f>
        <v>22128867145737.801</v>
      </c>
      <c r="V4" s="9">
        <f t="shared" ref="V4:V18" si="9">M4*$O$4</f>
        <v>0</v>
      </c>
    </row>
    <row r="5" spans="1:22" x14ac:dyDescent="0.25">
      <c r="A5" s="3">
        <v>2001</v>
      </c>
      <c r="B5" s="4">
        <v>1148379</v>
      </c>
      <c r="C5" s="4">
        <v>778939</v>
      </c>
      <c r="D5" s="4">
        <v>1927318</v>
      </c>
      <c r="E5" s="4">
        <v>1033672</v>
      </c>
      <c r="F5" s="4">
        <v>111178</v>
      </c>
      <c r="G5" s="4">
        <f t="shared" ref="G5:G22" si="10">(B5+C5)-E5</f>
        <v>893646</v>
      </c>
      <c r="H5" s="74">
        <v>2001</v>
      </c>
      <c r="I5" s="31">
        <f t="shared" si="0"/>
        <v>9789471.623399999</v>
      </c>
      <c r="J5" s="31">
        <f t="shared" si="1"/>
        <v>6640143.3993999995</v>
      </c>
      <c r="K5" s="31">
        <f t="shared" si="2"/>
        <v>16429615.022799999</v>
      </c>
      <c r="L5" s="31">
        <f t="shared" si="3"/>
        <v>8811640.3311999999</v>
      </c>
      <c r="M5" s="31">
        <f t="shared" si="4"/>
        <v>947747.97879999992</v>
      </c>
      <c r="N5" s="31">
        <f t="shared" ref="N5:N22" si="11">(I5+J5)-L5+M5</f>
        <v>8565722.6703999992</v>
      </c>
      <c r="Q5" s="71">
        <v>2001</v>
      </c>
      <c r="R5" s="9">
        <f t="shared" si="5"/>
        <v>20874090342575.816</v>
      </c>
      <c r="S5" s="9">
        <f t="shared" si="6"/>
        <v>14158777770540.619</v>
      </c>
      <c r="T5" s="9">
        <f t="shared" si="7"/>
        <v>35032868113116.438</v>
      </c>
      <c r="U5" s="9">
        <f t="shared" si="8"/>
        <v>18789060678217.762</v>
      </c>
      <c r="V5" s="9">
        <f t="shared" si="9"/>
        <v>2020883015195.2397</v>
      </c>
    </row>
    <row r="6" spans="1:22" x14ac:dyDescent="0.25">
      <c r="A6" s="3">
        <v>2002</v>
      </c>
      <c r="B6" s="4">
        <v>1130540</v>
      </c>
      <c r="C6" s="4">
        <v>896395</v>
      </c>
      <c r="D6" s="4">
        <v>2026935</v>
      </c>
      <c r="E6" s="4">
        <v>981780</v>
      </c>
      <c r="F6" s="4">
        <v>32994</v>
      </c>
      <c r="G6" s="4">
        <f t="shared" si="10"/>
        <v>1045155</v>
      </c>
      <c r="H6" s="74">
        <v>2002</v>
      </c>
      <c r="I6" s="31">
        <f t="shared" si="0"/>
        <v>9637401.284</v>
      </c>
      <c r="J6" s="31">
        <f t="shared" si="1"/>
        <v>7641408.8169999998</v>
      </c>
      <c r="K6" s="31">
        <f t="shared" si="2"/>
        <v>17278810.101</v>
      </c>
      <c r="L6" s="31">
        <f t="shared" si="3"/>
        <v>8369281.7879999997</v>
      </c>
      <c r="M6" s="31">
        <f t="shared" si="4"/>
        <v>281260.65239999996</v>
      </c>
      <c r="N6" s="31">
        <f t="shared" si="11"/>
        <v>9190788.965400001</v>
      </c>
      <c r="Q6" s="71">
        <v>2002</v>
      </c>
      <c r="R6" s="9">
        <f t="shared" si="5"/>
        <v>20549830757873.199</v>
      </c>
      <c r="S6" s="9">
        <f t="shared" si="6"/>
        <v>16293776020489.1</v>
      </c>
      <c r="T6" s="9">
        <f t="shared" si="7"/>
        <v>36843606778362.297</v>
      </c>
      <c r="U6" s="9">
        <f t="shared" si="8"/>
        <v>17845819556552.398</v>
      </c>
      <c r="V6" s="9">
        <f t="shared" si="9"/>
        <v>599732089112.5199</v>
      </c>
    </row>
    <row r="7" spans="1:22" x14ac:dyDescent="0.25">
      <c r="A7" s="3">
        <v>2003</v>
      </c>
      <c r="B7" s="4">
        <v>995097</v>
      </c>
      <c r="C7" s="4">
        <v>832717</v>
      </c>
      <c r="D7" s="4">
        <v>1827814</v>
      </c>
      <c r="E7" s="4">
        <v>1015366</v>
      </c>
      <c r="F7" s="4">
        <v>22166</v>
      </c>
      <c r="G7" s="4">
        <f t="shared" si="10"/>
        <v>812448</v>
      </c>
      <c r="H7" s="74">
        <v>2003</v>
      </c>
      <c r="I7" s="31">
        <f t="shared" si="0"/>
        <v>8482803.8861999996</v>
      </c>
      <c r="J7" s="31">
        <f t="shared" si="1"/>
        <v>7098579.3381999992</v>
      </c>
      <c r="K7" s="31">
        <f t="shared" si="2"/>
        <v>15581383.224399999</v>
      </c>
      <c r="L7" s="31">
        <f t="shared" si="3"/>
        <v>8655589.0035999995</v>
      </c>
      <c r="M7" s="31">
        <f t="shared" si="4"/>
        <v>188956.2836</v>
      </c>
      <c r="N7" s="31">
        <f t="shared" si="11"/>
        <v>7114750.504399999</v>
      </c>
      <c r="Q7" s="71">
        <v>2003</v>
      </c>
      <c r="R7" s="9">
        <f t="shared" si="5"/>
        <v>18087882726544.258</v>
      </c>
      <c r="S7" s="9">
        <f t="shared" si="6"/>
        <v>15136300722843.857</v>
      </c>
      <c r="T7" s="9">
        <f t="shared" si="7"/>
        <v>33224183449388.117</v>
      </c>
      <c r="U7" s="9">
        <f t="shared" si="8"/>
        <v>18456312432376.277</v>
      </c>
      <c r="V7" s="9">
        <f t="shared" si="9"/>
        <v>402911483520.27997</v>
      </c>
    </row>
    <row r="8" spans="1:22" x14ac:dyDescent="0.25">
      <c r="A8" s="3">
        <v>2004</v>
      </c>
      <c r="B8" s="4">
        <v>573093</v>
      </c>
      <c r="C8" s="4">
        <v>855397</v>
      </c>
      <c r="D8" s="4">
        <v>1428490</v>
      </c>
      <c r="E8" s="4">
        <v>289698</v>
      </c>
      <c r="F8" s="4">
        <v>68997</v>
      </c>
      <c r="G8" s="4">
        <f t="shared" si="10"/>
        <v>1138792</v>
      </c>
      <c r="H8" s="74">
        <v>2004</v>
      </c>
      <c r="I8" s="31">
        <f t="shared" si="0"/>
        <v>4885388.5877999999</v>
      </c>
      <c r="J8" s="31">
        <f t="shared" si="1"/>
        <v>7291917.2661999995</v>
      </c>
      <c r="K8" s="31">
        <f t="shared" si="2"/>
        <v>12177305.853999998</v>
      </c>
      <c r="L8" s="31">
        <f t="shared" si="3"/>
        <v>2469559.5707999999</v>
      </c>
      <c r="M8" s="31">
        <f t="shared" si="4"/>
        <v>588171.82620000001</v>
      </c>
      <c r="N8" s="31">
        <f t="shared" si="11"/>
        <v>10295918.1094</v>
      </c>
      <c r="Q8" s="71">
        <v>2004</v>
      </c>
      <c r="R8" s="9">
        <f t="shared" si="5"/>
        <v>10417114085765.939</v>
      </c>
      <c r="S8" s="9">
        <f t="shared" si="6"/>
        <v>15548555186718.26</v>
      </c>
      <c r="T8" s="9">
        <f t="shared" si="7"/>
        <v>25965669272484.195</v>
      </c>
      <c r="U8" s="9">
        <f t="shared" si="8"/>
        <v>5265841872816.8398</v>
      </c>
      <c r="V8" s="9">
        <f t="shared" si="9"/>
        <v>1254158785006.26</v>
      </c>
    </row>
    <row r="9" spans="1:22" x14ac:dyDescent="0.25">
      <c r="A9" s="3">
        <v>2005</v>
      </c>
      <c r="B9" s="4">
        <v>546734</v>
      </c>
      <c r="C9" s="4">
        <v>862696</v>
      </c>
      <c r="D9" s="4">
        <v>1409430</v>
      </c>
      <c r="E9" s="4">
        <v>268511</v>
      </c>
      <c r="F9" s="4">
        <v>137760</v>
      </c>
      <c r="G9" s="4">
        <f t="shared" si="10"/>
        <v>1140919</v>
      </c>
      <c r="H9" s="74">
        <v>2005</v>
      </c>
      <c r="I9" s="31">
        <f t="shared" si="0"/>
        <v>4660688.6563999997</v>
      </c>
      <c r="J9" s="31">
        <f t="shared" si="1"/>
        <v>7354138.3215999994</v>
      </c>
      <c r="K9" s="31">
        <f t="shared" si="2"/>
        <v>12014826.978</v>
      </c>
      <c r="L9" s="31">
        <f t="shared" si="3"/>
        <v>2288948.8706</v>
      </c>
      <c r="M9" s="31">
        <f t="shared" si="4"/>
        <v>1174348.8959999999</v>
      </c>
      <c r="N9" s="31">
        <f t="shared" si="11"/>
        <v>10900227.0034</v>
      </c>
      <c r="Q9" s="71">
        <v>2005</v>
      </c>
      <c r="R9" s="9">
        <f t="shared" si="5"/>
        <v>9937986422041.7188</v>
      </c>
      <c r="S9" s="9">
        <f t="shared" si="6"/>
        <v>15681229143147.68</v>
      </c>
      <c r="T9" s="9">
        <f t="shared" si="7"/>
        <v>25619215565189.398</v>
      </c>
      <c r="U9" s="9">
        <f t="shared" si="8"/>
        <v>4880725676780.3799</v>
      </c>
      <c r="V9" s="9">
        <f t="shared" si="9"/>
        <v>2504064150940.7998</v>
      </c>
    </row>
    <row r="10" spans="1:22" x14ac:dyDescent="0.25">
      <c r="A10" s="3">
        <v>2006</v>
      </c>
      <c r="B10" s="4">
        <v>910663</v>
      </c>
      <c r="C10" s="4">
        <v>780103</v>
      </c>
      <c r="D10" s="4">
        <v>1690766</v>
      </c>
      <c r="E10" s="4">
        <v>100500</v>
      </c>
      <c r="F10" s="4">
        <v>418139</v>
      </c>
      <c r="G10" s="4">
        <f t="shared" si="10"/>
        <v>1590266</v>
      </c>
      <c r="H10" s="74">
        <v>2006</v>
      </c>
      <c r="I10" s="31">
        <f t="shared" si="0"/>
        <v>7763037.8097999999</v>
      </c>
      <c r="J10" s="31">
        <f t="shared" si="1"/>
        <v>6650066.0337999994</v>
      </c>
      <c r="K10" s="31">
        <f t="shared" si="2"/>
        <v>14413103.843599999</v>
      </c>
      <c r="L10" s="31">
        <f t="shared" si="3"/>
        <v>856722.29999999993</v>
      </c>
      <c r="M10" s="31">
        <f t="shared" si="4"/>
        <v>3564467.7193999998</v>
      </c>
      <c r="N10" s="31">
        <f t="shared" si="11"/>
        <v>17120849.262999997</v>
      </c>
      <c r="Q10" s="71">
        <v>2006</v>
      </c>
      <c r="R10" s="9">
        <f t="shared" si="5"/>
        <v>16553125521836.539</v>
      </c>
      <c r="S10" s="9">
        <f t="shared" si="6"/>
        <v>14179935803871.738</v>
      </c>
      <c r="T10" s="9">
        <f t="shared" si="7"/>
        <v>30733061325708.277</v>
      </c>
      <c r="U10" s="9">
        <f t="shared" si="8"/>
        <v>1826788960289.9998</v>
      </c>
      <c r="V10" s="9">
        <f t="shared" si="9"/>
        <v>7600514518076.6201</v>
      </c>
    </row>
    <row r="11" spans="1:22" x14ac:dyDescent="0.25">
      <c r="A11" s="3">
        <v>2007</v>
      </c>
      <c r="B11" s="4">
        <v>1430671</v>
      </c>
      <c r="C11" s="4">
        <v>694547</v>
      </c>
      <c r="D11" s="4">
        <v>2125218</v>
      </c>
      <c r="E11" s="4">
        <v>88463</v>
      </c>
      <c r="F11" s="4">
        <v>917171</v>
      </c>
      <c r="G11" s="4">
        <f t="shared" si="10"/>
        <v>2036755</v>
      </c>
      <c r="H11" s="74">
        <v>2007</v>
      </c>
      <c r="I11" s="31">
        <f t="shared" si="0"/>
        <v>12195898.0066</v>
      </c>
      <c r="J11" s="31">
        <f t="shared" si="1"/>
        <v>5920735.3561999993</v>
      </c>
      <c r="K11" s="31">
        <f t="shared" si="2"/>
        <v>18116633.362799998</v>
      </c>
      <c r="L11" s="31">
        <f t="shared" si="3"/>
        <v>754111.68979999993</v>
      </c>
      <c r="M11" s="31">
        <f t="shared" si="4"/>
        <v>7818515.9065999994</v>
      </c>
      <c r="N11" s="31">
        <f t="shared" si="11"/>
        <v>25181037.579599995</v>
      </c>
      <c r="Q11" s="71">
        <v>2007</v>
      </c>
      <c r="R11" s="9">
        <f t="shared" si="5"/>
        <v>26005313319473.18</v>
      </c>
      <c r="S11" s="9">
        <f t="shared" si="6"/>
        <v>12624784000025.258</v>
      </c>
      <c r="T11" s="9">
        <f t="shared" si="7"/>
        <v>38630097319498.438</v>
      </c>
      <c r="U11" s="9">
        <f t="shared" si="8"/>
        <v>1607992356160.5398</v>
      </c>
      <c r="V11" s="9">
        <f t="shared" si="9"/>
        <v>16671421467643.18</v>
      </c>
    </row>
    <row r="12" spans="1:22" x14ac:dyDescent="0.25">
      <c r="A12" s="3">
        <v>2008</v>
      </c>
      <c r="B12" s="4">
        <v>1828743</v>
      </c>
      <c r="C12" s="4">
        <v>649628</v>
      </c>
      <c r="D12" s="4">
        <v>2478371</v>
      </c>
      <c r="E12" s="3">
        <v>0</v>
      </c>
      <c r="F12" s="4">
        <v>1621959</v>
      </c>
      <c r="G12" s="4">
        <f t="shared" si="10"/>
        <v>2478371</v>
      </c>
      <c r="H12" s="74">
        <v>2008</v>
      </c>
      <c r="I12" s="31">
        <f t="shared" si="0"/>
        <v>15589302.577799998</v>
      </c>
      <c r="J12" s="31">
        <f t="shared" si="1"/>
        <v>5537818.8487999998</v>
      </c>
      <c r="K12" s="31">
        <f t="shared" si="2"/>
        <v>21127121.426599998</v>
      </c>
      <c r="L12" s="31">
        <f t="shared" si="3"/>
        <v>0</v>
      </c>
      <c r="M12" s="31">
        <f t="shared" si="4"/>
        <v>13826551.691399999</v>
      </c>
      <c r="N12" s="31">
        <f t="shared" si="11"/>
        <v>34953673.118000001</v>
      </c>
      <c r="Q12" s="71">
        <v>2008</v>
      </c>
      <c r="R12" s="9">
        <f t="shared" si="5"/>
        <v>33241069886642.938</v>
      </c>
      <c r="S12" s="9">
        <f t="shared" si="6"/>
        <v>11808291131296.24</v>
      </c>
      <c r="T12" s="9">
        <f t="shared" si="7"/>
        <v>45049361017939.18</v>
      </c>
      <c r="U12" s="9">
        <f t="shared" si="8"/>
        <v>0</v>
      </c>
      <c r="V12" s="9">
        <f t="shared" si="9"/>
        <v>29482356171572.219</v>
      </c>
    </row>
    <row r="13" spans="1:22" x14ac:dyDescent="0.25">
      <c r="A13" s="3">
        <v>2009</v>
      </c>
      <c r="B13" s="4">
        <v>1580598</v>
      </c>
      <c r="C13" s="4">
        <v>704842</v>
      </c>
      <c r="D13" s="4">
        <v>2285439</v>
      </c>
      <c r="E13" s="3">
        <v>0</v>
      </c>
      <c r="F13" s="4">
        <v>1991774</v>
      </c>
      <c r="G13" s="4">
        <f t="shared" si="10"/>
        <v>2285440</v>
      </c>
      <c r="H13" s="74">
        <v>2009</v>
      </c>
      <c r="I13" s="31">
        <f t="shared" si="0"/>
        <v>13473965.7108</v>
      </c>
      <c r="J13" s="31">
        <f t="shared" si="1"/>
        <v>6008496.1131999996</v>
      </c>
      <c r="K13" s="31">
        <f t="shared" si="2"/>
        <v>19482453.299399998</v>
      </c>
      <c r="L13" s="31">
        <f t="shared" si="3"/>
        <v>0</v>
      </c>
      <c r="M13" s="31">
        <f t="shared" si="4"/>
        <v>16979076.6404</v>
      </c>
      <c r="N13" s="31">
        <f t="shared" si="11"/>
        <v>36461538.464400001</v>
      </c>
      <c r="Q13" s="71">
        <v>2009</v>
      </c>
      <c r="R13" s="9">
        <f t="shared" si="5"/>
        <v>28730537085138.84</v>
      </c>
      <c r="S13" s="9">
        <f t="shared" si="6"/>
        <v>12811916262176.359</v>
      </c>
      <c r="T13" s="9">
        <f t="shared" si="7"/>
        <v>41542435170310.617</v>
      </c>
      <c r="U13" s="9">
        <f t="shared" si="8"/>
        <v>0</v>
      </c>
      <c r="V13" s="9">
        <f t="shared" si="9"/>
        <v>36204485120324.922</v>
      </c>
    </row>
    <row r="14" spans="1:22" x14ac:dyDescent="0.25">
      <c r="A14" s="3">
        <v>2010</v>
      </c>
      <c r="B14" s="4">
        <v>1824297</v>
      </c>
      <c r="C14" s="4">
        <v>377242</v>
      </c>
      <c r="D14" s="4">
        <v>2201539</v>
      </c>
      <c r="E14" s="3">
        <v>0</v>
      </c>
      <c r="F14" s="4">
        <v>2573670</v>
      </c>
      <c r="G14" s="4">
        <f t="shared" si="10"/>
        <v>2201539</v>
      </c>
      <c r="H14" s="74">
        <v>2010</v>
      </c>
      <c r="I14" s="31">
        <f t="shared" si="0"/>
        <v>15551402.2062</v>
      </c>
      <c r="J14" s="31">
        <f t="shared" si="1"/>
        <v>3215837.1531999996</v>
      </c>
      <c r="K14" s="31">
        <f t="shared" si="2"/>
        <v>18767239.3594</v>
      </c>
      <c r="L14" s="31">
        <f t="shared" si="3"/>
        <v>0</v>
      </c>
      <c r="M14" s="31">
        <f t="shared" si="4"/>
        <v>21939507.281999998</v>
      </c>
      <c r="N14" s="31">
        <f t="shared" si="11"/>
        <v>40706746.641399994</v>
      </c>
      <c r="Q14" s="71">
        <v>2010</v>
      </c>
      <c r="R14" s="9">
        <f t="shared" si="5"/>
        <v>33160254924280.262</v>
      </c>
      <c r="S14" s="9">
        <f t="shared" si="6"/>
        <v>6857129561768.3594</v>
      </c>
      <c r="T14" s="9">
        <f t="shared" si="7"/>
        <v>40017384486048.617</v>
      </c>
      <c r="U14" s="9">
        <f t="shared" si="8"/>
        <v>0</v>
      </c>
      <c r="V14" s="9">
        <f t="shared" si="9"/>
        <v>46781611377408.594</v>
      </c>
    </row>
    <row r="15" spans="1:22" x14ac:dyDescent="0.25">
      <c r="A15" s="3">
        <v>2011</v>
      </c>
      <c r="B15" s="4">
        <v>1447055</v>
      </c>
      <c r="C15" s="4">
        <v>563935</v>
      </c>
      <c r="D15" s="4">
        <v>2010990</v>
      </c>
      <c r="E15" s="3">
        <v>0</v>
      </c>
      <c r="F15" s="4">
        <v>3299808</v>
      </c>
      <c r="G15" s="4">
        <f t="shared" si="10"/>
        <v>2010990</v>
      </c>
      <c r="H15" s="74">
        <v>2011</v>
      </c>
      <c r="I15" s="31">
        <f t="shared" si="0"/>
        <v>12335565.052999999</v>
      </c>
      <c r="J15" s="31">
        <f t="shared" si="1"/>
        <v>4807320.301</v>
      </c>
      <c r="K15" s="31">
        <f t="shared" si="2"/>
        <v>17142885.353999998</v>
      </c>
      <c r="L15" s="31">
        <f t="shared" si="3"/>
        <v>0</v>
      </c>
      <c r="M15" s="31">
        <f t="shared" si="4"/>
        <v>28129543.276799999</v>
      </c>
      <c r="N15" s="31">
        <f t="shared" si="11"/>
        <v>45272428.630799994</v>
      </c>
      <c r="Q15" s="71">
        <v>2011</v>
      </c>
      <c r="R15" s="9">
        <f t="shared" si="5"/>
        <v>26303125362511.898</v>
      </c>
      <c r="S15" s="9">
        <f t="shared" si="6"/>
        <v>10250649077822.301</v>
      </c>
      <c r="T15" s="9">
        <f t="shared" si="7"/>
        <v>36553774440334.195</v>
      </c>
      <c r="U15" s="9">
        <f t="shared" si="8"/>
        <v>0</v>
      </c>
      <c r="V15" s="9">
        <f t="shared" si="9"/>
        <v>59980625129120.641</v>
      </c>
    </row>
    <row r="16" spans="1:22" x14ac:dyDescent="0.25">
      <c r="A16" s="3">
        <v>2012</v>
      </c>
      <c r="B16" s="4">
        <v>1833417</v>
      </c>
      <c r="C16" s="4">
        <v>547445</v>
      </c>
      <c r="D16" s="4">
        <v>2380862</v>
      </c>
      <c r="E16" s="3">
        <v>0</v>
      </c>
      <c r="F16" s="4">
        <v>3604009</v>
      </c>
      <c r="G16" s="4">
        <f t="shared" si="10"/>
        <v>2380862</v>
      </c>
      <c r="H16" s="74">
        <v>2012</v>
      </c>
      <c r="I16" s="31">
        <f t="shared" si="0"/>
        <v>15629146.5582</v>
      </c>
      <c r="J16" s="31">
        <f t="shared" si="1"/>
        <v>4666749.6469999999</v>
      </c>
      <c r="K16" s="31">
        <f t="shared" si="2"/>
        <v>20295896.205199998</v>
      </c>
      <c r="L16" s="31">
        <f t="shared" si="3"/>
        <v>0</v>
      </c>
      <c r="M16" s="31">
        <f t="shared" si="4"/>
        <v>30722735.121399999</v>
      </c>
      <c r="N16" s="31">
        <f t="shared" si="11"/>
        <v>51018631.3266</v>
      </c>
      <c r="Q16" s="71">
        <v>2012</v>
      </c>
      <c r="R16" s="9">
        <f t="shared" si="5"/>
        <v>33326029206049.859</v>
      </c>
      <c r="S16" s="9">
        <f t="shared" si="6"/>
        <v>9950910272298.0996</v>
      </c>
      <c r="T16" s="9">
        <f t="shared" si="7"/>
        <v>43276939478347.953</v>
      </c>
      <c r="U16" s="9">
        <f t="shared" si="8"/>
        <v>0</v>
      </c>
      <c r="V16" s="9">
        <f t="shared" si="9"/>
        <v>65510088099361.219</v>
      </c>
    </row>
    <row r="17" spans="1:22" x14ac:dyDescent="0.25">
      <c r="A17" s="3">
        <v>2013</v>
      </c>
      <c r="B17" s="4">
        <v>1447055</v>
      </c>
      <c r="C17" s="4">
        <v>563935</v>
      </c>
      <c r="D17" s="4">
        <v>3299808</v>
      </c>
      <c r="E17" s="3">
        <v>0</v>
      </c>
      <c r="F17" s="4">
        <v>81261</v>
      </c>
      <c r="G17" s="4">
        <f t="shared" si="10"/>
        <v>2010990</v>
      </c>
      <c r="H17" s="74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28129543.276799999</v>
      </c>
      <c r="L17" s="31">
        <f t="shared" si="3"/>
        <v>0</v>
      </c>
      <c r="M17" s="31">
        <f t="shared" si="4"/>
        <v>692717.52059999993</v>
      </c>
      <c r="N17" s="31">
        <f t="shared" si="11"/>
        <v>17835602.874599997</v>
      </c>
      <c r="Q17" s="71">
        <v>2013</v>
      </c>
      <c r="R17" s="9">
        <f t="shared" si="5"/>
        <v>26303125362511.898</v>
      </c>
      <c r="S17" s="9">
        <f t="shared" si="6"/>
        <v>10250649077822.301</v>
      </c>
      <c r="T17" s="9">
        <f t="shared" si="7"/>
        <v>59980625129120.641</v>
      </c>
      <c r="U17" s="9">
        <f t="shared" si="8"/>
        <v>0</v>
      </c>
      <c r="V17" s="9">
        <f t="shared" si="9"/>
        <v>1477081569175.3799</v>
      </c>
    </row>
    <row r="18" spans="1:22" x14ac:dyDescent="0.25">
      <c r="A18" s="3">
        <v>2014</v>
      </c>
      <c r="B18" s="4">
        <v>1831683</v>
      </c>
      <c r="C18" s="4">
        <v>547445</v>
      </c>
      <c r="D18" s="4">
        <v>2379128</v>
      </c>
      <c r="E18" s="3">
        <v>483</v>
      </c>
      <c r="F18" s="4">
        <v>3604009</v>
      </c>
      <c r="G18" s="4">
        <f t="shared" si="10"/>
        <v>2378645</v>
      </c>
      <c r="H18" s="74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11"/>
        <v>50999732.288399994</v>
      </c>
      <c r="Q18" s="71">
        <v>2014</v>
      </c>
      <c r="R18" s="9">
        <f t="shared" si="5"/>
        <v>33294510280108.137</v>
      </c>
      <c r="S18" s="9">
        <f t="shared" si="6"/>
        <v>9950910272298.0996</v>
      </c>
      <c r="T18" s="9">
        <f t="shared" si="7"/>
        <v>43245420552406.234</v>
      </c>
      <c r="U18" s="9">
        <f t="shared" si="8"/>
        <v>8779493212.1399994</v>
      </c>
      <c r="V18" s="9">
        <f t="shared" si="9"/>
        <v>65510088099361.219</v>
      </c>
    </row>
    <row r="19" spans="1:22" x14ac:dyDescent="0.25">
      <c r="A19" s="3">
        <v>2015</v>
      </c>
      <c r="B19" s="4">
        <v>1631599</v>
      </c>
      <c r="C19" s="4">
        <v>675808</v>
      </c>
      <c r="D19" s="4">
        <v>2307407</v>
      </c>
      <c r="E19" s="3">
        <v>392</v>
      </c>
      <c r="F19" s="4">
        <v>4025600</v>
      </c>
      <c r="G19" s="4">
        <f>(B19+C19)-E19</f>
        <v>2307015</v>
      </c>
      <c r="H19" s="74">
        <v>2015</v>
      </c>
      <c r="I19" s="31">
        <f t="shared" ref="I19:I22" si="12">B19*$O$3</f>
        <v>13908728.835399998</v>
      </c>
      <c r="J19" s="31">
        <f t="shared" ref="J19:J22" si="13">C19*$O$3</f>
        <v>5760992.8767999997</v>
      </c>
      <c r="K19" s="31">
        <f t="shared" ref="K19:K22" si="14">D19*$O$3</f>
        <v>19669721.712199997</v>
      </c>
      <c r="L19" s="31">
        <f t="shared" ref="L19:L22" si="15">E19*$O$3</f>
        <v>3341.6432</v>
      </c>
      <c r="M19" s="31">
        <f t="shared" ref="M19:M22" si="16">F19*$O$3</f>
        <v>34316629.759999998</v>
      </c>
      <c r="N19" s="31">
        <f t="shared" si="11"/>
        <v>53983009.828999996</v>
      </c>
    </row>
    <row r="20" spans="1:22" x14ac:dyDescent="0.25">
      <c r="A20" s="3">
        <v>2016</v>
      </c>
      <c r="B20" s="4">
        <v>1410169</v>
      </c>
      <c r="C20" s="4">
        <v>831398</v>
      </c>
      <c r="D20" s="4">
        <v>2241567</v>
      </c>
      <c r="E20" s="3">
        <v>580</v>
      </c>
      <c r="F20" s="4">
        <v>4475929</v>
      </c>
      <c r="G20" s="4">
        <f t="shared" si="10"/>
        <v>2240987</v>
      </c>
      <c r="H20" s="74">
        <v>2016</v>
      </c>
      <c r="I20" s="31">
        <f t="shared" si="12"/>
        <v>12021126.657399999</v>
      </c>
      <c r="J20" s="31">
        <f t="shared" si="13"/>
        <v>7087335.3907999992</v>
      </c>
      <c r="K20" s="31">
        <f t="shared" si="14"/>
        <v>19108462.0482</v>
      </c>
      <c r="L20" s="31">
        <f t="shared" si="15"/>
        <v>4944.268</v>
      </c>
      <c r="M20" s="31">
        <f t="shared" si="16"/>
        <v>38155504.353399999</v>
      </c>
      <c r="N20" s="31">
        <f t="shared" si="11"/>
        <v>57259022.133599997</v>
      </c>
    </row>
    <row r="21" spans="1:22" x14ac:dyDescent="0.25">
      <c r="A21" s="3">
        <v>2017</v>
      </c>
      <c r="B21" s="4">
        <v>1162575</v>
      </c>
      <c r="C21" s="4">
        <v>865366</v>
      </c>
      <c r="D21" s="4">
        <v>2027941</v>
      </c>
      <c r="E21" s="3">
        <v>360</v>
      </c>
      <c r="F21" s="4">
        <v>5461934</v>
      </c>
      <c r="G21" s="4">
        <f t="shared" si="10"/>
        <v>2027581</v>
      </c>
      <c r="H21" s="74">
        <v>2017</v>
      </c>
      <c r="I21" s="31">
        <f t="shared" si="12"/>
        <v>9910486.8449999988</v>
      </c>
      <c r="J21" s="31">
        <f t="shared" si="13"/>
        <v>7376899.0035999995</v>
      </c>
      <c r="K21" s="31">
        <f t="shared" si="14"/>
        <v>17287385.8486</v>
      </c>
      <c r="L21" s="31">
        <f t="shared" si="15"/>
        <v>3068.8559999999998</v>
      </c>
      <c r="M21" s="31">
        <f t="shared" si="16"/>
        <v>46560802.576399997</v>
      </c>
      <c r="N21" s="31">
        <f t="shared" si="11"/>
        <v>63845119.568999998</v>
      </c>
    </row>
    <row r="22" spans="1:22" x14ac:dyDescent="0.25">
      <c r="A22" s="3">
        <v>2018</v>
      </c>
      <c r="B22" s="4">
        <v>1143958</v>
      </c>
      <c r="C22" s="4">
        <v>883305</v>
      </c>
      <c r="D22" s="4">
        <v>2027263</v>
      </c>
      <c r="E22" s="3">
        <v>434</v>
      </c>
      <c r="F22" s="4">
        <v>5566572</v>
      </c>
      <c r="G22" s="4">
        <f t="shared" si="10"/>
        <v>2026829</v>
      </c>
      <c r="H22" s="74">
        <v>2018</v>
      </c>
      <c r="I22" s="31">
        <f t="shared" si="12"/>
        <v>9751784.366799999</v>
      </c>
      <c r="J22" s="31">
        <f t="shared" si="13"/>
        <v>7529821.8029999994</v>
      </c>
      <c r="K22" s="31">
        <f t="shared" si="14"/>
        <v>17281606.169799998</v>
      </c>
      <c r="L22" s="31">
        <f t="shared" si="15"/>
        <v>3699.6763999999998</v>
      </c>
      <c r="M22" s="31">
        <f t="shared" si="16"/>
        <v>47452799.6712</v>
      </c>
      <c r="N22" s="31">
        <f t="shared" si="11"/>
        <v>64730706.1646</v>
      </c>
    </row>
    <row r="23" spans="1:22" x14ac:dyDescent="0.25">
      <c r="H23" s="1"/>
    </row>
  </sheetData>
  <mergeCells count="17">
    <mergeCell ref="H1:N1"/>
    <mergeCell ref="Q1:V1"/>
    <mergeCell ref="Q2:Q3"/>
    <mergeCell ref="R2:T2"/>
    <mergeCell ref="U2:U3"/>
    <mergeCell ref="V2:V3"/>
    <mergeCell ref="H2:H3"/>
    <mergeCell ref="I2:K2"/>
    <mergeCell ref="L2:L3"/>
    <mergeCell ref="M2:M3"/>
    <mergeCell ref="N2:N3"/>
    <mergeCell ref="A1:G1"/>
    <mergeCell ref="B2:D2"/>
    <mergeCell ref="A2:A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0" bestFit="1" customWidth="1"/>
  </cols>
  <sheetData>
    <row r="1" spans="1:12" ht="28.5" customHeight="1" x14ac:dyDescent="0.25">
      <c r="B1" s="97" t="s">
        <v>129</v>
      </c>
      <c r="C1" s="97" t="s">
        <v>155</v>
      </c>
      <c r="D1" s="97" t="s">
        <v>156</v>
      </c>
      <c r="E1" s="97" t="s">
        <v>157</v>
      </c>
      <c r="F1" s="97" t="s">
        <v>158</v>
      </c>
      <c r="G1" s="97" t="s">
        <v>162</v>
      </c>
      <c r="H1" s="97"/>
      <c r="I1" s="97"/>
    </row>
    <row r="2" spans="1:12" x14ac:dyDescent="0.25">
      <c r="B2" s="97"/>
      <c r="C2" s="97"/>
      <c r="D2" s="97"/>
      <c r="E2" s="97"/>
      <c r="F2" s="97"/>
      <c r="G2" t="s">
        <v>159</v>
      </c>
      <c r="H2" t="s">
        <v>160</v>
      </c>
      <c r="I2" t="s">
        <v>161</v>
      </c>
      <c r="L2" t="s">
        <v>129</v>
      </c>
    </row>
    <row r="3" spans="1:12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12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12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12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12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12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12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12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12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12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12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</row>
    <row r="14" spans="1:12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</row>
    <row r="15" spans="1:12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</row>
    <row r="16" spans="1:12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</row>
    <row r="17" spans="1:12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</row>
    <row r="18" spans="1:12" x14ac:dyDescent="0.25">
      <c r="A18">
        <v>2015</v>
      </c>
      <c r="B18" s="1">
        <v>255462</v>
      </c>
      <c r="K18">
        <v>2015</v>
      </c>
      <c r="L18">
        <f t="shared" si="0"/>
        <v>255462000</v>
      </c>
    </row>
    <row r="19" spans="1:12" x14ac:dyDescent="0.25">
      <c r="A19">
        <v>2016</v>
      </c>
      <c r="B19" s="33">
        <v>258705</v>
      </c>
      <c r="K19">
        <v>2016</v>
      </c>
      <c r="L19">
        <f t="shared" si="0"/>
        <v>258705000</v>
      </c>
    </row>
    <row r="20" spans="1:12" x14ac:dyDescent="0.25">
      <c r="A20">
        <v>2017</v>
      </c>
      <c r="B20" s="33">
        <v>261891</v>
      </c>
      <c r="K20">
        <v>2017</v>
      </c>
      <c r="L20">
        <f t="shared" si="0"/>
        <v>261891000</v>
      </c>
    </row>
    <row r="21" spans="1:12" x14ac:dyDescent="0.25">
      <c r="A21">
        <v>2018</v>
      </c>
      <c r="B21" s="33">
        <v>265015</v>
      </c>
      <c r="K21">
        <v>2018</v>
      </c>
      <c r="L21">
        <f t="shared" si="0"/>
        <v>265015000</v>
      </c>
    </row>
    <row r="22" spans="1:12" x14ac:dyDescent="0.25">
      <c r="A22">
        <v>2019</v>
      </c>
      <c r="K22">
        <v>2019</v>
      </c>
      <c r="L22">
        <f t="shared" si="0"/>
        <v>0</v>
      </c>
    </row>
    <row r="23" spans="1:12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HEESI</vt:lpstr>
      <vt:lpstr>Macro dari HEESI</vt:lpstr>
      <vt:lpstr>Konsumsi Energi Nasional</vt:lpstr>
      <vt:lpstr>Energi Primer Nasional</vt:lpstr>
      <vt:lpstr>Eksploitasi Batubara</vt:lpstr>
      <vt:lpstr>Eksploitasi Minyak Bumi</vt:lpstr>
      <vt:lpstr>Eksploitasi Gas Bumi, LPG</vt:lpstr>
      <vt:lpstr>LPG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2020-08-20T08:03:45Z</dcterms:modified>
</cp:coreProperties>
</file>