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"/>
    </mc:Choice>
  </mc:AlternateContent>
  <xr:revisionPtr revIDLastSave="0" documentId="13_ncr:1_{0867787A-2792-4F64-91E0-88B89663D54A}" xr6:coauthVersionLast="45" xr6:coauthVersionMax="45" xr10:uidLastSave="{00000000-0000-0000-0000-000000000000}"/>
  <bookViews>
    <workbookView xWindow="-120" yWindow="-120" windowWidth="29040" windowHeight="15990" tabRatio="671" xr2:uid="{02F994C9-703D-4073-B38E-810FA24E22F7}"/>
  </bookViews>
  <sheets>
    <sheet name="data jabar" sheetId="3" r:id="rId1"/>
    <sheet name="PDRB" sheetId="13" r:id="rId2"/>
    <sheet name="Penduduk" sheetId="1" r:id="rId3"/>
    <sheet name="Listrik Per Capita" sheetId="9" r:id="rId4"/>
    <sheet name="Kendaraan" sheetId="2" r:id="rId5"/>
    <sheet name="Sheet12" sheetId="12" r:id="rId6"/>
    <sheet name="Sheet14" sheetId="14" r:id="rId7"/>
    <sheet name="Regression" sheetId="10" r:id="rId8"/>
    <sheet name="Energi-Household" sheetId="4" r:id="rId9"/>
    <sheet name="Energi-Transportasi" sheetId="5" r:id="rId10"/>
    <sheet name="Energi-Industri" sheetId="6" r:id="rId11"/>
    <sheet name="Energi-Komersial" sheetId="7" r:id="rId12"/>
    <sheet name="Energi-Lainnya" sheetId="8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3" l="1"/>
  <c r="T5" i="3"/>
  <c r="R5" i="3"/>
  <c r="V5" i="3"/>
  <c r="U5" i="3"/>
  <c r="Q5" i="3"/>
  <c r="V4" i="3"/>
  <c r="U4" i="3"/>
  <c r="T4" i="3"/>
  <c r="S4" i="3"/>
  <c r="R4" i="3"/>
  <c r="Q4" i="3"/>
  <c r="V2" i="3"/>
  <c r="U2" i="3"/>
  <c r="T2" i="3"/>
  <c r="S2" i="3"/>
  <c r="R2" i="3"/>
  <c r="Q3" i="3"/>
  <c r="D23" i="13"/>
  <c r="R3" i="3"/>
  <c r="S3" i="3"/>
  <c r="T3" i="3"/>
  <c r="U3" i="3"/>
  <c r="V3" i="3"/>
  <c r="D21" i="13"/>
  <c r="D20" i="13"/>
  <c r="D19" i="13"/>
  <c r="D18" i="13"/>
  <c r="P17" i="3"/>
  <c r="Q17" i="3"/>
  <c r="R17" i="3"/>
  <c r="P16" i="3"/>
  <c r="R16" i="3"/>
  <c r="S16" i="3"/>
  <c r="T16" i="3"/>
  <c r="P15" i="3"/>
  <c r="Q15" i="3"/>
  <c r="Q16" i="3" s="1"/>
  <c r="R15" i="3"/>
  <c r="S15" i="3"/>
  <c r="S17" i="3" s="1"/>
  <c r="T15" i="3"/>
  <c r="T17" i="3" s="1"/>
  <c r="O15" i="3"/>
  <c r="O16" i="3" s="1"/>
  <c r="F19" i="6"/>
  <c r="F20" i="6"/>
  <c r="F21" i="6"/>
  <c r="F22" i="6"/>
  <c r="F23" i="6"/>
  <c r="F18" i="6"/>
  <c r="B12" i="13"/>
  <c r="H21" i="13"/>
  <c r="H20" i="13"/>
  <c r="H19" i="13"/>
  <c r="H18" i="13"/>
  <c r="H17" i="13"/>
  <c r="H16" i="13"/>
  <c r="H15" i="13"/>
  <c r="H14" i="13"/>
  <c r="H13" i="13"/>
  <c r="B11" i="13" s="1"/>
  <c r="B10" i="13" s="1"/>
  <c r="B9" i="13" s="1"/>
  <c r="B8" i="13" s="1"/>
  <c r="B7" i="13" s="1"/>
  <c r="B6" i="13" s="1"/>
  <c r="B5" i="13" s="1"/>
  <c r="B4" i="13" s="1"/>
  <c r="B3" i="13" s="1"/>
  <c r="B2" i="13" s="1"/>
  <c r="E4" i="10"/>
  <c r="E5" i="10"/>
  <c r="E6" i="10"/>
  <c r="E7" i="10"/>
  <c r="E8" i="10"/>
  <c r="E3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14" i="2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15" i="2"/>
  <c r="C14" i="2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15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15" i="2"/>
  <c r="C24" i="2"/>
  <c r="E24" i="2"/>
  <c r="D24" i="2"/>
  <c r="B22" i="13"/>
  <c r="D4" i="10"/>
  <c r="D5" i="10"/>
  <c r="D6" i="10"/>
  <c r="D8" i="10"/>
  <c r="D3" i="10"/>
  <c r="B19" i="13"/>
  <c r="D7" i="10" s="1"/>
  <c r="O17" i="3" l="1"/>
  <c r="H17" i="2"/>
  <c r="H18" i="2"/>
  <c r="H19" i="2"/>
  <c r="H20" i="2"/>
  <c r="H21" i="2"/>
  <c r="H16" i="2"/>
  <c r="G21" i="2"/>
  <c r="B8" i="10" s="1"/>
  <c r="G17" i="2"/>
  <c r="B4" i="10" s="1"/>
  <c r="G16" i="2"/>
  <c r="B3" i="10" s="1"/>
  <c r="F21" i="2"/>
  <c r="F20" i="2"/>
  <c r="F19" i="2"/>
  <c r="F17" i="2"/>
  <c r="F18" i="2"/>
  <c r="V31" i="1"/>
  <c r="B18" i="9" s="1"/>
  <c r="F16" i="2"/>
  <c r="V7" i="3"/>
  <c r="U7" i="3"/>
  <c r="T7" i="3"/>
  <c r="S7" i="3"/>
  <c r="R7" i="3"/>
  <c r="Q7" i="3"/>
  <c r="D19" i="9"/>
  <c r="D20" i="9"/>
  <c r="D21" i="9"/>
  <c r="D22" i="9"/>
  <c r="D23" i="9"/>
  <c r="D18" i="9"/>
  <c r="B23" i="9"/>
  <c r="B22" i="9"/>
  <c r="B21" i="9"/>
  <c r="B20" i="9"/>
  <c r="AA31" i="1"/>
  <c r="Z31" i="1"/>
  <c r="Y31" i="1"/>
  <c r="C23" i="8"/>
  <c r="C22" i="8"/>
  <c r="C21" i="8"/>
  <c r="C20" i="8"/>
  <c r="C19" i="8"/>
  <c r="C18" i="8"/>
  <c r="C23" i="7"/>
  <c r="C22" i="7"/>
  <c r="C21" i="7"/>
  <c r="C20" i="7"/>
  <c r="C19" i="7"/>
  <c r="C18" i="7"/>
  <c r="C18" i="4"/>
  <c r="C19" i="4"/>
  <c r="C20" i="4"/>
  <c r="C21" i="4"/>
  <c r="C22" i="4"/>
  <c r="C17" i="4"/>
  <c r="E19" i="6"/>
  <c r="E20" i="6"/>
  <c r="E21" i="6"/>
  <c r="E22" i="6"/>
  <c r="E23" i="6"/>
  <c r="E18" i="6"/>
  <c r="C19" i="6"/>
  <c r="C20" i="6"/>
  <c r="C21" i="6"/>
  <c r="C22" i="6"/>
  <c r="C23" i="6"/>
  <c r="C18" i="6"/>
  <c r="C19" i="5"/>
  <c r="C20" i="5"/>
  <c r="C21" i="5"/>
  <c r="C22" i="5"/>
  <c r="C23" i="5"/>
  <c r="C18" i="5"/>
  <c r="I33" i="1"/>
  <c r="P31" i="1"/>
  <c r="B3" i="9" s="1"/>
  <c r="Q4" i="1"/>
  <c r="W4" i="1"/>
  <c r="X4" i="1"/>
  <c r="Q5" i="1"/>
  <c r="W5" i="1"/>
  <c r="X5" i="1"/>
  <c r="Q6" i="1"/>
  <c r="W6" i="1"/>
  <c r="X6" i="1"/>
  <c r="Q7" i="1"/>
  <c r="W7" i="1"/>
  <c r="X7" i="1"/>
  <c r="Q8" i="1"/>
  <c r="W8" i="1"/>
  <c r="X8" i="1"/>
  <c r="Q9" i="1"/>
  <c r="W9" i="1"/>
  <c r="X9" i="1"/>
  <c r="Q10" i="1"/>
  <c r="W10" i="1"/>
  <c r="X10" i="1"/>
  <c r="Q11" i="1"/>
  <c r="W11" i="1"/>
  <c r="X11" i="1"/>
  <c r="Q12" i="1"/>
  <c r="W12" i="1"/>
  <c r="X12" i="1"/>
  <c r="Q13" i="1"/>
  <c r="W13" i="1"/>
  <c r="X13" i="1"/>
  <c r="Q14" i="1"/>
  <c r="W14" i="1"/>
  <c r="X14" i="1"/>
  <c r="Q15" i="1"/>
  <c r="W15" i="1"/>
  <c r="X15" i="1"/>
  <c r="Q16" i="1"/>
  <c r="W16" i="1"/>
  <c r="X16" i="1"/>
  <c r="Q17" i="1"/>
  <c r="W17" i="1"/>
  <c r="X17" i="1"/>
  <c r="Q18" i="1"/>
  <c r="W18" i="1"/>
  <c r="X18" i="1"/>
  <c r="Q19" i="1"/>
  <c r="W19" i="1"/>
  <c r="X19" i="1"/>
  <c r="Q20" i="1"/>
  <c r="W20" i="1"/>
  <c r="X20" i="1"/>
  <c r="Q22" i="1"/>
  <c r="W22" i="1"/>
  <c r="X22" i="1"/>
  <c r="Q23" i="1"/>
  <c r="W23" i="1"/>
  <c r="X23" i="1"/>
  <c r="Q24" i="1"/>
  <c r="W24" i="1"/>
  <c r="X24" i="1"/>
  <c r="Q25" i="1"/>
  <c r="W25" i="1"/>
  <c r="X25" i="1"/>
  <c r="Q26" i="1"/>
  <c r="W26" i="1"/>
  <c r="X26" i="1"/>
  <c r="Q27" i="1"/>
  <c r="W27" i="1"/>
  <c r="X27" i="1"/>
  <c r="Q28" i="1"/>
  <c r="W28" i="1"/>
  <c r="X28" i="1"/>
  <c r="Q29" i="1"/>
  <c r="W29" i="1"/>
  <c r="X29" i="1"/>
  <c r="Q30" i="1"/>
  <c r="W30" i="1"/>
  <c r="X30" i="1"/>
  <c r="Q31" i="1"/>
  <c r="B13" i="1" s="1"/>
  <c r="W31" i="1"/>
  <c r="B19" i="9" s="1"/>
  <c r="X31" i="1"/>
  <c r="G20" i="2" s="1"/>
  <c r="B7" i="10" s="1"/>
  <c r="W3" i="1"/>
  <c r="X3" i="1"/>
  <c r="Q3" i="1"/>
  <c r="G18" i="2" l="1"/>
  <c r="B5" i="10" s="1"/>
  <c r="B14" i="1"/>
  <c r="C12" i="13"/>
  <c r="G19" i="2"/>
  <c r="B6" i="10" s="1"/>
  <c r="B3" i="1"/>
  <c r="B24" i="1" s="1"/>
  <c r="B6" i="3"/>
  <c r="B4" i="3" s="1"/>
  <c r="Q12" i="3"/>
  <c r="Q18" i="3" s="1"/>
  <c r="R12" i="3"/>
  <c r="S12" i="3"/>
  <c r="U12" i="3"/>
  <c r="U18" i="3" s="1"/>
  <c r="T12" i="3"/>
  <c r="T18" i="3" s="1"/>
  <c r="B15" i="1" l="1"/>
  <c r="C13" i="13"/>
  <c r="B4" i="1"/>
  <c r="B5" i="1" s="1"/>
  <c r="S20" i="3"/>
  <c r="S22" i="3"/>
  <c r="S19" i="3"/>
  <c r="S21" i="3"/>
  <c r="S18" i="3"/>
  <c r="R20" i="3"/>
  <c r="R22" i="3"/>
  <c r="R19" i="3"/>
  <c r="R21" i="3"/>
  <c r="R18" i="3"/>
  <c r="T20" i="3"/>
  <c r="T22" i="3"/>
  <c r="T19" i="3"/>
  <c r="T21" i="3"/>
  <c r="Q20" i="3"/>
  <c r="Q22" i="3"/>
  <c r="Q19" i="3"/>
  <c r="Q21" i="3"/>
  <c r="U21" i="3"/>
  <c r="U20" i="3"/>
  <c r="U22" i="3"/>
  <c r="U19" i="3"/>
  <c r="C3" i="13" l="1"/>
  <c r="B6" i="1"/>
  <c r="C4" i="13"/>
  <c r="B16" i="1"/>
  <c r="C14" i="13"/>
  <c r="C2" i="13"/>
  <c r="B17" i="1" l="1"/>
  <c r="C15" i="13"/>
  <c r="B7" i="1"/>
  <c r="C5" i="13"/>
  <c r="B8" i="1" l="1"/>
  <c r="C6" i="13"/>
  <c r="B18" i="1"/>
  <c r="C16" i="13"/>
  <c r="B19" i="1" l="1"/>
  <c r="C17" i="13"/>
  <c r="B9" i="1"/>
  <c r="C7" i="13"/>
  <c r="B10" i="1" l="1"/>
  <c r="C8" i="13"/>
  <c r="B20" i="1"/>
  <c r="C18" i="13"/>
  <c r="B21" i="1" l="1"/>
  <c r="C19" i="13"/>
  <c r="B11" i="1"/>
  <c r="C9" i="13"/>
  <c r="B12" i="1" l="1"/>
  <c r="C11" i="13" s="1"/>
  <c r="C10" i="13"/>
  <c r="B22" i="1"/>
  <c r="C20" i="13"/>
  <c r="C21" i="13" l="1"/>
  <c r="B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Q2" authorId="0" shapeId="0" xr:uid="{1DAB81E4-4379-4D0C-A7CE-77A92D0F429C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yang kuning adalah data 
RUED
</t>
        </r>
      </text>
    </comment>
  </commentList>
</comments>
</file>

<file path=xl/sharedStrings.xml><?xml version="1.0" encoding="utf-8"?>
<sst xmlns="http://schemas.openxmlformats.org/spreadsheetml/2006/main" count="177" uniqueCount="118">
  <si>
    <t>Kabupaten/Regency</t>
  </si>
  <si>
    <t>Kota/City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</si>
  <si>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</si>
  <si>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</si>
  <si>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</si>
  <si>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</si>
  <si>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</si>
  <si>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</si>
  <si>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</si>
  <si>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</si>
  <si>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</si>
  <si>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</si>
  <si>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</si>
  <si>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</si>
  <si>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</si>
  <si>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</si>
  <si>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</si>
  <si>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</si>
  <si>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Pangandaran</t>
  </si>
  <si>
    <t>Depok</t>
  </si>
  <si>
    <t>Cimahi</t>
  </si>
  <si>
    <t>Banjar</t>
  </si>
  <si>
    <t>Bandung Barat</t>
  </si>
  <si>
    <t>Jumlah Penduduk (Thousands)</t>
  </si>
  <si>
    <t>Jawa Barat</t>
  </si>
  <si>
    <t xml:space="preserve"> </t>
  </si>
  <si>
    <t>Laju Pertumbuhan Penduduk (%/Year)</t>
  </si>
  <si>
    <t>2010-2017</t>
  </si>
  <si>
    <t>2016-2017</t>
  </si>
  <si>
    <t>Jumlah Penduduk</t>
  </si>
  <si>
    <t>Jumlah KK</t>
  </si>
  <si>
    <t>Jumlah Orang Per KK Rata-Rata</t>
  </si>
  <si>
    <t>Tahun</t>
  </si>
  <si>
    <t>population[jabar]</t>
  </si>
  <si>
    <t>Time</t>
  </si>
  <si>
    <t>final energy demand[jabar,transportation]</t>
  </si>
  <si>
    <t>Final Energy Demand (MTOE)</t>
  </si>
  <si>
    <t>Final Energy Demand MTOE)</t>
  </si>
  <si>
    <t>Final Energy Demand (BOE)</t>
  </si>
  <si>
    <t>MTOE ke BOE</t>
  </si>
  <si>
    <t>Kebutuhan Bahan Bakar</t>
  </si>
  <si>
    <t>Kebutuhan Bahan Baku</t>
  </si>
  <si>
    <t>Proyeksi LEAP</t>
  </si>
  <si>
    <t>Konsumsi Listrik Per Capita</t>
  </si>
  <si>
    <t>kWh/Capita</t>
  </si>
  <si>
    <t>Jiwa</t>
  </si>
  <si>
    <t>MWh/Capita</t>
  </si>
  <si>
    <t>final energy demand[jabar,household]</t>
  </si>
  <si>
    <t>final energy demand[jabar,industry]</t>
  </si>
  <si>
    <t>final energy demand[jabar,commercial]</t>
  </si>
  <si>
    <t>final energy demand[jabar,others]</t>
  </si>
  <si>
    <t>Kendaraan Umum</t>
  </si>
  <si>
    <t>Kendaraan Pribadi</t>
  </si>
  <si>
    <t>Kendaraan Dinas</t>
  </si>
  <si>
    <t>Total Kendaraan</t>
  </si>
  <si>
    <t>Total Kendaraan Pribadi Per Capita</t>
  </si>
  <si>
    <t>private vehicle[jabar]</t>
  </si>
  <si>
    <t>Business &amp; Public Vehicles</t>
  </si>
  <si>
    <t>public and business vehicle[jabar]</t>
  </si>
  <si>
    <t>Kendaraan Pribadi Per Capita</t>
  </si>
  <si>
    <t>PDRB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</si>
  <si>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</si>
  <si>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</si>
  <si>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</si>
  <si>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</si>
  <si>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</si>
  <si>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</si>
  <si>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</si>
  <si>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</si>
  <si>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</si>
  <si>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</si>
  <si>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</si>
  <si>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</si>
  <si>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</si>
  <si>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</si>
  <si>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</si>
  <si>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</si>
  <si>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</si>
  <si>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</si>
  <si>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</si>
  <si>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</si>
  <si>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</si>
  <si>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</si>
  <si>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</si>
  <si>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</si>
  <si>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</si>
  <si>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</si>
  <si>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0.244753097535842</t>
  </si>
  <si>
    <t>Residuals</t>
  </si>
  <si>
    <t>PDRB per Kapita</t>
  </si>
  <si>
    <t>PDRB Per Kapita</t>
  </si>
  <si>
    <t>Trend</t>
  </si>
  <si>
    <t>by Trend</t>
  </si>
  <si>
    <t>Trend 2000 s.d. 2010</t>
  </si>
  <si>
    <t>by trend</t>
  </si>
  <si>
    <t>Trend Pertumbuhan Kendaraan</t>
  </si>
  <si>
    <t>Jumlah Kendaraan Umum dan Dinas</t>
  </si>
  <si>
    <t>Growth</t>
  </si>
  <si>
    <t>Growth Nasional (World Bank)</t>
  </si>
  <si>
    <t>PDRB per Kapita * Populasi</t>
  </si>
  <si>
    <t>Jumlah Penduduk (Jiwa)</t>
  </si>
  <si>
    <t>Total Kebutuhan Energi (BOE/Year)</t>
  </si>
  <si>
    <t>final energy demand share sectoral[jabar,household]</t>
  </si>
  <si>
    <t>final energy demand share sectoral[jabar,industry]</t>
  </si>
  <si>
    <t>final energy demand share sectoral[jabar,commercial]</t>
  </si>
  <si>
    <t>final energy demand share sectoral[jabar,transportation]</t>
  </si>
  <si>
    <t>final energy demand share sectoral[jabar,others]</t>
  </si>
  <si>
    <t>final energy demand province[jabar]</t>
  </si>
  <si>
    <t>private vehicle share[jabar]</t>
  </si>
  <si>
    <t>PDRB Per Kapita (RUED)</t>
  </si>
  <si>
    <t>PDRB per Capita Growth (RUED)</t>
  </si>
  <si>
    <t>BPS Jabar</t>
  </si>
  <si>
    <t>static gdp[jabar]</t>
  </si>
  <si>
    <t>static gdp growth[jabar]</t>
  </si>
  <si>
    <t>public and business vehicle share[jabar]</t>
  </si>
  <si>
    <t>all vehicles[jabar]</t>
  </si>
  <si>
    <t>static gdp per capita[jabar]</t>
  </si>
  <si>
    <t>static gdp per capita growth[jabar]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</si>
</sst>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0_);_(* \(#,##0.000000\);_(* &quot;-&quot;??_);_(@_)"/>
    <numFmt numFmtId="165" formatCode="0.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0" fillId="0" borderId="0" xfId="0" applyAlignment="1">
      <alignment horizontal="left" wrapText="1"/>
    </xf>
    <xf numFmtId="43" fontId="0" fillId="0" borderId="3" xfId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1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3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64" fontId="2" fillId="2" borderId="1" xfId="1" applyNumberFormat="1" applyFont="1" applyFill="1" applyBorder="1"/>
    <xf numFmtId="43" fontId="0" fillId="0" borderId="1" xfId="0" applyNumberFormat="1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2" borderId="0" xfId="1" applyNumberFormat="1" applyFont="1" applyFill="1"/>
    <xf numFmtId="0" fontId="0" fillId="2" borderId="0" xfId="0" applyNumberForma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Kendaraan per Kapita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Regression!$D$3:$D$8</c:f>
              <c:numCache>
                <c:formatCode>General</c:formatCode>
                <c:ptCount val="6"/>
                <c:pt idx="0">
                  <c:v>24118312.199999999</c:v>
                </c:pt>
                <c:pt idx="1">
                  <c:v>24966855.23</c:v>
                </c:pt>
                <c:pt idx="2">
                  <c:v>25845503.77</c:v>
                </c:pt>
                <c:pt idx="3">
                  <c:v>26923505.52</c:v>
                </c:pt>
                <c:pt idx="4">
                  <c:v>28042448.359999999</c:v>
                </c:pt>
                <c:pt idx="5">
                  <c:v>29161391.199999999</c:v>
                </c:pt>
              </c:numCache>
            </c:numRef>
          </c:xVal>
          <c:yVal>
            <c:numRef>
              <c:f>Regression!$B$3:$B$8</c:f>
              <c:numCache>
                <c:formatCode>General</c:formatCode>
                <c:ptCount val="6"/>
                <c:pt idx="0">
                  <c:v>0.24475309753584185</c:v>
                </c:pt>
                <c:pt idx="1">
                  <c:v>0.29281742809876449</c:v>
                </c:pt>
                <c:pt idx="2">
                  <c:v>0.31008489930617855</c:v>
                </c:pt>
                <c:pt idx="3">
                  <c:v>0.33874452280335698</c:v>
                </c:pt>
                <c:pt idx="4">
                  <c:v>0.35548660295437989</c:v>
                </c:pt>
                <c:pt idx="5">
                  <c:v>0.33966755144032923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C-4E44-BE82-52FE763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85040"/>
        <c:axId val="1375813504"/>
      </c:scatterChart>
      <c:valAx>
        <c:axId val="18075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3504"/>
        <c:crosses val="autoZero"/>
        <c:crossBetween val="midCat"/>
      </c:valAx>
      <c:valAx>
        <c:axId val="1375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PDRB</a:t>
            </a:r>
            <a:r>
              <a:rPr lang="en-US" baseline="0"/>
              <a:t> Growth vs Kendaraan Umum, Dinas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Regression!$C$3:$C$8</c:f>
              <c:numCache>
                <c:formatCode>General</c:formatCode>
                <c:ptCount val="6"/>
                <c:pt idx="0">
                  <c:v>6.33</c:v>
                </c:pt>
                <c:pt idx="1">
                  <c:v>5.09</c:v>
                </c:pt>
                <c:pt idx="2">
                  <c:v>5.05</c:v>
                </c:pt>
                <c:pt idx="3">
                  <c:v>5.66</c:v>
                </c:pt>
                <c:pt idx="4">
                  <c:v>5.33</c:v>
                </c:pt>
                <c:pt idx="5">
                  <c:v>5.66</c:v>
                </c:pt>
              </c:numCache>
            </c:numRef>
          </c:xVal>
          <c:yVal>
            <c:numRef>
              <c:f>Regression!$E$3:$E$8</c:f>
              <c:numCache>
                <c:formatCode>General</c:formatCode>
                <c:ptCount val="6"/>
                <c:pt idx="0">
                  <c:v>217359</c:v>
                </c:pt>
                <c:pt idx="1">
                  <c:v>242210</c:v>
                </c:pt>
                <c:pt idx="2">
                  <c:v>252871</c:v>
                </c:pt>
                <c:pt idx="3">
                  <c:v>262510</c:v>
                </c:pt>
                <c:pt idx="4">
                  <c:v>269760</c:v>
                </c:pt>
                <c:pt idx="5">
                  <c:v>258300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5F-A84B-76A30867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4352"/>
        <c:axId val="1622109488"/>
      </c:scatterChart>
      <c:valAx>
        <c:axId val="170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9488"/>
        <c:crosses val="autoZero"/>
        <c:crossBetween val="midCat"/>
      </c:valAx>
      <c:valAx>
        <c:axId val="162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52387</xdr:rowOff>
    </xdr:from>
    <xdr:to>
      <xdr:col>4</xdr:col>
      <xdr:colOff>876300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13D96-D033-4F63-B0C7-BBB40A15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9</xdr:row>
      <xdr:rowOff>42862</xdr:rowOff>
    </xdr:from>
    <xdr:to>
      <xdr:col>11</xdr:col>
      <xdr:colOff>119062</xdr:colOff>
      <xdr:row>23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100C0-B9FD-4702-BEB5-E13D0B32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35-D970-4535-B6B0-E5AD36F4652D}">
  <dimension ref="A1:V22"/>
  <sheetViews>
    <sheetView tabSelected="1" workbookViewId="0">
      <pane xSplit="1" topLeftCell="F1" activePane="topRight" state="frozen"/>
      <selection pane="topRight" activeCell="A6" sqref="A6"/>
    </sheetView>
  </sheetViews>
  <sheetFormatPr defaultRowHeight="15" x14ac:dyDescent="0.25"/>
  <cols>
    <col min="1" max="1" width="55.7109375" customWidth="1"/>
    <col min="2" max="2" width="13.85546875" bestFit="1" customWidth="1"/>
    <col min="3" max="11" width="12" bestFit="1" customWidth="1"/>
    <col min="12" max="12" width="14.5703125" bestFit="1" customWidth="1"/>
    <col min="13" max="16" width="14.42578125" bestFit="1" customWidth="1"/>
    <col min="17" max="17" width="12" bestFit="1" customWidth="1"/>
    <col min="18" max="22" width="14.5703125" bestFit="1" customWidth="1"/>
  </cols>
  <sheetData>
    <row r="1" spans="1:22" x14ac:dyDescent="0.25">
      <c r="A1" s="31" t="s">
        <v>34</v>
      </c>
      <c r="B1" s="31">
        <v>2000</v>
      </c>
      <c r="C1" s="31">
        <v>2001</v>
      </c>
      <c r="D1" s="31">
        <v>2002</v>
      </c>
      <c r="E1" s="31">
        <v>2003</v>
      </c>
      <c r="F1" s="31">
        <v>2004</v>
      </c>
      <c r="G1" s="31">
        <v>2005</v>
      </c>
      <c r="H1" s="31">
        <v>2006</v>
      </c>
      <c r="I1" s="31">
        <v>2007</v>
      </c>
      <c r="J1" s="31">
        <v>2008</v>
      </c>
      <c r="K1" s="31">
        <v>2009</v>
      </c>
      <c r="L1" s="31">
        <v>2010</v>
      </c>
      <c r="M1" s="31">
        <v>2011</v>
      </c>
      <c r="N1" s="31">
        <v>2012</v>
      </c>
      <c r="O1" s="31">
        <v>2013</v>
      </c>
      <c r="P1" s="31">
        <v>2014</v>
      </c>
      <c r="Q1" s="31">
        <v>2015</v>
      </c>
      <c r="R1" s="31">
        <v>2016</v>
      </c>
      <c r="S1" s="31">
        <v>2017</v>
      </c>
      <c r="T1" s="31">
        <v>2018</v>
      </c>
      <c r="U1" s="31">
        <v>2019</v>
      </c>
      <c r="V1" s="31">
        <v>2020</v>
      </c>
    </row>
    <row r="2" spans="1:22" x14ac:dyDescent="0.25">
      <c r="A2" s="31" t="s">
        <v>112</v>
      </c>
      <c r="B2" s="31">
        <v>539660831802368.88</v>
      </c>
      <c r="C2" s="31">
        <v>558900841077390.44</v>
      </c>
      <c r="D2" s="31">
        <v>583607396033510</v>
      </c>
      <c r="E2" s="31">
        <v>611044825246918.13</v>
      </c>
      <c r="F2" s="31">
        <v>641304755450308.25</v>
      </c>
      <c r="G2" s="31">
        <v>677305457235871.88</v>
      </c>
      <c r="H2" s="31">
        <v>714027667526391.63</v>
      </c>
      <c r="I2" s="31">
        <v>758762756039639.63</v>
      </c>
      <c r="J2" s="31">
        <v>803790956937286.13</v>
      </c>
      <c r="K2" s="31">
        <v>840367173780809.75</v>
      </c>
      <c r="L2" s="31">
        <v>892001573423794.25</v>
      </c>
      <c r="M2" s="31">
        <v>964611393502064.5</v>
      </c>
      <c r="N2" s="31">
        <v>1026685972275960.1</v>
      </c>
      <c r="O2" s="31">
        <v>1091477006278855.5</v>
      </c>
      <c r="P2" s="31">
        <v>1147278039134041</v>
      </c>
      <c r="Q2" s="34">
        <v>1207000000000000</v>
      </c>
      <c r="R2" s="34">
        <f>1268*1000000000000</f>
        <v>1268000000000000</v>
      </c>
      <c r="S2" s="34">
        <f>1333*1000000000000</f>
        <v>1333000000000000</v>
      </c>
      <c r="T2" s="34">
        <f>1400*1000000000000</f>
        <v>1400000000000000</v>
      </c>
      <c r="U2" s="34">
        <f>1472*1000000000000</f>
        <v>1472000000000000</v>
      </c>
      <c r="V2" s="34">
        <f>1547*1000000000000</f>
        <v>1547000000000000</v>
      </c>
    </row>
    <row r="3" spans="1:22" x14ac:dyDescent="0.25">
      <c r="A3" s="31" t="s">
        <v>113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f>0.051</f>
        <v>5.0999999999999997E-2</v>
      </c>
      <c r="R3" s="31">
        <f t="shared" ref="R3:V3" si="0">0.051</f>
        <v>5.0999999999999997E-2</v>
      </c>
      <c r="S3" s="31">
        <f t="shared" si="0"/>
        <v>5.0999999999999997E-2</v>
      </c>
      <c r="T3" s="31">
        <f t="shared" si="0"/>
        <v>5.0999999999999997E-2</v>
      </c>
      <c r="U3" s="31">
        <f t="shared" si="0"/>
        <v>5.0999999999999997E-2</v>
      </c>
      <c r="V3" s="31">
        <f t="shared" si="0"/>
        <v>5.0999999999999997E-2</v>
      </c>
    </row>
    <row r="4" spans="1:22" x14ac:dyDescent="0.25">
      <c r="A4" s="31" t="s">
        <v>116</v>
      </c>
      <c r="B4" s="31">
        <f>B2/B6</f>
        <v>12390921.082435016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5">
        <f>25.8*1000000</f>
        <v>25800000</v>
      </c>
      <c r="R4" s="35">
        <f>26.9*1000000</f>
        <v>26900000</v>
      </c>
      <c r="S4" s="35">
        <f>27.8*1000000</f>
        <v>27800000</v>
      </c>
      <c r="T4" s="35">
        <f>28.8*1000000</f>
        <v>28800000</v>
      </c>
      <c r="U4" s="35">
        <f>29.9*1000000</f>
        <v>29900000</v>
      </c>
      <c r="V4" s="35">
        <f>31.1*1000000</f>
        <v>31100000</v>
      </c>
    </row>
    <row r="5" spans="1:22" x14ac:dyDescent="0.25">
      <c r="A5" s="31" t="s">
        <v>117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>
        <f>3.5/100</f>
        <v>3.5000000000000003E-2</v>
      </c>
      <c r="R5" s="31">
        <f>3.7/100</f>
        <v>3.7000000000000005E-2</v>
      </c>
      <c r="S5" s="31">
        <f t="shared" ref="S5:T5" si="1">3.7/100</f>
        <v>3.7000000000000005E-2</v>
      </c>
      <c r="T5" s="31">
        <f t="shared" si="1"/>
        <v>3.7000000000000005E-2</v>
      </c>
      <c r="U5" s="31">
        <f>3.8/100</f>
        <v>3.7999999999999999E-2</v>
      </c>
      <c r="V5" s="31">
        <f>3.8/100</f>
        <v>3.7999999999999999E-2</v>
      </c>
    </row>
    <row r="6" spans="1:22" x14ac:dyDescent="0.25">
      <c r="A6" s="31" t="s">
        <v>33</v>
      </c>
      <c r="B6" s="9">
        <f>Penduduk!P31</f>
        <v>43552923</v>
      </c>
      <c r="C6" s="31">
        <v>43520231.496352419</v>
      </c>
      <c r="D6" s="31">
        <v>43487564.531457625</v>
      </c>
      <c r="E6" s="31">
        <v>43454922.086896457</v>
      </c>
      <c r="F6" s="31">
        <v>43422304.144263558</v>
      </c>
      <c r="G6" s="31">
        <v>43389710.685167402</v>
      </c>
      <c r="H6" s="31">
        <v>43357141.691230267</v>
      </c>
      <c r="I6" s="31">
        <v>43324597.144088216</v>
      </c>
      <c r="J6" s="31">
        <v>43292077.025391109</v>
      </c>
      <c r="K6" s="31">
        <v>43259581.316802576</v>
      </c>
      <c r="L6" s="31">
        <v>43227110</v>
      </c>
      <c r="M6" s="31">
        <v>43892807.494000003</v>
      </c>
      <c r="N6" s="31">
        <v>44568756.729407609</v>
      </c>
      <c r="O6" s="31">
        <v>45255115.583040491</v>
      </c>
      <c r="P6" s="31">
        <v>45952044.363019317</v>
      </c>
      <c r="Q6" s="31">
        <v>46659705.846209817</v>
      </c>
      <c r="R6" s="31">
        <v>47378265.316241451</v>
      </c>
      <c r="S6" s="31">
        <v>48107890.602111571</v>
      </c>
      <c r="T6" s="31">
        <v>48776590.281480923</v>
      </c>
      <c r="U6" s="31">
        <v>49454584.88639351</v>
      </c>
      <c r="V6" s="31">
        <v>50142003.616314381</v>
      </c>
    </row>
    <row r="7" spans="1:22" x14ac:dyDescent="0.25">
      <c r="A7" s="31" t="s">
        <v>47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>
        <f>'Energi-Household'!C17</f>
        <v>22142857.142857011</v>
      </c>
      <c r="R7" s="31">
        <f>'Energi-Household'!C18</f>
        <v>24285714.285714138</v>
      </c>
      <c r="S7" s="31">
        <f>'Energi-Household'!C19</f>
        <v>25714285.71428556</v>
      </c>
      <c r="T7" s="31">
        <f>'Energi-Household'!C20</f>
        <v>27857142.857142691</v>
      </c>
      <c r="U7" s="31">
        <f>'Energi-Household'!C21</f>
        <v>29999999.999999821</v>
      </c>
      <c r="V7" s="31">
        <f>'Energi-Household'!C22</f>
        <v>32142857.142856948</v>
      </c>
    </row>
    <row r="8" spans="1:22" x14ac:dyDescent="0.25">
      <c r="A8" s="31" t="s">
        <v>48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71928571.428571001</v>
      </c>
      <c r="R8" s="31">
        <v>74857142.857142404</v>
      </c>
      <c r="S8" s="32">
        <v>77857142.857142389</v>
      </c>
      <c r="T8" s="32">
        <v>80785714.285713807</v>
      </c>
      <c r="U8" s="31">
        <v>83714285.71428521</v>
      </c>
      <c r="V8" s="31">
        <v>86714285.71428521</v>
      </c>
    </row>
    <row r="9" spans="1:22" x14ac:dyDescent="0.25">
      <c r="A9" s="31" t="s">
        <v>49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5214285.7142856829</v>
      </c>
      <c r="R9" s="31">
        <v>5428571.4285713956</v>
      </c>
      <c r="S9" s="32">
        <v>5714285.7142856801</v>
      </c>
      <c r="T9" s="32">
        <v>5928571.4285713928</v>
      </c>
      <c r="U9" s="31">
        <v>4999999.9999999693</v>
      </c>
      <c r="V9" s="31">
        <v>6499999.9999999609</v>
      </c>
    </row>
    <row r="10" spans="1:22" x14ac:dyDescent="0.25">
      <c r="A10" s="31" t="s">
        <v>35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42857142.857142597</v>
      </c>
      <c r="R10" s="31">
        <v>47857142.857142568</v>
      </c>
      <c r="S10" s="32">
        <v>52857142.857142545</v>
      </c>
      <c r="T10" s="32">
        <v>57142857.142856799</v>
      </c>
      <c r="U10" s="31">
        <v>62142857.142856762</v>
      </c>
      <c r="V10" s="31">
        <v>66428571.42857103</v>
      </c>
    </row>
    <row r="11" spans="1:22" x14ac:dyDescent="0.25">
      <c r="A11" s="31" t="s">
        <v>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>
        <v>142857.142857142</v>
      </c>
      <c r="R11">
        <v>142857.142857142</v>
      </c>
      <c r="S11" s="24">
        <v>142857.142857142</v>
      </c>
      <c r="T11" s="24">
        <v>142857.142857142</v>
      </c>
      <c r="U11">
        <v>142857.142857142</v>
      </c>
      <c r="V11">
        <v>142857.142857142</v>
      </c>
    </row>
    <row r="12" spans="1:22" x14ac:dyDescent="0.25">
      <c r="A12" s="31" t="s">
        <v>107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>
        <f>SUM(Q7:Q11)</f>
        <v>142285714.28571343</v>
      </c>
      <c r="R12">
        <f t="shared" ref="R12:U12" si="2">SUM(R7:R11)</f>
        <v>152571428.57142764</v>
      </c>
      <c r="S12">
        <f t="shared" si="2"/>
        <v>162285714.28571332</v>
      </c>
      <c r="T12">
        <f t="shared" si="2"/>
        <v>171857142.85714182</v>
      </c>
      <c r="U12">
        <f t="shared" si="2"/>
        <v>180999999.9999989</v>
      </c>
    </row>
    <row r="13" spans="1:22" x14ac:dyDescent="0.25">
      <c r="A13" s="31" t="s">
        <v>56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>
        <v>11097301</v>
      </c>
      <c r="P13" s="33">
        <v>13478289</v>
      </c>
      <c r="Q13" s="33">
        <v>14483932</v>
      </c>
      <c r="R13" s="33">
        <v>15822611</v>
      </c>
      <c r="S13" s="33">
        <v>17076805</v>
      </c>
      <c r="T13" s="33">
        <v>16507843</v>
      </c>
      <c r="U13" s="31"/>
      <c r="V13" s="31"/>
    </row>
    <row r="14" spans="1:22" x14ac:dyDescent="0.25">
      <c r="A14" s="31" t="s">
        <v>58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>
        <v>217359</v>
      </c>
      <c r="P14" s="33">
        <v>242210</v>
      </c>
      <c r="Q14" s="33">
        <v>252871</v>
      </c>
      <c r="R14" s="33">
        <v>262510</v>
      </c>
      <c r="S14" s="33">
        <v>269760</v>
      </c>
      <c r="T14" s="33">
        <v>258300</v>
      </c>
      <c r="U14" s="31"/>
      <c r="V14" s="31"/>
    </row>
    <row r="15" spans="1:22" x14ac:dyDescent="0.25">
      <c r="A15" s="31" t="s">
        <v>115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>
        <f>SUM(O13:O14)</f>
        <v>11314660</v>
      </c>
      <c r="P15" s="32">
        <f t="shared" ref="P15:T15" si="3">SUM(P13:P14)</f>
        <v>13720499</v>
      </c>
      <c r="Q15" s="32">
        <f t="shared" si="3"/>
        <v>14736803</v>
      </c>
      <c r="R15" s="32">
        <f t="shared" si="3"/>
        <v>16085121</v>
      </c>
      <c r="S15" s="32">
        <f t="shared" si="3"/>
        <v>17346565</v>
      </c>
      <c r="T15" s="32">
        <f t="shared" si="3"/>
        <v>16766143</v>
      </c>
      <c r="U15" s="31"/>
      <c r="V15" s="31"/>
    </row>
    <row r="16" spans="1:22" x14ac:dyDescent="0.25">
      <c r="A16" s="31" t="s">
        <v>108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>
        <f>O13/O$15</f>
        <v>0.98078961276786047</v>
      </c>
      <c r="P16" s="32">
        <f t="shared" ref="P16:T16" si="4">P13/P$15</f>
        <v>0.98234685196216265</v>
      </c>
      <c r="Q16" s="32">
        <f t="shared" si="4"/>
        <v>0.98284085089554363</v>
      </c>
      <c r="R16" s="32">
        <f t="shared" si="4"/>
        <v>0.98367994869295672</v>
      </c>
      <c r="S16" s="32">
        <f t="shared" si="4"/>
        <v>0.98444879432902133</v>
      </c>
      <c r="T16" s="32">
        <f t="shared" si="4"/>
        <v>0.98459395222860735</v>
      </c>
      <c r="U16" s="31"/>
      <c r="V16" s="31"/>
    </row>
    <row r="17" spans="1:22" x14ac:dyDescent="0.25">
      <c r="A17" s="31" t="s">
        <v>114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>
        <f>O14/O$15</f>
        <v>1.9210387232139543E-2</v>
      </c>
      <c r="P17" s="32">
        <f t="shared" ref="P17:T17" si="5">P14/P$15</f>
        <v>1.76531480378374E-2</v>
      </c>
      <c r="Q17" s="32">
        <f t="shared" si="5"/>
        <v>1.7159149104456373E-2</v>
      </c>
      <c r="R17" s="32">
        <f t="shared" si="5"/>
        <v>1.6320051307043323E-2</v>
      </c>
      <c r="S17" s="32">
        <f t="shared" si="5"/>
        <v>1.5551205670978663E-2</v>
      </c>
      <c r="T17" s="32">
        <f t="shared" si="5"/>
        <v>1.5406047771392621E-2</v>
      </c>
      <c r="U17" s="31"/>
      <c r="V17" s="31"/>
    </row>
    <row r="18" spans="1:22" x14ac:dyDescent="0.25">
      <c r="A18" s="31" t="s">
        <v>102</v>
      </c>
      <c r="Q18">
        <f>Q7/Q$12</f>
        <v>0.15562248995983938</v>
      </c>
      <c r="R18">
        <f t="shared" ref="R18:U18" si="6">R7/R$12</f>
        <v>0.15917602996254682</v>
      </c>
      <c r="S18">
        <f t="shared" si="6"/>
        <v>0.1584507042253521</v>
      </c>
      <c r="T18">
        <f t="shared" si="6"/>
        <v>0.16209476309226933</v>
      </c>
      <c r="U18">
        <f t="shared" si="6"/>
        <v>0.16574585635359118</v>
      </c>
    </row>
    <row r="19" spans="1:22" x14ac:dyDescent="0.25">
      <c r="A19" s="31" t="s">
        <v>103</v>
      </c>
      <c r="Q19">
        <f t="shared" ref="Q19:U22" si="7">Q8/Q$12</f>
        <v>0.50552208835341372</v>
      </c>
      <c r="R19">
        <f t="shared" si="7"/>
        <v>0.49063670411985022</v>
      </c>
      <c r="S19">
        <f t="shared" si="7"/>
        <v>0.47975352112676056</v>
      </c>
      <c r="T19">
        <f t="shared" si="7"/>
        <v>0.47007481296758108</v>
      </c>
      <c r="U19">
        <f t="shared" si="7"/>
        <v>0.46250986582478298</v>
      </c>
    </row>
    <row r="20" spans="1:22" x14ac:dyDescent="0.25">
      <c r="A20" s="31" t="s">
        <v>104</v>
      </c>
      <c r="Q20">
        <f t="shared" si="7"/>
        <v>3.6646586345381524E-2</v>
      </c>
      <c r="R20">
        <f t="shared" si="7"/>
        <v>3.5580524344569292E-2</v>
      </c>
      <c r="S20">
        <f t="shared" si="7"/>
        <v>3.5211267605633804E-2</v>
      </c>
      <c r="T20">
        <f t="shared" si="7"/>
        <v>3.4497090606816293E-2</v>
      </c>
      <c r="U20">
        <f t="shared" si="7"/>
        <v>2.7624309392265192E-2</v>
      </c>
    </row>
    <row r="21" spans="1:22" x14ac:dyDescent="0.25">
      <c r="A21" s="31" t="s">
        <v>105</v>
      </c>
      <c r="O21" s="24"/>
      <c r="P21" s="24"/>
      <c r="Q21">
        <f t="shared" si="7"/>
        <v>0.3012048192771084</v>
      </c>
      <c r="R21">
        <f t="shared" si="7"/>
        <v>0.31367041198501872</v>
      </c>
      <c r="S21">
        <f t="shared" si="7"/>
        <v>0.32570422535211269</v>
      </c>
      <c r="T21">
        <f t="shared" si="7"/>
        <v>0.33250207813798838</v>
      </c>
      <c r="U21">
        <f t="shared" si="7"/>
        <v>0.34333070244672453</v>
      </c>
    </row>
    <row r="22" spans="1:22" x14ac:dyDescent="0.25">
      <c r="A22" s="31" t="s">
        <v>106</v>
      </c>
      <c r="O22" s="24"/>
      <c r="P22" s="24"/>
      <c r="Q22">
        <f t="shared" si="7"/>
        <v>1.004016064257028E-3</v>
      </c>
      <c r="R22">
        <f t="shared" si="7"/>
        <v>9.3632958801498128E-4</v>
      </c>
      <c r="S22">
        <f t="shared" si="7"/>
        <v>8.8028169014084498E-4</v>
      </c>
      <c r="T22">
        <f t="shared" si="7"/>
        <v>8.3125519534497092E-4</v>
      </c>
      <c r="U22">
        <f t="shared" si="7"/>
        <v>7.8926598263614849E-4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2282-B2EF-4640-AC63-A4B49DFC3F25}">
  <dimension ref="A2:C23"/>
  <sheetViews>
    <sheetView workbookViewId="0">
      <selection activeCell="C18" sqref="C18:C23"/>
    </sheetView>
  </sheetViews>
  <sheetFormatPr defaultRowHeight="15" x14ac:dyDescent="0.25"/>
  <cols>
    <col min="1" max="1" width="5.42578125" bestFit="1" customWidth="1"/>
    <col min="2" max="2" width="26.42578125" bestFit="1" customWidth="1"/>
    <col min="3" max="3" width="27.1406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6</v>
      </c>
      <c r="C18" s="14">
        <f>B18*7142857.1428571</f>
        <v>42857142.857142597</v>
      </c>
    </row>
    <row r="19" spans="1:3" x14ac:dyDescent="0.25">
      <c r="A19" s="14">
        <v>2016</v>
      </c>
      <c r="B19" s="14">
        <v>6.7</v>
      </c>
      <c r="C19" s="14">
        <f t="shared" ref="C19:C23" si="0">B19*7142857.1428571</f>
        <v>47857142.857142568</v>
      </c>
    </row>
    <row r="20" spans="1:3" x14ac:dyDescent="0.25">
      <c r="A20" s="14">
        <v>2017</v>
      </c>
      <c r="B20" s="14">
        <v>7.4</v>
      </c>
      <c r="C20" s="14">
        <f t="shared" si="0"/>
        <v>52857142.857142545</v>
      </c>
    </row>
    <row r="21" spans="1:3" x14ac:dyDescent="0.25">
      <c r="A21" s="14">
        <v>2018</v>
      </c>
      <c r="B21" s="14">
        <v>8</v>
      </c>
      <c r="C21" s="14">
        <f t="shared" si="0"/>
        <v>57142857.142856799</v>
      </c>
    </row>
    <row r="22" spans="1:3" x14ac:dyDescent="0.25">
      <c r="A22" s="14">
        <v>2019</v>
      </c>
      <c r="B22" s="14">
        <v>8.6999999999999993</v>
      </c>
      <c r="C22" s="14">
        <f t="shared" si="0"/>
        <v>62142857.142856762</v>
      </c>
    </row>
    <row r="23" spans="1:3" x14ac:dyDescent="0.25">
      <c r="A23" s="14">
        <v>2020</v>
      </c>
      <c r="B23" s="14">
        <v>9.3000000000000007</v>
      </c>
      <c r="C23" s="14">
        <f t="shared" si="0"/>
        <v>66428571.42857103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409-3EFA-4B58-A3B0-295475135E2A}">
  <dimension ref="A1:F24"/>
  <sheetViews>
    <sheetView workbookViewId="0">
      <selection activeCell="F18" sqref="F18:F23"/>
    </sheetView>
  </sheetViews>
  <sheetFormatPr defaultRowHeight="15" x14ac:dyDescent="0.25"/>
  <cols>
    <col min="2" max="2" width="26.42578125" bestFit="1" customWidth="1"/>
    <col min="3" max="3" width="25.5703125" bestFit="1" customWidth="1"/>
    <col min="4" max="4" width="27.140625" bestFit="1" customWidth="1"/>
    <col min="5" max="5" width="25.5703125" bestFit="1" customWidth="1"/>
    <col min="6" max="6" width="22.85546875" customWidth="1"/>
  </cols>
  <sheetData>
    <row r="1" spans="1:6" x14ac:dyDescent="0.25">
      <c r="B1" s="43" t="s">
        <v>40</v>
      </c>
      <c r="C1" s="43"/>
      <c r="D1" s="46" t="s">
        <v>41</v>
      </c>
      <c r="E1" s="47"/>
      <c r="F1" t="s">
        <v>101</v>
      </c>
    </row>
    <row r="2" spans="1:6" x14ac:dyDescent="0.25">
      <c r="A2" s="14" t="s">
        <v>34</v>
      </c>
      <c r="B2" s="14" t="s">
        <v>37</v>
      </c>
      <c r="C2" s="14" t="s">
        <v>38</v>
      </c>
      <c r="D2" s="15" t="s">
        <v>36</v>
      </c>
      <c r="E2" s="15" t="s">
        <v>38</v>
      </c>
    </row>
    <row r="3" spans="1:6" x14ac:dyDescent="0.25">
      <c r="A3" s="14">
        <v>2000</v>
      </c>
      <c r="B3" s="14"/>
      <c r="C3" s="14"/>
      <c r="D3" s="14"/>
      <c r="E3" s="14"/>
    </row>
    <row r="4" spans="1:6" x14ac:dyDescent="0.25">
      <c r="A4" s="14">
        <v>2001</v>
      </c>
      <c r="B4" s="14"/>
      <c r="C4" s="14"/>
      <c r="D4" s="14"/>
      <c r="E4" s="14"/>
    </row>
    <row r="5" spans="1:6" x14ac:dyDescent="0.25">
      <c r="A5" s="14">
        <v>2002</v>
      </c>
      <c r="B5" s="14"/>
      <c r="C5" s="14"/>
      <c r="D5" s="14"/>
      <c r="E5" s="14"/>
    </row>
    <row r="6" spans="1:6" x14ac:dyDescent="0.25">
      <c r="A6" s="14">
        <v>2003</v>
      </c>
      <c r="B6" s="14"/>
      <c r="C6" s="14"/>
      <c r="D6" s="14"/>
      <c r="E6" s="14"/>
    </row>
    <row r="7" spans="1:6" x14ac:dyDescent="0.25">
      <c r="A7" s="14">
        <v>2004</v>
      </c>
      <c r="B7" s="14"/>
      <c r="C7" s="14"/>
      <c r="D7" s="14"/>
      <c r="E7" s="14"/>
    </row>
    <row r="8" spans="1:6" x14ac:dyDescent="0.25">
      <c r="A8" s="14">
        <v>2005</v>
      </c>
      <c r="B8" s="14"/>
      <c r="C8" s="14"/>
      <c r="D8" s="14"/>
      <c r="E8" s="14"/>
    </row>
    <row r="9" spans="1:6" x14ac:dyDescent="0.25">
      <c r="A9" s="14">
        <v>2006</v>
      </c>
      <c r="B9" s="14"/>
      <c r="C9" s="14"/>
      <c r="D9" s="14"/>
      <c r="E9" s="14"/>
    </row>
    <row r="10" spans="1:6" x14ac:dyDescent="0.25">
      <c r="A10" s="14">
        <v>2007</v>
      </c>
      <c r="B10" s="14"/>
      <c r="C10" s="14"/>
      <c r="D10" s="14"/>
      <c r="E10" s="14"/>
    </row>
    <row r="11" spans="1:6" x14ac:dyDescent="0.25">
      <c r="A11" s="14">
        <v>2008</v>
      </c>
      <c r="B11" s="14"/>
      <c r="C11" s="14"/>
      <c r="D11" s="14"/>
      <c r="E11" s="14"/>
    </row>
    <row r="12" spans="1:6" x14ac:dyDescent="0.25">
      <c r="A12" s="14">
        <v>2009</v>
      </c>
      <c r="B12" s="14"/>
      <c r="C12" s="14"/>
      <c r="D12" s="14"/>
      <c r="E12" s="14"/>
    </row>
    <row r="13" spans="1:6" x14ac:dyDescent="0.25">
      <c r="A13" s="14">
        <v>2010</v>
      </c>
      <c r="B13" s="14"/>
      <c r="C13" s="14"/>
      <c r="D13" s="14"/>
      <c r="E13" s="14"/>
    </row>
    <row r="14" spans="1:6" x14ac:dyDescent="0.25">
      <c r="A14" s="14">
        <v>2011</v>
      </c>
      <c r="B14" s="14"/>
      <c r="C14" s="14"/>
      <c r="D14" s="14"/>
      <c r="E14" s="14"/>
    </row>
    <row r="15" spans="1:6" x14ac:dyDescent="0.25">
      <c r="A15" s="14">
        <v>2012</v>
      </c>
      <c r="B15" s="14"/>
      <c r="C15" s="14"/>
      <c r="D15" s="14"/>
      <c r="E15" s="14"/>
    </row>
    <row r="16" spans="1:6" x14ac:dyDescent="0.25">
      <c r="A16" s="14">
        <v>2013</v>
      </c>
      <c r="B16" s="14"/>
      <c r="C16" s="14"/>
      <c r="D16" s="14"/>
      <c r="E16" s="14"/>
    </row>
    <row r="17" spans="1:6" x14ac:dyDescent="0.25">
      <c r="A17" s="14">
        <v>2014</v>
      </c>
      <c r="B17" s="14"/>
      <c r="C17" s="14"/>
      <c r="D17" s="14"/>
      <c r="E17" s="14"/>
    </row>
    <row r="18" spans="1:6" x14ac:dyDescent="0.25">
      <c r="A18" s="14">
        <v>2015</v>
      </c>
      <c r="B18" s="14">
        <v>9.3000000000000007</v>
      </c>
      <c r="C18" s="18">
        <f t="shared" ref="C18:C23" si="0">B18*$C$24</f>
        <v>66428571.42857103</v>
      </c>
      <c r="D18" s="14">
        <v>0.77</v>
      </c>
      <c r="E18" s="18">
        <f>D18*$C$24</f>
        <v>5499999.9999999674</v>
      </c>
      <c r="F18" s="13">
        <f>E18+C18</f>
        <v>71928571.428571001</v>
      </c>
    </row>
    <row r="19" spans="1:6" x14ac:dyDescent="0.25">
      <c r="A19" s="14">
        <v>2016</v>
      </c>
      <c r="B19" s="14">
        <v>9.6999999999999993</v>
      </c>
      <c r="C19" s="18">
        <f t="shared" si="0"/>
        <v>69285714.285713866</v>
      </c>
      <c r="D19" s="14">
        <v>0.78</v>
      </c>
      <c r="E19" s="18">
        <f t="shared" ref="E19:E23" si="1">D19*$C$24</f>
        <v>5571428.5714285383</v>
      </c>
      <c r="F19" s="13">
        <f t="shared" ref="F19:F23" si="2">E19+C19</f>
        <v>74857142.857142404</v>
      </c>
    </row>
    <row r="20" spans="1:6" x14ac:dyDescent="0.25">
      <c r="A20" s="14">
        <v>2017</v>
      </c>
      <c r="B20" s="14">
        <v>10.1</v>
      </c>
      <c r="C20" s="18">
        <f t="shared" si="0"/>
        <v>72142857.142856702</v>
      </c>
      <c r="D20" s="14">
        <v>0.8</v>
      </c>
      <c r="E20" s="18">
        <f t="shared" si="1"/>
        <v>5714285.7142856801</v>
      </c>
      <c r="F20" s="13">
        <f t="shared" si="2"/>
        <v>77857142.857142389</v>
      </c>
    </row>
    <row r="21" spans="1:6" x14ac:dyDescent="0.25">
      <c r="A21" s="14">
        <v>2018</v>
      </c>
      <c r="B21" s="14">
        <v>10.5</v>
      </c>
      <c r="C21" s="18">
        <f t="shared" si="0"/>
        <v>74999999.999999553</v>
      </c>
      <c r="D21" s="14">
        <v>0.81</v>
      </c>
      <c r="E21" s="18">
        <f t="shared" si="1"/>
        <v>5785714.285714251</v>
      </c>
      <c r="F21" s="13">
        <f t="shared" si="2"/>
        <v>80785714.285713807</v>
      </c>
    </row>
    <row r="22" spans="1:6" x14ac:dyDescent="0.25">
      <c r="A22" s="14">
        <v>2019</v>
      </c>
      <c r="B22" s="14">
        <v>10.9</v>
      </c>
      <c r="C22" s="18">
        <f t="shared" si="0"/>
        <v>77857142.857142389</v>
      </c>
      <c r="D22" s="14">
        <v>0.82</v>
      </c>
      <c r="E22" s="18">
        <f t="shared" si="1"/>
        <v>5857142.8571428219</v>
      </c>
      <c r="F22" s="13">
        <f t="shared" si="2"/>
        <v>83714285.71428521</v>
      </c>
    </row>
    <row r="23" spans="1:6" x14ac:dyDescent="0.25">
      <c r="A23" s="14">
        <v>2020</v>
      </c>
      <c r="B23" s="14">
        <v>11.3</v>
      </c>
      <c r="C23" s="18">
        <f t="shared" si="0"/>
        <v>80714285.71428524</v>
      </c>
      <c r="D23" s="14">
        <v>0.84</v>
      </c>
      <c r="E23" s="18">
        <f t="shared" si="1"/>
        <v>5999999.9999999637</v>
      </c>
      <c r="F23" s="13">
        <f t="shared" si="2"/>
        <v>86714285.71428521</v>
      </c>
    </row>
    <row r="24" spans="1:6" x14ac:dyDescent="0.25">
      <c r="B24" s="16" t="s">
        <v>39</v>
      </c>
      <c r="C24" s="17">
        <v>7142857.1428570999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03C-F06E-4D49-BB87-A4727B3FCA02}">
  <dimension ref="A2:C23"/>
  <sheetViews>
    <sheetView workbookViewId="0">
      <selection activeCell="C18" sqref="C18:C23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0.73</v>
      </c>
      <c r="C18" s="14">
        <f>B18*7142857.1428571</f>
        <v>5214285.7142856829</v>
      </c>
    </row>
    <row r="19" spans="1:3" x14ac:dyDescent="0.25">
      <c r="A19" s="14">
        <v>2016</v>
      </c>
      <c r="B19" s="14">
        <v>0.76</v>
      </c>
      <c r="C19" s="14">
        <f t="shared" ref="C19:C23" si="0">B19*7142857.1428571</f>
        <v>5428571.4285713956</v>
      </c>
    </row>
    <row r="20" spans="1:3" x14ac:dyDescent="0.25">
      <c r="A20" s="14">
        <v>2017</v>
      </c>
      <c r="B20" s="14">
        <v>0.8</v>
      </c>
      <c r="C20" s="14">
        <f t="shared" si="0"/>
        <v>5714285.7142856801</v>
      </c>
    </row>
    <row r="21" spans="1:3" x14ac:dyDescent="0.25">
      <c r="A21" s="14">
        <v>2018</v>
      </c>
      <c r="B21" s="14">
        <v>0.83</v>
      </c>
      <c r="C21" s="14">
        <f t="shared" si="0"/>
        <v>5928571.4285713928</v>
      </c>
    </row>
    <row r="22" spans="1:3" x14ac:dyDescent="0.25">
      <c r="A22" s="14">
        <v>2019</v>
      </c>
      <c r="B22" s="14">
        <v>0.7</v>
      </c>
      <c r="C22" s="14">
        <f t="shared" si="0"/>
        <v>4999999.9999999693</v>
      </c>
    </row>
    <row r="23" spans="1:3" x14ac:dyDescent="0.25">
      <c r="A23" s="14">
        <v>2020</v>
      </c>
      <c r="B23" s="14">
        <v>0.91</v>
      </c>
      <c r="C23" s="14">
        <f t="shared" si="0"/>
        <v>6499999.9999999609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EE5-24BA-44E0-8856-54AFCFADF6B4}">
  <dimension ref="A2:C23"/>
  <sheetViews>
    <sheetView workbookViewId="0">
      <selection activeCell="C18" sqref="C18:C23"/>
    </sheetView>
  </sheetViews>
  <sheetFormatPr defaultRowHeight="15" x14ac:dyDescent="0.25"/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0.02</v>
      </c>
      <c r="C18" s="14">
        <f>B18*7142857.1428571</f>
        <v>142857.142857142</v>
      </c>
    </row>
    <row r="19" spans="1:3" x14ac:dyDescent="0.25">
      <c r="A19" s="14">
        <v>2016</v>
      </c>
      <c r="B19" s="14">
        <v>0.02</v>
      </c>
      <c r="C19" s="14">
        <f t="shared" ref="C19:C23" si="0">B19*7142857.1428571</f>
        <v>142857.142857142</v>
      </c>
    </row>
    <row r="20" spans="1:3" x14ac:dyDescent="0.25">
      <c r="A20" s="14">
        <v>2017</v>
      </c>
      <c r="B20" s="14">
        <v>0.02</v>
      </c>
      <c r="C20" s="14">
        <f t="shared" si="0"/>
        <v>142857.142857142</v>
      </c>
    </row>
    <row r="21" spans="1:3" x14ac:dyDescent="0.25">
      <c r="A21" s="14">
        <v>2018</v>
      </c>
      <c r="B21" s="14">
        <v>0.02</v>
      </c>
      <c r="C21" s="14">
        <f t="shared" si="0"/>
        <v>142857.142857142</v>
      </c>
    </row>
    <row r="22" spans="1:3" x14ac:dyDescent="0.25">
      <c r="A22" s="14">
        <v>2019</v>
      </c>
      <c r="B22" s="14">
        <v>0.02</v>
      </c>
      <c r="C22" s="14">
        <f t="shared" si="0"/>
        <v>142857.142857142</v>
      </c>
    </row>
    <row r="23" spans="1:3" x14ac:dyDescent="0.25">
      <c r="A23" s="14">
        <v>2020</v>
      </c>
      <c r="B23" s="14">
        <v>0.02</v>
      </c>
      <c r="C23" s="14">
        <f t="shared" si="0"/>
        <v>142857.142857142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C12-6999-409A-8D85-86F04515CD52}">
  <dimension ref="A1:I53"/>
  <sheetViews>
    <sheetView workbookViewId="0">
      <pane xSplit="1" topLeftCell="B1" activePane="topRight" state="frozen"/>
      <selection pane="topRight" activeCell="D23" sqref="D23"/>
    </sheetView>
  </sheetViews>
  <sheetFormatPr defaultRowHeight="15" x14ac:dyDescent="0.25"/>
  <cols>
    <col min="2" max="2" width="15.28515625" bestFit="1" customWidth="1"/>
    <col min="3" max="3" width="26.7109375" customWidth="1"/>
    <col min="4" max="4" width="47" style="4" customWidth="1"/>
    <col min="5" max="6" width="47" customWidth="1"/>
    <col min="9" max="9" width="15.85546875" bestFit="1" customWidth="1"/>
  </cols>
  <sheetData>
    <row r="1" spans="1:9" x14ac:dyDescent="0.25">
      <c r="A1" s="14" t="s">
        <v>32</v>
      </c>
      <c r="B1" s="14" t="s">
        <v>89</v>
      </c>
      <c r="C1" t="s">
        <v>99</v>
      </c>
      <c r="D1" s="4" t="s">
        <v>109</v>
      </c>
      <c r="E1" t="s">
        <v>110</v>
      </c>
      <c r="G1" t="s">
        <v>32</v>
      </c>
      <c r="H1" t="s">
        <v>97</v>
      </c>
    </row>
    <row r="2" spans="1:9" x14ac:dyDescent="0.25">
      <c r="A2" s="16">
        <v>2000</v>
      </c>
      <c r="B2" s="16">
        <f t="shared" ref="B2:B12" si="0">B3/(1+H3)</f>
        <v>12390921.082435016</v>
      </c>
      <c r="C2" s="13">
        <f>B2*Penduduk!B3</f>
        <v>539660831802368.88</v>
      </c>
      <c r="G2" s="30">
        <v>2000</v>
      </c>
      <c r="H2" s="14">
        <v>4.9200000000000001E-2</v>
      </c>
      <c r="I2" s="36" t="s">
        <v>98</v>
      </c>
    </row>
    <row r="3" spans="1:9" x14ac:dyDescent="0.25">
      <c r="A3" s="16">
        <v>2001</v>
      </c>
      <c r="B3" s="16">
        <f t="shared" si="0"/>
        <v>12842322.337468123</v>
      </c>
      <c r="C3" s="13">
        <f>B3*Penduduk!B4</f>
        <v>558900841077390.44</v>
      </c>
      <c r="G3" s="30">
        <v>2001</v>
      </c>
      <c r="H3" s="14">
        <v>3.6429999999999997E-2</v>
      </c>
      <c r="I3" s="36"/>
    </row>
    <row r="4" spans="1:9" x14ac:dyDescent="0.25">
      <c r="A4" s="16">
        <v>2002</v>
      </c>
      <c r="B4" s="16">
        <f t="shared" si="0"/>
        <v>13420098.419430815</v>
      </c>
      <c r="C4" s="13">
        <f>B4*Penduduk!B5</f>
        <v>583607396033510</v>
      </c>
      <c r="G4" s="30">
        <v>2002</v>
      </c>
      <c r="H4" s="14">
        <v>4.4990000000000002E-2</v>
      </c>
      <c r="I4" s="36"/>
    </row>
    <row r="5" spans="1:9" x14ac:dyDescent="0.25">
      <c r="A5" s="16">
        <v>2003</v>
      </c>
      <c r="B5" s="16">
        <f t="shared" si="0"/>
        <v>14061579.123879608</v>
      </c>
      <c r="C5" s="13">
        <f>B5*Penduduk!B6</f>
        <v>611044825246918.13</v>
      </c>
      <c r="G5" s="30">
        <v>2003</v>
      </c>
      <c r="H5" s="14">
        <v>4.7800000000000002E-2</v>
      </c>
      <c r="I5" s="36"/>
    </row>
    <row r="6" spans="1:9" x14ac:dyDescent="0.25">
      <c r="A6" s="16">
        <v>2004</v>
      </c>
      <c r="B6" s="16">
        <f t="shared" si="0"/>
        <v>14769017.169601992</v>
      </c>
      <c r="C6" s="13">
        <f>B6*Penduduk!B7</f>
        <v>641304755450308.25</v>
      </c>
      <c r="G6" s="30">
        <v>2004</v>
      </c>
      <c r="H6" s="14">
        <v>5.0310000000000001E-2</v>
      </c>
      <c r="I6" s="36"/>
    </row>
    <row r="7" spans="1:9" x14ac:dyDescent="0.25">
      <c r="A7" s="16">
        <v>2005</v>
      </c>
      <c r="B7" s="16">
        <f t="shared" si="0"/>
        <v>15609817.317067431</v>
      </c>
      <c r="C7" s="13">
        <f>B7*Penduduk!B8</f>
        <v>677305457235871.88</v>
      </c>
      <c r="G7" s="30">
        <v>2005</v>
      </c>
      <c r="H7" s="14">
        <v>5.6930000000000001E-2</v>
      </c>
      <c r="I7" s="36"/>
    </row>
    <row r="8" spans="1:9" x14ac:dyDescent="0.25">
      <c r="A8" s="16">
        <v>2006</v>
      </c>
      <c r="B8" s="16">
        <f t="shared" si="0"/>
        <v>16468513.367679311</v>
      </c>
      <c r="C8" s="13">
        <f>B8*Penduduk!B9</f>
        <v>714027667526391.63</v>
      </c>
      <c r="G8" s="30">
        <v>2006</v>
      </c>
      <c r="H8" s="14">
        <v>5.5010000000000003E-2</v>
      </c>
      <c r="I8" s="36"/>
    </row>
    <row r="9" spans="1:9" x14ac:dyDescent="0.25">
      <c r="A9" s="16">
        <v>2007</v>
      </c>
      <c r="B9" s="16">
        <f t="shared" si="0"/>
        <v>17513440.540858563</v>
      </c>
      <c r="C9" s="13">
        <f>B9*Penduduk!B10</f>
        <v>758762756039639.63</v>
      </c>
      <c r="G9" s="30">
        <v>2007</v>
      </c>
      <c r="H9" s="14">
        <v>6.3450000000000006E-2</v>
      </c>
      <c r="I9" s="36"/>
    </row>
    <row r="10" spans="1:9" x14ac:dyDescent="0.25">
      <c r="A10" s="16">
        <v>2008</v>
      </c>
      <c r="B10" s="16">
        <f t="shared" si="0"/>
        <v>18566698.8549858</v>
      </c>
      <c r="C10" s="13">
        <f>B10*Penduduk!B11</f>
        <v>803790956937286.13</v>
      </c>
      <c r="G10" s="30">
        <v>2008</v>
      </c>
      <c r="H10" s="14">
        <v>6.0139999999999999E-2</v>
      </c>
      <c r="I10" s="36"/>
    </row>
    <row r="11" spans="1:9" x14ac:dyDescent="0.25">
      <c r="A11" s="16">
        <v>2009</v>
      </c>
      <c r="B11" s="16">
        <f t="shared" si="0"/>
        <v>19426151.34498309</v>
      </c>
      <c r="C11" s="13">
        <f>B11*Penduduk!B12</f>
        <v>840367173780809.75</v>
      </c>
      <c r="G11" s="30">
        <v>2009</v>
      </c>
      <c r="H11" s="14">
        <v>4.6289999999999998E-2</v>
      </c>
      <c r="I11" s="36"/>
    </row>
    <row r="12" spans="1:9" x14ac:dyDescent="0.25">
      <c r="A12" s="16">
        <v>2010</v>
      </c>
      <c r="B12" s="16">
        <f t="shared" si="0"/>
        <v>20635235.004694838</v>
      </c>
      <c r="C12" s="13">
        <f>B12*Penduduk!B13</f>
        <v>892001573423794.25</v>
      </c>
      <c r="G12" s="30">
        <v>2010</v>
      </c>
      <c r="H12" s="14">
        <v>6.2239999999999997E-2</v>
      </c>
      <c r="I12" s="36"/>
    </row>
    <row r="13" spans="1:9" x14ac:dyDescent="0.25">
      <c r="A13" s="14">
        <v>2011</v>
      </c>
      <c r="B13" s="14">
        <v>21976525.280000001</v>
      </c>
      <c r="C13" s="13">
        <f>B13*Penduduk!B14</f>
        <v>964611393502064.5</v>
      </c>
      <c r="G13" s="30">
        <v>2011</v>
      </c>
      <c r="H13" s="20">
        <f>6.5/100</f>
        <v>6.5000000000000002E-2</v>
      </c>
      <c r="I13" s="37" t="s">
        <v>111</v>
      </c>
    </row>
    <row r="14" spans="1:9" x14ac:dyDescent="0.25">
      <c r="A14" s="14">
        <v>2012</v>
      </c>
      <c r="B14" s="14">
        <v>23036002.07</v>
      </c>
      <c r="C14" s="13">
        <f>B14*Penduduk!B15</f>
        <v>1026685972275960.1</v>
      </c>
      <c r="G14" s="30">
        <v>2012</v>
      </c>
      <c r="H14" s="20">
        <f>6.5/100</f>
        <v>6.5000000000000002E-2</v>
      </c>
      <c r="I14" s="38"/>
    </row>
    <row r="15" spans="1:9" x14ac:dyDescent="0.25">
      <c r="A15" s="14">
        <v>2013</v>
      </c>
      <c r="B15" s="14">
        <v>24118312.199999999</v>
      </c>
      <c r="C15" s="13">
        <f>B15*Penduduk!B16</f>
        <v>1091477006278855.5</v>
      </c>
      <c r="G15" s="30">
        <v>2013</v>
      </c>
      <c r="H15" s="20">
        <f>6.33/100</f>
        <v>6.3299999999999995E-2</v>
      </c>
      <c r="I15" s="38"/>
    </row>
    <row r="16" spans="1:9" x14ac:dyDescent="0.25">
      <c r="A16" s="14">
        <v>2014</v>
      </c>
      <c r="B16" s="14">
        <v>24966855.23</v>
      </c>
      <c r="C16" s="13">
        <f>B16*Penduduk!B17</f>
        <v>1147278039134041</v>
      </c>
      <c r="G16" s="30">
        <v>2014</v>
      </c>
      <c r="H16" s="20">
        <f>5.09/100</f>
        <v>5.0900000000000001E-2</v>
      </c>
      <c r="I16" s="38"/>
    </row>
    <row r="17" spans="1:9" x14ac:dyDescent="0.25">
      <c r="A17" s="14">
        <v>2015</v>
      </c>
      <c r="B17" s="14">
        <v>25845503.77</v>
      </c>
      <c r="C17" s="13">
        <f>B17*Penduduk!B18</f>
        <v>1205943603355306.8</v>
      </c>
      <c r="D17" s="4">
        <v>1207000000000000</v>
      </c>
      <c r="G17" s="30">
        <v>2015</v>
      </c>
      <c r="H17" s="20">
        <f>5.05/100</f>
        <v>5.0499999999999996E-2</v>
      </c>
      <c r="I17" s="38"/>
    </row>
    <row r="18" spans="1:9" x14ac:dyDescent="0.25">
      <c r="A18" s="14">
        <v>2016</v>
      </c>
      <c r="B18" s="14">
        <v>26923505.52</v>
      </c>
      <c r="C18" s="13">
        <f>B18*Penduduk!B19</f>
        <v>1275588987769851.3</v>
      </c>
      <c r="D18" s="4">
        <f>1268*1000000000000</f>
        <v>1268000000000000</v>
      </c>
      <c r="G18" s="30">
        <v>2016</v>
      </c>
      <c r="H18" s="20">
        <f>5.66/100</f>
        <v>5.6600000000000004E-2</v>
      </c>
      <c r="I18" s="38"/>
    </row>
    <row r="19" spans="1:9" x14ac:dyDescent="0.25">
      <c r="A19" s="16">
        <v>2017</v>
      </c>
      <c r="B19" s="16">
        <f>(B20+B18)/2</f>
        <v>28042448.359999999</v>
      </c>
      <c r="C19" s="13">
        <f>B19*Penduduk!B20</f>
        <v>1349063037918243</v>
      </c>
      <c r="D19" s="4">
        <f>1333*1000000000000</f>
        <v>1333000000000000</v>
      </c>
      <c r="G19" s="30">
        <v>2017</v>
      </c>
      <c r="H19" s="20">
        <f>5.33/100</f>
        <v>5.33E-2</v>
      </c>
      <c r="I19" s="38"/>
    </row>
    <row r="20" spans="1:9" x14ac:dyDescent="0.25">
      <c r="A20" s="14">
        <v>2018</v>
      </c>
      <c r="B20" s="14">
        <v>29161391.199999999</v>
      </c>
      <c r="C20" s="13">
        <f>B20*Penduduk!B21</f>
        <v>1422393230600383.3</v>
      </c>
      <c r="D20" s="4">
        <f>1400*1000000000000</f>
        <v>1400000000000000</v>
      </c>
      <c r="G20" s="30">
        <v>2018</v>
      </c>
      <c r="H20" s="20">
        <f>5.66/100</f>
        <v>5.6600000000000004E-2</v>
      </c>
      <c r="I20" s="38"/>
    </row>
    <row r="21" spans="1:9" x14ac:dyDescent="0.25">
      <c r="A21" s="14">
        <v>2019</v>
      </c>
      <c r="B21" s="14">
        <v>30247470.829999998</v>
      </c>
      <c r="C21" s="13">
        <f>B21*Penduduk!B22</f>
        <v>1495876113760946.5</v>
      </c>
      <c r="D21" s="4">
        <f>1472*1000000000000</f>
        <v>1472000000000000</v>
      </c>
      <c r="G21" s="30">
        <v>2019</v>
      </c>
      <c r="H21" s="20">
        <f>5.07/100</f>
        <v>5.0700000000000002E-2</v>
      </c>
      <c r="I21" s="39"/>
    </row>
    <row r="22" spans="1:9" x14ac:dyDescent="0.25">
      <c r="A22" t="s">
        <v>91</v>
      </c>
      <c r="B22">
        <f>(B21/B13)^(1/COUNT(A14:A21))-1</f>
        <v>4.0737623522190347E-2</v>
      </c>
    </row>
    <row r="23" spans="1:9" x14ac:dyDescent="0.25">
      <c r="A23">
        <v>2020</v>
      </c>
      <c r="D23" s="4">
        <f>1547*1000000000000</f>
        <v>1547000000000000</v>
      </c>
    </row>
    <row r="24" spans="1:9" x14ac:dyDescent="0.25">
      <c r="A24">
        <v>2021</v>
      </c>
    </row>
    <row r="25" spans="1:9" x14ac:dyDescent="0.25">
      <c r="A25">
        <v>2022</v>
      </c>
    </row>
    <row r="26" spans="1:9" x14ac:dyDescent="0.25">
      <c r="A26">
        <v>2023</v>
      </c>
    </row>
    <row r="27" spans="1:9" x14ac:dyDescent="0.25">
      <c r="A27">
        <v>2024</v>
      </c>
    </row>
    <row r="28" spans="1:9" x14ac:dyDescent="0.25">
      <c r="A28">
        <v>2025</v>
      </c>
      <c r="D28" s="4">
        <v>1987</v>
      </c>
    </row>
    <row r="29" spans="1:9" x14ac:dyDescent="0.25">
      <c r="A29">
        <v>2026</v>
      </c>
    </row>
    <row r="30" spans="1:9" x14ac:dyDescent="0.25">
      <c r="A30">
        <v>2027</v>
      </c>
    </row>
    <row r="31" spans="1:9" x14ac:dyDescent="0.25">
      <c r="A31">
        <v>2028</v>
      </c>
    </row>
    <row r="32" spans="1:9" x14ac:dyDescent="0.25">
      <c r="A32">
        <v>2029</v>
      </c>
    </row>
    <row r="33" spans="1:4" x14ac:dyDescent="0.25">
      <c r="A33">
        <v>2030</v>
      </c>
    </row>
    <row r="34" spans="1:4" x14ac:dyDescent="0.25">
      <c r="A34">
        <v>2031</v>
      </c>
    </row>
    <row r="35" spans="1:4" x14ac:dyDescent="0.25">
      <c r="A35">
        <v>2032</v>
      </c>
    </row>
    <row r="36" spans="1:4" x14ac:dyDescent="0.25">
      <c r="A36">
        <v>2033</v>
      </c>
    </row>
    <row r="37" spans="1:4" x14ac:dyDescent="0.25">
      <c r="A37">
        <v>2034</v>
      </c>
    </row>
    <row r="38" spans="1:4" x14ac:dyDescent="0.25">
      <c r="A38">
        <v>2035</v>
      </c>
    </row>
    <row r="39" spans="1:4" x14ac:dyDescent="0.25">
      <c r="A39">
        <v>2036</v>
      </c>
    </row>
    <row r="40" spans="1:4" x14ac:dyDescent="0.25">
      <c r="A40">
        <v>2037</v>
      </c>
    </row>
    <row r="41" spans="1:4" x14ac:dyDescent="0.25">
      <c r="A41">
        <v>2038</v>
      </c>
    </row>
    <row r="42" spans="1:4" x14ac:dyDescent="0.25">
      <c r="A42">
        <v>2039</v>
      </c>
    </row>
    <row r="43" spans="1:4" x14ac:dyDescent="0.25">
      <c r="A43">
        <v>2040</v>
      </c>
      <c r="D43" s="4">
        <v>4262</v>
      </c>
    </row>
    <row r="44" spans="1:4" x14ac:dyDescent="0.25">
      <c r="A44">
        <v>2041</v>
      </c>
    </row>
    <row r="45" spans="1:4" x14ac:dyDescent="0.25">
      <c r="A45">
        <v>2042</v>
      </c>
    </row>
    <row r="46" spans="1:4" x14ac:dyDescent="0.25">
      <c r="A46">
        <v>2043</v>
      </c>
    </row>
    <row r="47" spans="1:4" x14ac:dyDescent="0.25">
      <c r="A47">
        <v>2044</v>
      </c>
    </row>
    <row r="48" spans="1:4" x14ac:dyDescent="0.25">
      <c r="A48">
        <v>2045</v>
      </c>
    </row>
    <row r="49" spans="1:4" x14ac:dyDescent="0.25">
      <c r="A49">
        <v>2046</v>
      </c>
    </row>
    <row r="50" spans="1:4" x14ac:dyDescent="0.25">
      <c r="A50">
        <v>2047</v>
      </c>
    </row>
    <row r="51" spans="1:4" x14ac:dyDescent="0.25">
      <c r="A51">
        <v>2048</v>
      </c>
    </row>
    <row r="52" spans="1:4" x14ac:dyDescent="0.25">
      <c r="A52">
        <v>2049</v>
      </c>
    </row>
    <row r="53" spans="1:4" x14ac:dyDescent="0.25">
      <c r="A53">
        <v>2050</v>
      </c>
      <c r="D53" s="4">
        <v>7164</v>
      </c>
    </row>
  </sheetData>
  <mergeCells count="2">
    <mergeCell ref="I2:I12"/>
    <mergeCell ref="I13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26DA-E475-4901-97D5-99886A82E7A7}">
  <dimension ref="A1:AA33"/>
  <sheetViews>
    <sheetView zoomScaleNormal="100" workbookViewId="0">
      <pane ySplit="2" topLeftCell="A3" activePane="bottomLeft" state="frozen"/>
      <selection activeCell="F1" sqref="F1"/>
      <selection pane="bottomLeft" activeCell="G10" sqref="G10"/>
    </sheetView>
  </sheetViews>
  <sheetFormatPr defaultRowHeight="15" x14ac:dyDescent="0.25"/>
  <cols>
    <col min="1" max="1" width="18.85546875" bestFit="1" customWidth="1"/>
    <col min="2" max="2" width="22.85546875" bestFit="1" customWidth="1"/>
    <col min="7" max="7" width="28.5703125" bestFit="1" customWidth="1"/>
    <col min="8" max="8" width="25.7109375" customWidth="1"/>
    <col min="9" max="9" width="12" bestFit="1" customWidth="1"/>
    <col min="12" max="12" width="18.28515625" customWidth="1"/>
    <col min="13" max="13" width="14.28515625" customWidth="1"/>
    <col min="14" max="14" width="23" customWidth="1"/>
    <col min="16" max="17" width="13.7109375" bestFit="1" customWidth="1"/>
    <col min="18" max="22" width="13.7109375" customWidth="1"/>
    <col min="23" max="26" width="13.7109375" bestFit="1" customWidth="1"/>
    <col min="27" max="27" width="14.28515625" bestFit="1" customWidth="1"/>
  </cols>
  <sheetData>
    <row r="1" spans="1:27" x14ac:dyDescent="0.25">
      <c r="A1" s="45" t="s">
        <v>32</v>
      </c>
      <c r="B1" s="45" t="s">
        <v>100</v>
      </c>
      <c r="G1" s="1"/>
      <c r="H1" s="1"/>
      <c r="I1" s="1"/>
      <c r="J1" s="44" t="s">
        <v>23</v>
      </c>
      <c r="K1" s="44"/>
      <c r="L1" s="44"/>
      <c r="M1" s="44" t="s">
        <v>26</v>
      </c>
      <c r="N1" s="44"/>
      <c r="O1" s="1"/>
      <c r="P1" s="1"/>
      <c r="Q1" s="42" t="s">
        <v>29</v>
      </c>
      <c r="R1" s="42"/>
      <c r="S1" s="42"/>
      <c r="T1" s="42"/>
      <c r="U1" s="42"/>
      <c r="V1" s="42"/>
      <c r="W1" s="42"/>
      <c r="X1" s="42"/>
      <c r="Y1" s="43" t="s">
        <v>42</v>
      </c>
      <c r="Z1" s="43"/>
      <c r="AA1" s="43"/>
    </row>
    <row r="2" spans="1:27" ht="15" customHeight="1" x14ac:dyDescent="0.25">
      <c r="A2" s="45"/>
      <c r="B2" s="45"/>
      <c r="G2" s="40" t="s">
        <v>0</v>
      </c>
      <c r="H2" s="40"/>
      <c r="I2" s="11">
        <v>2000</v>
      </c>
      <c r="J2" s="2">
        <v>2010</v>
      </c>
      <c r="K2" s="2">
        <v>2016</v>
      </c>
      <c r="L2" s="2">
        <v>2017</v>
      </c>
      <c r="M2" s="2" t="s">
        <v>27</v>
      </c>
      <c r="N2" s="2" t="s">
        <v>28</v>
      </c>
      <c r="O2" s="1"/>
      <c r="P2" s="9">
        <v>2000</v>
      </c>
      <c r="Q2" s="9">
        <v>2010</v>
      </c>
      <c r="R2" s="9">
        <v>2011</v>
      </c>
      <c r="S2" s="9">
        <v>2012</v>
      </c>
      <c r="T2" s="9">
        <v>2013</v>
      </c>
      <c r="U2" s="9">
        <v>2014</v>
      </c>
      <c r="V2" s="9">
        <v>2015</v>
      </c>
      <c r="W2" s="9">
        <v>2016</v>
      </c>
      <c r="X2" s="10">
        <v>2017</v>
      </c>
      <c r="Y2" s="21">
        <v>2018</v>
      </c>
      <c r="Z2" s="21">
        <v>2019</v>
      </c>
      <c r="AA2" s="21">
        <v>2020</v>
      </c>
    </row>
    <row r="3" spans="1:27" x14ac:dyDescent="0.25">
      <c r="A3" s="14">
        <v>2000</v>
      </c>
      <c r="B3" s="5">
        <f>P31</f>
        <v>43552923</v>
      </c>
      <c r="G3" s="1">
        <v>1</v>
      </c>
      <c r="H3" s="1" t="s">
        <v>2</v>
      </c>
      <c r="I3" s="1"/>
      <c r="J3" s="3">
        <v>4813.88</v>
      </c>
      <c r="K3" s="3">
        <v>5459.67</v>
      </c>
      <c r="L3" s="3">
        <v>5715.01</v>
      </c>
      <c r="M3" s="3">
        <v>2.5099999999999998</v>
      </c>
      <c r="N3" s="3">
        <v>2.2799999999999998</v>
      </c>
      <c r="O3" s="1"/>
      <c r="P3" s="1"/>
      <c r="Q3" s="8">
        <f t="shared" ref="Q3:Q20" si="0">J3*1000</f>
        <v>4813880</v>
      </c>
      <c r="R3" s="8"/>
      <c r="S3" s="8"/>
      <c r="T3" s="8"/>
      <c r="U3" s="8"/>
      <c r="V3" s="8"/>
      <c r="W3" s="8">
        <f t="shared" ref="W3:X3" si="1">K3*1000</f>
        <v>5459670</v>
      </c>
      <c r="X3" s="8">
        <f t="shared" si="1"/>
        <v>5715010</v>
      </c>
    </row>
    <row r="4" spans="1:27" x14ac:dyDescent="0.25">
      <c r="A4" s="16">
        <v>2001</v>
      </c>
      <c r="B4" s="29">
        <f t="shared" ref="B4:B12" si="2">B3*(1+$B$24)</f>
        <v>43520231.496352419</v>
      </c>
      <c r="C4" s="45" t="s">
        <v>92</v>
      </c>
      <c r="G4" s="1">
        <v>2</v>
      </c>
      <c r="H4" s="1" t="s">
        <v>3</v>
      </c>
      <c r="I4" s="1"/>
      <c r="J4" s="3">
        <v>2358.42</v>
      </c>
      <c r="K4" s="3">
        <v>2434.2199999999998</v>
      </c>
      <c r="L4" s="3">
        <v>2453.5</v>
      </c>
      <c r="M4" s="3">
        <v>0.6</v>
      </c>
      <c r="N4" s="3">
        <v>0.36</v>
      </c>
      <c r="O4" s="1"/>
      <c r="P4" s="1"/>
      <c r="Q4" s="5">
        <f t="shared" si="0"/>
        <v>2358420</v>
      </c>
      <c r="R4" s="5"/>
      <c r="S4" s="5"/>
      <c r="T4" s="5"/>
      <c r="U4" s="5"/>
      <c r="V4" s="5"/>
      <c r="W4" s="5">
        <f t="shared" ref="W4:W20" si="3">K4*1000</f>
        <v>2434220</v>
      </c>
      <c r="X4" s="5">
        <f t="shared" ref="X4:X20" si="4">L4*1000</f>
        <v>2453500</v>
      </c>
    </row>
    <row r="5" spans="1:27" x14ac:dyDescent="0.25">
      <c r="A5" s="16">
        <v>2002</v>
      </c>
      <c r="B5" s="29">
        <f t="shared" si="2"/>
        <v>43487564.531457625</v>
      </c>
      <c r="C5" s="45"/>
      <c r="G5" s="1">
        <v>3</v>
      </c>
      <c r="H5" s="1" t="s">
        <v>4</v>
      </c>
      <c r="I5" s="1"/>
      <c r="J5" s="3">
        <v>2186.79</v>
      </c>
      <c r="K5" s="3">
        <v>2243.9</v>
      </c>
      <c r="L5" s="3">
        <v>2256.59</v>
      </c>
      <c r="M5" s="3">
        <v>0.48</v>
      </c>
      <c r="N5" s="3">
        <v>0.25</v>
      </c>
      <c r="O5" s="1"/>
      <c r="P5" s="1"/>
      <c r="Q5" s="5">
        <f t="shared" si="0"/>
        <v>2186790</v>
      </c>
      <c r="R5" s="5"/>
      <c r="S5" s="5"/>
      <c r="T5" s="5"/>
      <c r="U5" s="5"/>
      <c r="V5" s="5"/>
      <c r="W5" s="5">
        <f t="shared" si="3"/>
        <v>2243900</v>
      </c>
      <c r="X5" s="5">
        <f t="shared" si="4"/>
        <v>2256590</v>
      </c>
    </row>
    <row r="6" spans="1:27" x14ac:dyDescent="0.25">
      <c r="A6" s="16">
        <v>2003</v>
      </c>
      <c r="B6" s="29">
        <f t="shared" si="2"/>
        <v>43454922.086896457</v>
      </c>
      <c r="C6" s="45"/>
      <c r="G6" s="1">
        <v>4</v>
      </c>
      <c r="H6" s="1" t="s">
        <v>5</v>
      </c>
      <c r="I6" s="1"/>
      <c r="J6" s="3">
        <v>3205.12</v>
      </c>
      <c r="K6" s="3">
        <v>3534.11</v>
      </c>
      <c r="L6" s="3">
        <v>3657.6</v>
      </c>
      <c r="M6" s="3">
        <v>1.94</v>
      </c>
      <c r="N6" s="3">
        <v>1.7</v>
      </c>
      <c r="O6" s="1"/>
      <c r="P6" s="1"/>
      <c r="Q6" s="5">
        <f t="shared" si="0"/>
        <v>3205120</v>
      </c>
      <c r="R6" s="5"/>
      <c r="S6" s="5"/>
      <c r="T6" s="5"/>
      <c r="U6" s="5"/>
      <c r="V6" s="5"/>
      <c r="W6" s="5">
        <f t="shared" si="3"/>
        <v>3534110</v>
      </c>
      <c r="X6" s="5">
        <f t="shared" si="4"/>
        <v>3657600</v>
      </c>
    </row>
    <row r="7" spans="1:27" x14ac:dyDescent="0.25">
      <c r="A7" s="16">
        <v>2004</v>
      </c>
      <c r="B7" s="29">
        <f t="shared" si="2"/>
        <v>43422304.144263558</v>
      </c>
      <c r="C7" s="45"/>
      <c r="G7" s="1">
        <v>5</v>
      </c>
      <c r="H7" s="1" t="s">
        <v>6</v>
      </c>
      <c r="I7" s="1"/>
      <c r="J7" s="3">
        <v>2422.33</v>
      </c>
      <c r="K7" s="3">
        <v>2548.7199999999998</v>
      </c>
      <c r="L7" s="3">
        <v>2588.84</v>
      </c>
      <c r="M7" s="3">
        <v>0.99</v>
      </c>
      <c r="N7" s="3">
        <v>0.75</v>
      </c>
      <c r="O7" s="1"/>
      <c r="P7" s="1"/>
      <c r="Q7" s="5">
        <f t="shared" si="0"/>
        <v>2422330</v>
      </c>
      <c r="R7" s="5"/>
      <c r="S7" s="5"/>
      <c r="T7" s="5"/>
      <c r="U7" s="5"/>
      <c r="V7" s="5"/>
      <c r="W7" s="5">
        <f t="shared" si="3"/>
        <v>2548720</v>
      </c>
      <c r="X7" s="5">
        <f t="shared" si="4"/>
        <v>2588840</v>
      </c>
    </row>
    <row r="8" spans="1:27" x14ac:dyDescent="0.25">
      <c r="A8" s="16">
        <v>2005</v>
      </c>
      <c r="B8" s="29">
        <f t="shared" si="2"/>
        <v>43389710.685167402</v>
      </c>
      <c r="C8" s="45"/>
      <c r="G8" s="1">
        <v>6</v>
      </c>
      <c r="H8" s="1" t="s">
        <v>7</v>
      </c>
      <c r="I8" s="1"/>
      <c r="J8" s="3">
        <v>1687.78</v>
      </c>
      <c r="K8" s="3">
        <v>1736</v>
      </c>
      <c r="L8" s="3">
        <v>1747.32</v>
      </c>
      <c r="M8" s="3">
        <v>0.53</v>
      </c>
      <c r="N8" s="3">
        <v>0.28999999999999998</v>
      </c>
      <c r="O8" s="1"/>
      <c r="P8" s="1"/>
      <c r="Q8" s="5">
        <f t="shared" si="0"/>
        <v>1687780</v>
      </c>
      <c r="R8" s="5"/>
      <c r="S8" s="5"/>
      <c r="T8" s="5"/>
      <c r="U8" s="5"/>
      <c r="V8" s="5"/>
      <c r="W8" s="5">
        <f t="shared" si="3"/>
        <v>1736000</v>
      </c>
      <c r="X8" s="5">
        <f t="shared" si="4"/>
        <v>1747320</v>
      </c>
    </row>
    <row r="9" spans="1:27" x14ac:dyDescent="0.25">
      <c r="A9" s="16">
        <v>2006</v>
      </c>
      <c r="B9" s="29">
        <f t="shared" si="2"/>
        <v>43357141.691230267</v>
      </c>
      <c r="C9" s="45"/>
      <c r="G9" s="1">
        <v>7</v>
      </c>
      <c r="H9" s="1" t="s">
        <v>8</v>
      </c>
      <c r="I9" s="1"/>
      <c r="J9" s="3">
        <v>1135.72</v>
      </c>
      <c r="K9" s="3">
        <v>1168.68</v>
      </c>
      <c r="L9" s="3">
        <v>1181.98</v>
      </c>
      <c r="M9" s="3">
        <v>0.56999999999999995</v>
      </c>
      <c r="N9" s="3">
        <v>0.56000000000000005</v>
      </c>
      <c r="O9" s="1"/>
      <c r="P9" s="1"/>
      <c r="Q9" s="5">
        <f t="shared" si="0"/>
        <v>1135720</v>
      </c>
      <c r="R9" s="5"/>
      <c r="S9" s="5"/>
      <c r="T9" s="5"/>
      <c r="U9" s="5"/>
      <c r="V9" s="5"/>
      <c r="W9" s="5">
        <f t="shared" si="3"/>
        <v>1168680</v>
      </c>
      <c r="X9" s="5">
        <f t="shared" si="4"/>
        <v>1181980</v>
      </c>
    </row>
    <row r="10" spans="1:27" x14ac:dyDescent="0.25">
      <c r="A10" s="16">
        <v>2007</v>
      </c>
      <c r="B10" s="29">
        <f t="shared" si="2"/>
        <v>43324597.144088216</v>
      </c>
      <c r="C10" s="45"/>
      <c r="G10" s="1">
        <v>8</v>
      </c>
      <c r="H10" s="1" t="s">
        <v>9</v>
      </c>
      <c r="I10" s="1"/>
      <c r="J10" s="3">
        <v>1023.91</v>
      </c>
      <c r="K10" s="3">
        <v>1055.42</v>
      </c>
      <c r="L10" s="3">
        <v>1068.2</v>
      </c>
      <c r="M10" s="3">
        <v>0.61</v>
      </c>
      <c r="N10" s="3">
        <v>0.59</v>
      </c>
      <c r="O10" s="1"/>
      <c r="P10" s="1"/>
      <c r="Q10" s="5">
        <f t="shared" si="0"/>
        <v>1023910</v>
      </c>
      <c r="R10" s="5"/>
      <c r="S10" s="5"/>
      <c r="T10" s="5"/>
      <c r="U10" s="5"/>
      <c r="V10" s="5"/>
      <c r="W10" s="5">
        <f t="shared" si="3"/>
        <v>1055420</v>
      </c>
      <c r="X10" s="5">
        <f t="shared" si="4"/>
        <v>1068200</v>
      </c>
    </row>
    <row r="11" spans="1:27" x14ac:dyDescent="0.25">
      <c r="A11" s="16">
        <v>2008</v>
      </c>
      <c r="B11" s="29">
        <f t="shared" si="2"/>
        <v>43292077.025391109</v>
      </c>
      <c r="C11" s="45"/>
      <c r="G11" s="1">
        <v>9</v>
      </c>
      <c r="H11" s="1" t="s">
        <v>10</v>
      </c>
      <c r="I11" s="1"/>
      <c r="J11" s="3">
        <v>2044.18</v>
      </c>
      <c r="K11" s="3">
        <v>2126.1799999999998</v>
      </c>
      <c r="L11" s="3">
        <v>2159.58</v>
      </c>
      <c r="M11" s="3">
        <v>0.79</v>
      </c>
      <c r="N11" s="3">
        <v>0.77</v>
      </c>
      <c r="O11" s="1"/>
      <c r="P11" s="1"/>
      <c r="Q11" s="5">
        <f t="shared" si="0"/>
        <v>2044180</v>
      </c>
      <c r="R11" s="5"/>
      <c r="S11" s="5"/>
      <c r="T11" s="5"/>
      <c r="U11" s="5"/>
      <c r="V11" s="5"/>
      <c r="W11" s="5">
        <f t="shared" si="3"/>
        <v>2126180</v>
      </c>
      <c r="X11" s="5">
        <f t="shared" si="4"/>
        <v>2159580</v>
      </c>
    </row>
    <row r="12" spans="1:27" x14ac:dyDescent="0.25">
      <c r="A12" s="16">
        <v>2009</v>
      </c>
      <c r="B12" s="29">
        <f t="shared" si="2"/>
        <v>43259581.316802576</v>
      </c>
      <c r="C12" s="45"/>
      <c r="G12" s="1">
        <v>10</v>
      </c>
      <c r="H12" s="1" t="s">
        <v>11</v>
      </c>
      <c r="I12" s="1"/>
      <c r="J12" s="3">
        <v>1153.23</v>
      </c>
      <c r="K12" s="3">
        <v>1182.1099999999999</v>
      </c>
      <c r="L12" s="3">
        <v>1193.73</v>
      </c>
      <c r="M12" s="3">
        <v>0.5</v>
      </c>
      <c r="N12" s="3">
        <v>0.48</v>
      </c>
      <c r="O12" s="1"/>
      <c r="P12" s="1"/>
      <c r="Q12" s="5">
        <f t="shared" si="0"/>
        <v>1153230</v>
      </c>
      <c r="R12" s="5"/>
      <c r="S12" s="5"/>
      <c r="T12" s="5"/>
      <c r="U12" s="5"/>
      <c r="V12" s="5"/>
      <c r="W12" s="5">
        <f t="shared" si="3"/>
        <v>1182110</v>
      </c>
      <c r="X12" s="5">
        <f t="shared" si="4"/>
        <v>1193730</v>
      </c>
    </row>
    <row r="13" spans="1:27" x14ac:dyDescent="0.25">
      <c r="A13" s="16">
        <v>2010</v>
      </c>
      <c r="B13" s="29">
        <f>Q31</f>
        <v>43227110</v>
      </c>
      <c r="C13" s="45"/>
      <c r="G13" s="1">
        <v>11</v>
      </c>
      <c r="H13" s="1" t="s">
        <v>12</v>
      </c>
      <c r="I13" s="1"/>
      <c r="J13" s="3">
        <v>1101.58</v>
      </c>
      <c r="K13" s="3">
        <v>1137.27</v>
      </c>
      <c r="L13" s="3">
        <v>1146.44</v>
      </c>
      <c r="M13" s="3">
        <v>0.6</v>
      </c>
      <c r="N13" s="3">
        <v>0.38</v>
      </c>
      <c r="O13" s="1"/>
      <c r="P13" s="1"/>
      <c r="Q13" s="5">
        <f t="shared" si="0"/>
        <v>1101580</v>
      </c>
      <c r="R13" s="5"/>
      <c r="S13" s="5"/>
      <c r="T13" s="5"/>
      <c r="U13" s="5"/>
      <c r="V13" s="5"/>
      <c r="W13" s="5">
        <f t="shared" si="3"/>
        <v>1137270</v>
      </c>
      <c r="X13" s="5">
        <f t="shared" si="4"/>
        <v>1146440</v>
      </c>
    </row>
    <row r="14" spans="1:27" x14ac:dyDescent="0.25">
      <c r="A14" s="14">
        <v>2011</v>
      </c>
      <c r="B14" s="18">
        <f t="shared" ref="B14:B20" si="5">B13*(1+$M$31/100)</f>
        <v>43892807.494000003</v>
      </c>
      <c r="C14" s="45" t="s">
        <v>111</v>
      </c>
      <c r="G14" s="1">
        <v>12</v>
      </c>
      <c r="H14" s="1" t="s">
        <v>13</v>
      </c>
      <c r="I14" s="1"/>
      <c r="J14" s="3">
        <v>1645.02</v>
      </c>
      <c r="K14" s="3">
        <v>1691.39</v>
      </c>
      <c r="L14" s="3">
        <v>1709.99</v>
      </c>
      <c r="M14" s="3">
        <v>0.56000000000000005</v>
      </c>
      <c r="N14" s="3">
        <v>0.54</v>
      </c>
      <c r="O14" s="1"/>
      <c r="P14" s="1"/>
      <c r="Q14" s="5">
        <f t="shared" si="0"/>
        <v>1645020</v>
      </c>
      <c r="R14" s="5"/>
      <c r="S14" s="5"/>
      <c r="T14" s="5"/>
      <c r="U14" s="5"/>
      <c r="V14" s="5"/>
      <c r="W14" s="5">
        <f t="shared" si="3"/>
        <v>1691390</v>
      </c>
      <c r="X14" s="5">
        <f t="shared" si="4"/>
        <v>1709990</v>
      </c>
    </row>
    <row r="15" spans="1:27" x14ac:dyDescent="0.25">
      <c r="A15" s="14">
        <v>2012</v>
      </c>
      <c r="B15" s="18">
        <f t="shared" si="5"/>
        <v>44568756.729407609</v>
      </c>
      <c r="C15" s="45"/>
      <c r="G15" s="1">
        <v>13</v>
      </c>
      <c r="H15" s="1" t="s">
        <v>14</v>
      </c>
      <c r="I15" s="1"/>
      <c r="J15" s="3">
        <v>1449.21</v>
      </c>
      <c r="K15" s="3">
        <v>1529.39</v>
      </c>
      <c r="L15" s="3">
        <v>1562.51</v>
      </c>
      <c r="M15" s="3">
        <v>1.08</v>
      </c>
      <c r="N15" s="3">
        <v>1.07</v>
      </c>
      <c r="O15" s="1"/>
      <c r="P15" s="1"/>
      <c r="Q15" s="5">
        <f t="shared" si="0"/>
        <v>1449210</v>
      </c>
      <c r="R15" s="5"/>
      <c r="S15" s="5"/>
      <c r="T15" s="5"/>
      <c r="U15" s="5"/>
      <c r="V15" s="5"/>
      <c r="W15" s="5">
        <f t="shared" si="3"/>
        <v>1529390</v>
      </c>
      <c r="X15" s="5">
        <f t="shared" si="4"/>
        <v>1562510</v>
      </c>
    </row>
    <row r="16" spans="1:27" x14ac:dyDescent="0.25">
      <c r="A16" s="14">
        <v>2013</v>
      </c>
      <c r="B16" s="18">
        <f t="shared" si="5"/>
        <v>45255115.583040491</v>
      </c>
      <c r="C16" s="45"/>
      <c r="G16" s="1">
        <v>14</v>
      </c>
      <c r="H16" s="1" t="s">
        <v>15</v>
      </c>
      <c r="I16" s="1"/>
      <c r="J16" s="3">
        <v>859.19</v>
      </c>
      <c r="K16" s="3">
        <v>921.6</v>
      </c>
      <c r="L16" s="3">
        <v>943.34</v>
      </c>
      <c r="M16" s="3">
        <v>1.38</v>
      </c>
      <c r="N16" s="3">
        <v>1.1399999999999999</v>
      </c>
      <c r="O16" s="1"/>
      <c r="P16" s="1"/>
      <c r="Q16" s="5">
        <f t="shared" si="0"/>
        <v>859190</v>
      </c>
      <c r="R16" s="5"/>
      <c r="S16" s="5"/>
      <c r="T16" s="5"/>
      <c r="U16" s="5"/>
      <c r="V16" s="5"/>
      <c r="W16" s="5">
        <f t="shared" si="3"/>
        <v>921600</v>
      </c>
      <c r="X16" s="5">
        <f t="shared" si="4"/>
        <v>943340</v>
      </c>
    </row>
    <row r="17" spans="1:27" x14ac:dyDescent="0.25">
      <c r="A17" s="14">
        <v>2014</v>
      </c>
      <c r="B17" s="18">
        <f t="shared" si="5"/>
        <v>45952044.363019317</v>
      </c>
      <c r="C17" s="45"/>
      <c r="G17" s="1">
        <v>15</v>
      </c>
      <c r="H17" s="1" t="s">
        <v>16</v>
      </c>
      <c r="I17" s="1"/>
      <c r="J17" s="3">
        <v>2144.19</v>
      </c>
      <c r="K17" s="3">
        <v>2273.58</v>
      </c>
      <c r="L17" s="3">
        <v>2316.4899999999998</v>
      </c>
      <c r="M17" s="3">
        <v>1.1499999999999999</v>
      </c>
      <c r="N17" s="3">
        <v>0.9</v>
      </c>
      <c r="O17" s="1"/>
      <c r="P17" s="1"/>
      <c r="Q17" s="5">
        <f t="shared" si="0"/>
        <v>2144190</v>
      </c>
      <c r="R17" s="5"/>
      <c r="S17" s="5"/>
      <c r="T17" s="5"/>
      <c r="U17" s="5"/>
      <c r="V17" s="5"/>
      <c r="W17" s="5">
        <f t="shared" si="3"/>
        <v>2273580</v>
      </c>
      <c r="X17" s="5">
        <f t="shared" si="4"/>
        <v>2316490</v>
      </c>
    </row>
    <row r="18" spans="1:27" x14ac:dyDescent="0.25">
      <c r="A18" s="14">
        <v>2015</v>
      </c>
      <c r="B18" s="18">
        <f t="shared" si="5"/>
        <v>46659705.846209817</v>
      </c>
      <c r="C18" s="45"/>
      <c r="G18" s="1">
        <v>16</v>
      </c>
      <c r="H18" s="1" t="s">
        <v>17</v>
      </c>
      <c r="I18" s="1"/>
      <c r="J18" s="3">
        <v>2656.88</v>
      </c>
      <c r="K18" s="3">
        <v>3246.01</v>
      </c>
      <c r="L18" s="3">
        <v>3500.02</v>
      </c>
      <c r="M18" s="3">
        <v>4.05</v>
      </c>
      <c r="N18" s="3">
        <v>3.81</v>
      </c>
      <c r="O18" s="1"/>
      <c r="P18" s="1"/>
      <c r="Q18" s="5">
        <f t="shared" si="0"/>
        <v>2656880</v>
      </c>
      <c r="R18" s="5"/>
      <c r="S18" s="5"/>
      <c r="T18" s="5"/>
      <c r="U18" s="5"/>
      <c r="V18" s="5"/>
      <c r="W18" s="5">
        <f t="shared" si="3"/>
        <v>3246010</v>
      </c>
      <c r="X18" s="5">
        <f t="shared" si="4"/>
        <v>3500020</v>
      </c>
    </row>
    <row r="19" spans="1:27" x14ac:dyDescent="0.25">
      <c r="A19" s="14">
        <v>2016</v>
      </c>
      <c r="B19" s="18">
        <f t="shared" si="5"/>
        <v>47378265.316241451</v>
      </c>
      <c r="C19" s="45"/>
      <c r="G19" s="1">
        <v>17</v>
      </c>
      <c r="H19" s="1" t="s">
        <v>22</v>
      </c>
      <c r="I19" s="1"/>
      <c r="J19" s="3">
        <v>1522.08</v>
      </c>
      <c r="K19" s="3">
        <v>1629.42</v>
      </c>
      <c r="L19" s="3">
        <v>1666.51</v>
      </c>
      <c r="M19" s="3">
        <v>1.34</v>
      </c>
      <c r="N19" s="3">
        <v>1.1000000000000001</v>
      </c>
      <c r="O19" s="1"/>
      <c r="P19" s="1"/>
      <c r="Q19" s="5">
        <f t="shared" si="0"/>
        <v>1522080</v>
      </c>
      <c r="R19" s="5"/>
      <c r="S19" s="5"/>
      <c r="T19" s="5"/>
      <c r="U19" s="5"/>
      <c r="V19" s="5"/>
      <c r="W19" s="5">
        <f t="shared" si="3"/>
        <v>1629420</v>
      </c>
      <c r="X19" s="5">
        <f t="shared" si="4"/>
        <v>1666510</v>
      </c>
    </row>
    <row r="20" spans="1:27" x14ac:dyDescent="0.25">
      <c r="A20" s="14">
        <v>2017</v>
      </c>
      <c r="B20" s="18">
        <f t="shared" si="5"/>
        <v>48107890.602111571</v>
      </c>
      <c r="C20" s="45"/>
      <c r="G20" s="1">
        <v>18</v>
      </c>
      <c r="H20" s="1" t="s">
        <v>18</v>
      </c>
      <c r="I20" s="1"/>
      <c r="J20" s="3">
        <v>379.52</v>
      </c>
      <c r="K20" s="3">
        <v>390.48</v>
      </c>
      <c r="L20" s="3">
        <v>395.1</v>
      </c>
      <c r="M20" s="3">
        <v>0.57999999999999996</v>
      </c>
      <c r="N20" s="3">
        <v>0.57999999999999996</v>
      </c>
      <c r="O20" s="1"/>
      <c r="P20" s="1"/>
      <c r="Q20" s="5">
        <f t="shared" si="0"/>
        <v>379520</v>
      </c>
      <c r="R20" s="5"/>
      <c r="S20" s="5"/>
      <c r="T20" s="5"/>
      <c r="U20" s="5"/>
      <c r="V20" s="5"/>
      <c r="W20" s="5">
        <f t="shared" si="3"/>
        <v>390480</v>
      </c>
      <c r="X20" s="5">
        <f t="shared" si="4"/>
        <v>395100</v>
      </c>
    </row>
    <row r="21" spans="1:27" x14ac:dyDescent="0.25">
      <c r="A21" s="14">
        <v>2018</v>
      </c>
      <c r="B21" s="18">
        <f>B20*(1+$N$31/100)</f>
        <v>48776590.281480923</v>
      </c>
      <c r="C21" s="45"/>
      <c r="G21" s="41" t="s">
        <v>1</v>
      </c>
      <c r="H21" s="41"/>
      <c r="I21" s="7"/>
      <c r="J21" s="3"/>
      <c r="K21" s="3"/>
      <c r="L21" s="3"/>
      <c r="M21" s="3" t="s">
        <v>25</v>
      </c>
      <c r="N21" s="3"/>
      <c r="O21" s="1"/>
      <c r="P21" s="1"/>
      <c r="Q21" s="5"/>
      <c r="R21" s="5"/>
      <c r="S21" s="5"/>
      <c r="T21" s="5"/>
      <c r="U21" s="5"/>
      <c r="V21" s="5"/>
      <c r="W21" s="5"/>
      <c r="X21" s="5"/>
    </row>
    <row r="22" spans="1:27" x14ac:dyDescent="0.25">
      <c r="A22" s="14">
        <v>2019</v>
      </c>
      <c r="B22" s="18">
        <f>B21*(1+$N$31/100)</f>
        <v>49454584.88639351</v>
      </c>
      <c r="C22" s="45"/>
      <c r="G22" s="1">
        <v>19</v>
      </c>
      <c r="H22" s="1" t="s">
        <v>2</v>
      </c>
      <c r="I22" s="1"/>
      <c r="J22" s="3">
        <v>958.08</v>
      </c>
      <c r="K22" s="3">
        <v>1047.92</v>
      </c>
      <c r="L22" s="3">
        <v>1081.01</v>
      </c>
      <c r="M22" s="3">
        <v>1.77</v>
      </c>
      <c r="N22" s="3">
        <v>1.53</v>
      </c>
      <c r="O22" s="1"/>
      <c r="P22" s="1"/>
      <c r="Q22" s="5">
        <f t="shared" ref="Q22:Q31" si="6">J22*1000</f>
        <v>958080</v>
      </c>
      <c r="R22" s="5"/>
      <c r="S22" s="5"/>
      <c r="T22" s="5"/>
      <c r="U22" s="5"/>
      <c r="V22" s="5"/>
      <c r="W22" s="5">
        <f t="shared" ref="W22:W31" si="7">K22*1000</f>
        <v>1047920.0000000001</v>
      </c>
      <c r="X22" s="5">
        <f t="shared" ref="X22:X31" si="8">L22*1000</f>
        <v>1081010</v>
      </c>
    </row>
    <row r="23" spans="1:27" x14ac:dyDescent="0.25">
      <c r="A23" s="14">
        <v>2020</v>
      </c>
      <c r="B23" s="18">
        <f>B22*(1+$N$31/100)</f>
        <v>50142003.616314381</v>
      </c>
      <c r="C23" s="45"/>
      <c r="G23" s="1">
        <v>20</v>
      </c>
      <c r="H23" s="1" t="s">
        <v>3</v>
      </c>
      <c r="I23" s="1"/>
      <c r="J23" s="3">
        <v>301.01</v>
      </c>
      <c r="K23" s="3">
        <v>318.12</v>
      </c>
      <c r="L23" s="3">
        <v>323.79000000000002</v>
      </c>
      <c r="M23" s="3">
        <v>1.08</v>
      </c>
      <c r="N23" s="3">
        <v>0.84</v>
      </c>
      <c r="O23" s="1"/>
      <c r="P23" s="1"/>
      <c r="Q23" s="5">
        <f t="shared" si="6"/>
        <v>301010</v>
      </c>
      <c r="R23" s="5"/>
      <c r="S23" s="5"/>
      <c r="T23" s="5"/>
      <c r="U23" s="5"/>
      <c r="V23" s="5"/>
      <c r="W23" s="5">
        <f t="shared" si="7"/>
        <v>318120</v>
      </c>
      <c r="X23" s="5">
        <f t="shared" si="8"/>
        <v>323790</v>
      </c>
    </row>
    <row r="24" spans="1:27" x14ac:dyDescent="0.25">
      <c r="A24" s="14" t="s">
        <v>93</v>
      </c>
      <c r="B24" s="14">
        <f>(B13/B3)^(1/(A13-A3))-1</f>
        <v>-7.5061560500955249E-4</v>
      </c>
      <c r="G24" s="1">
        <v>21</v>
      </c>
      <c r="H24" s="1" t="s">
        <v>5</v>
      </c>
      <c r="I24" s="1"/>
      <c r="J24" s="3">
        <v>22412.09</v>
      </c>
      <c r="K24" s="3">
        <v>22481.47</v>
      </c>
      <c r="L24" s="3">
        <v>22497.94</v>
      </c>
      <c r="M24" s="3">
        <v>0.54</v>
      </c>
      <c r="N24" s="3">
        <v>0.28999999999999998</v>
      </c>
      <c r="Q24" s="5">
        <f t="shared" si="6"/>
        <v>22412090</v>
      </c>
      <c r="R24" s="5"/>
      <c r="S24" s="5"/>
      <c r="T24" s="5"/>
      <c r="U24" s="5"/>
      <c r="V24" s="5"/>
      <c r="W24" s="5">
        <f t="shared" si="7"/>
        <v>22481470</v>
      </c>
      <c r="X24" s="5">
        <f t="shared" si="8"/>
        <v>22497940</v>
      </c>
    </row>
    <row r="25" spans="1:27" x14ac:dyDescent="0.25">
      <c r="G25" s="1">
        <v>22</v>
      </c>
      <c r="H25" s="1" t="s">
        <v>10</v>
      </c>
      <c r="I25" s="1"/>
      <c r="J25" s="3">
        <v>293.20999999999998</v>
      </c>
      <c r="K25" s="3">
        <v>307.49</v>
      </c>
      <c r="L25" s="3">
        <v>313.33</v>
      </c>
      <c r="M25" s="3">
        <v>0.96</v>
      </c>
      <c r="N25" s="3">
        <v>0.91</v>
      </c>
      <c r="O25" s="1"/>
      <c r="P25" s="1"/>
      <c r="Q25" s="5">
        <f t="shared" si="6"/>
        <v>293210</v>
      </c>
      <c r="R25" s="5"/>
      <c r="S25" s="5"/>
      <c r="T25" s="5"/>
      <c r="U25" s="5"/>
      <c r="V25" s="5"/>
      <c r="W25" s="5">
        <f t="shared" si="7"/>
        <v>307490</v>
      </c>
      <c r="X25" s="5">
        <f t="shared" si="8"/>
        <v>313330</v>
      </c>
    </row>
    <row r="26" spans="1:27" x14ac:dyDescent="0.25">
      <c r="G26" s="1">
        <v>23</v>
      </c>
      <c r="H26" s="1" t="s">
        <v>17</v>
      </c>
      <c r="I26" s="1"/>
      <c r="J26" s="3">
        <v>2356.1</v>
      </c>
      <c r="K26" s="3">
        <v>2714.83</v>
      </c>
      <c r="L26" s="3">
        <v>2859.63</v>
      </c>
      <c r="M26" s="3">
        <v>2.84</v>
      </c>
      <c r="N26" s="3">
        <v>2.6</v>
      </c>
      <c r="Q26" s="5">
        <f t="shared" si="6"/>
        <v>2356100</v>
      </c>
      <c r="R26" s="5"/>
      <c r="S26" s="5"/>
      <c r="T26" s="5"/>
      <c r="U26" s="5"/>
      <c r="V26" s="5"/>
      <c r="W26" s="5">
        <f t="shared" si="7"/>
        <v>2714830</v>
      </c>
      <c r="X26" s="5">
        <f t="shared" si="8"/>
        <v>2859630</v>
      </c>
    </row>
    <row r="27" spans="1:27" x14ac:dyDescent="0.25">
      <c r="G27" s="1">
        <v>24</v>
      </c>
      <c r="H27" s="1" t="s">
        <v>19</v>
      </c>
      <c r="I27" s="1"/>
      <c r="J27" s="3">
        <v>1755.61</v>
      </c>
      <c r="K27" s="3">
        <v>2106.1</v>
      </c>
      <c r="L27" s="3">
        <v>2254.5100000000002</v>
      </c>
      <c r="M27" s="3">
        <v>3.67</v>
      </c>
      <c r="N27" s="3">
        <v>3.43</v>
      </c>
      <c r="Q27" s="5">
        <f t="shared" si="6"/>
        <v>1755610</v>
      </c>
      <c r="R27" s="5"/>
      <c r="S27" s="5"/>
      <c r="T27" s="5"/>
      <c r="U27" s="5"/>
      <c r="V27" s="5"/>
      <c r="W27" s="5">
        <f t="shared" si="7"/>
        <v>2106100</v>
      </c>
      <c r="X27" s="5">
        <f t="shared" si="8"/>
        <v>2254510</v>
      </c>
    </row>
    <row r="28" spans="1:27" x14ac:dyDescent="0.25">
      <c r="G28" s="1">
        <v>25</v>
      </c>
      <c r="H28" s="1" t="s">
        <v>20</v>
      </c>
      <c r="I28" s="1"/>
      <c r="J28" s="3">
        <v>545.51</v>
      </c>
      <c r="K28" s="3">
        <v>586.58000000000004</v>
      </c>
      <c r="L28" s="3">
        <v>601.1</v>
      </c>
      <c r="M28" s="3">
        <v>1.43</v>
      </c>
      <c r="N28" s="3">
        <v>1.19</v>
      </c>
      <c r="O28" s="1"/>
      <c r="P28" s="1"/>
      <c r="Q28" s="5">
        <f t="shared" si="6"/>
        <v>545510</v>
      </c>
      <c r="R28" s="5"/>
      <c r="S28" s="5"/>
      <c r="T28" s="5"/>
      <c r="U28" s="5"/>
      <c r="V28" s="5"/>
      <c r="W28" s="5">
        <f t="shared" si="7"/>
        <v>586580</v>
      </c>
      <c r="X28" s="5">
        <f t="shared" si="8"/>
        <v>601100</v>
      </c>
    </row>
    <row r="29" spans="1:27" x14ac:dyDescent="0.25">
      <c r="G29" s="1">
        <v>26</v>
      </c>
      <c r="H29" s="1" t="s">
        <v>7</v>
      </c>
      <c r="I29" s="1"/>
      <c r="J29" s="3">
        <v>639.99</v>
      </c>
      <c r="K29" s="3">
        <v>657.48</v>
      </c>
      <c r="L29" s="3">
        <v>661.4</v>
      </c>
      <c r="M29" s="3">
        <v>0.5</v>
      </c>
      <c r="N29" s="3">
        <v>0.27</v>
      </c>
      <c r="O29" s="1"/>
      <c r="P29" s="1"/>
      <c r="Q29" s="5">
        <f t="shared" si="6"/>
        <v>639990</v>
      </c>
      <c r="R29" s="5"/>
      <c r="S29" s="5"/>
      <c r="T29" s="5"/>
      <c r="U29" s="5"/>
      <c r="V29" s="5"/>
      <c r="W29" s="5">
        <f t="shared" si="7"/>
        <v>657480</v>
      </c>
      <c r="X29" s="5">
        <f t="shared" si="8"/>
        <v>661400</v>
      </c>
    </row>
    <row r="30" spans="1:27" x14ac:dyDescent="0.25">
      <c r="G30" s="1">
        <v>27</v>
      </c>
      <c r="H30" s="1" t="s">
        <v>21</v>
      </c>
      <c r="I30" s="1"/>
      <c r="J30" s="3">
        <v>176.51</v>
      </c>
      <c r="K30" s="3">
        <v>181.43</v>
      </c>
      <c r="L30" s="3">
        <v>182.39</v>
      </c>
      <c r="M30" s="3">
        <v>0.5</v>
      </c>
      <c r="N30" s="3">
        <v>0.27</v>
      </c>
      <c r="O30" s="1"/>
      <c r="P30" s="1"/>
      <c r="Q30" s="5">
        <f t="shared" si="6"/>
        <v>176510</v>
      </c>
      <c r="R30" s="5"/>
      <c r="S30" s="5"/>
      <c r="T30" s="5"/>
      <c r="U30" s="5"/>
      <c r="V30" s="5"/>
      <c r="W30" s="5">
        <f t="shared" si="7"/>
        <v>181430</v>
      </c>
      <c r="X30" s="5">
        <f t="shared" si="8"/>
        <v>182390</v>
      </c>
    </row>
    <row r="31" spans="1:27" x14ac:dyDescent="0.25">
      <c r="G31" s="40" t="s">
        <v>24</v>
      </c>
      <c r="H31" s="40"/>
      <c r="I31" s="20">
        <v>43552.923000000003</v>
      </c>
      <c r="J31" s="19">
        <v>43227.11</v>
      </c>
      <c r="K31" s="3">
        <v>46709.57</v>
      </c>
      <c r="L31" s="3">
        <v>48037.83</v>
      </c>
      <c r="M31" s="3">
        <v>1.54</v>
      </c>
      <c r="N31" s="3">
        <v>1.39</v>
      </c>
      <c r="P31" s="5">
        <f>I31*1000</f>
        <v>43552923</v>
      </c>
      <c r="Q31" s="5">
        <f t="shared" si="6"/>
        <v>43227110</v>
      </c>
      <c r="R31" s="14">
        <v>43938796</v>
      </c>
      <c r="S31" s="14">
        <v>44643586</v>
      </c>
      <c r="T31" s="14">
        <v>45340799</v>
      </c>
      <c r="U31" s="14">
        <v>46029668</v>
      </c>
      <c r="V31" s="5">
        <f>46709569</f>
        <v>46709569</v>
      </c>
      <c r="W31" s="5">
        <f t="shared" si="7"/>
        <v>46709570</v>
      </c>
      <c r="X31" s="5">
        <f t="shared" si="8"/>
        <v>48037830</v>
      </c>
      <c r="Y31" s="22">
        <f>48.6*1000000</f>
        <v>48600000</v>
      </c>
      <c r="Z31" s="22">
        <f>49.2*1000000</f>
        <v>49200000</v>
      </c>
      <c r="AA31" s="6">
        <f>49.8*1000000</f>
        <v>49800000</v>
      </c>
    </row>
    <row r="32" spans="1:27" x14ac:dyDescent="0.25">
      <c r="G32" t="s">
        <v>30</v>
      </c>
      <c r="I32" s="14">
        <v>11519.26</v>
      </c>
    </row>
    <row r="33" spans="7:9" x14ac:dyDescent="0.25">
      <c r="G33" t="s">
        <v>31</v>
      </c>
      <c r="I33" s="14">
        <f>I31/I32</f>
        <v>3.7808785460177132</v>
      </c>
    </row>
  </sheetData>
  <mergeCells count="11">
    <mergeCell ref="C4:C13"/>
    <mergeCell ref="C14:C23"/>
    <mergeCell ref="A1:A2"/>
    <mergeCell ref="B1:B2"/>
    <mergeCell ref="J1:L1"/>
    <mergeCell ref="G31:H31"/>
    <mergeCell ref="G2:H2"/>
    <mergeCell ref="G21:H21"/>
    <mergeCell ref="Q1:X1"/>
    <mergeCell ref="Y1:AA1"/>
    <mergeCell ref="M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56E9-85E2-4B78-BD34-478B8D187C35}">
  <dimension ref="A1:D23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4" width="25.140625" bestFit="1" customWidth="1"/>
  </cols>
  <sheetData>
    <row r="1" spans="1:4" x14ac:dyDescent="0.25">
      <c r="A1" s="45" t="s">
        <v>32</v>
      </c>
      <c r="B1" s="14" t="s">
        <v>29</v>
      </c>
      <c r="C1" s="14" t="s">
        <v>43</v>
      </c>
      <c r="D1" s="14" t="s">
        <v>43</v>
      </c>
    </row>
    <row r="2" spans="1:4" x14ac:dyDescent="0.25">
      <c r="A2" s="45"/>
      <c r="B2" s="14" t="s">
        <v>45</v>
      </c>
      <c r="C2" s="14" t="s">
        <v>44</v>
      </c>
      <c r="D2" s="14" t="s">
        <v>46</v>
      </c>
    </row>
    <row r="3" spans="1:4" x14ac:dyDescent="0.25">
      <c r="A3" s="14">
        <v>2000</v>
      </c>
      <c r="B3" s="18">
        <f>Penduduk!P31</f>
        <v>43552923</v>
      </c>
      <c r="C3" s="14"/>
      <c r="D3" s="14"/>
    </row>
    <row r="4" spans="1:4" x14ac:dyDescent="0.25">
      <c r="A4" s="14">
        <v>2001</v>
      </c>
      <c r="B4" s="14"/>
      <c r="C4" s="14"/>
      <c r="D4" s="14"/>
    </row>
    <row r="5" spans="1:4" x14ac:dyDescent="0.25">
      <c r="A5" s="14">
        <v>2002</v>
      </c>
      <c r="B5" s="14"/>
      <c r="C5" s="14"/>
      <c r="D5" s="14"/>
    </row>
    <row r="6" spans="1:4" x14ac:dyDescent="0.25">
      <c r="A6" s="14">
        <v>2003</v>
      </c>
      <c r="B6" s="14"/>
      <c r="C6" s="14"/>
      <c r="D6" s="14"/>
    </row>
    <row r="7" spans="1:4" x14ac:dyDescent="0.25">
      <c r="A7" s="14">
        <v>2004</v>
      </c>
      <c r="B7" s="14"/>
      <c r="C7" s="14"/>
      <c r="D7" s="14"/>
    </row>
    <row r="8" spans="1:4" x14ac:dyDescent="0.25">
      <c r="A8" s="14">
        <v>2005</v>
      </c>
      <c r="B8" s="14"/>
      <c r="C8" s="14"/>
      <c r="D8" s="14"/>
    </row>
    <row r="9" spans="1:4" x14ac:dyDescent="0.25">
      <c r="A9" s="14">
        <v>2006</v>
      </c>
      <c r="B9" s="14"/>
      <c r="C9" s="14"/>
      <c r="D9" s="14"/>
    </row>
    <row r="10" spans="1:4" x14ac:dyDescent="0.25">
      <c r="A10" s="14">
        <v>2007</v>
      </c>
      <c r="B10" s="14"/>
      <c r="C10" s="14"/>
      <c r="D10" s="14"/>
    </row>
    <row r="11" spans="1:4" x14ac:dyDescent="0.25">
      <c r="A11" s="14">
        <v>2008</v>
      </c>
      <c r="B11" s="14"/>
      <c r="C11" s="14"/>
      <c r="D11" s="14"/>
    </row>
    <row r="12" spans="1:4" x14ac:dyDescent="0.25">
      <c r="A12" s="14">
        <v>2009</v>
      </c>
      <c r="B12" s="14"/>
      <c r="C12" s="14"/>
      <c r="D12" s="14"/>
    </row>
    <row r="13" spans="1:4" x14ac:dyDescent="0.25">
      <c r="A13" s="14">
        <v>2010</v>
      </c>
      <c r="B13" s="14"/>
      <c r="C13" s="14"/>
      <c r="D13" s="14"/>
    </row>
    <row r="14" spans="1:4" x14ac:dyDescent="0.25">
      <c r="A14" s="14">
        <v>2011</v>
      </c>
      <c r="B14" s="14"/>
      <c r="C14" s="14"/>
      <c r="D14" s="14"/>
    </row>
    <row r="15" spans="1:4" x14ac:dyDescent="0.25">
      <c r="A15" s="14">
        <v>2012</v>
      </c>
      <c r="B15" s="14"/>
      <c r="C15" s="14"/>
      <c r="D15" s="14"/>
    </row>
    <row r="16" spans="1:4" x14ac:dyDescent="0.25">
      <c r="A16" s="14">
        <v>2013</v>
      </c>
      <c r="B16" s="14"/>
      <c r="C16" s="14"/>
      <c r="D16" s="14"/>
    </row>
    <row r="17" spans="1:4" x14ac:dyDescent="0.25">
      <c r="A17" s="14">
        <v>2014</v>
      </c>
      <c r="B17" s="14"/>
      <c r="C17" s="14"/>
      <c r="D17" s="14"/>
    </row>
    <row r="18" spans="1:4" x14ac:dyDescent="0.25">
      <c r="A18" s="14">
        <v>2015</v>
      </c>
      <c r="B18" s="18">
        <f>Penduduk!V31</f>
        <v>46709569</v>
      </c>
      <c r="C18" s="14">
        <v>929.8</v>
      </c>
      <c r="D18" s="14">
        <f>C18/1000</f>
        <v>0.92979999999999996</v>
      </c>
    </row>
    <row r="19" spans="1:4" x14ac:dyDescent="0.25">
      <c r="A19" s="14">
        <v>2016</v>
      </c>
      <c r="B19" s="18">
        <f>Penduduk!W31</f>
        <v>46709570</v>
      </c>
      <c r="C19" s="14">
        <v>992.6</v>
      </c>
      <c r="D19" s="14">
        <f t="shared" ref="D19:D23" si="0">C19/1000</f>
        <v>0.99260000000000004</v>
      </c>
    </row>
    <row r="20" spans="1:4" x14ac:dyDescent="0.25">
      <c r="A20" s="14">
        <v>2017</v>
      </c>
      <c r="B20" s="18">
        <f>Penduduk!X31</f>
        <v>48037830</v>
      </c>
      <c r="C20" s="14">
        <v>1058.4000000000001</v>
      </c>
      <c r="D20" s="14">
        <f t="shared" si="0"/>
        <v>1.0584</v>
      </c>
    </row>
    <row r="21" spans="1:4" x14ac:dyDescent="0.25">
      <c r="A21" s="14">
        <v>2018</v>
      </c>
      <c r="B21" s="18">
        <f>Penduduk!Y31</f>
        <v>48600000</v>
      </c>
      <c r="C21" s="14">
        <v>1127.2</v>
      </c>
      <c r="D21" s="14">
        <f t="shared" si="0"/>
        <v>1.1272</v>
      </c>
    </row>
    <row r="22" spans="1:4" x14ac:dyDescent="0.25">
      <c r="A22" s="14">
        <v>2019</v>
      </c>
      <c r="B22" s="18">
        <f>Penduduk!Z31</f>
        <v>49200000</v>
      </c>
      <c r="C22" s="14">
        <v>1199.0999999999999</v>
      </c>
      <c r="D22" s="14">
        <f t="shared" si="0"/>
        <v>1.1990999999999998</v>
      </c>
    </row>
    <row r="23" spans="1:4" x14ac:dyDescent="0.25">
      <c r="A23" s="14">
        <v>2020</v>
      </c>
      <c r="B23" s="18">
        <f>Penduduk!AA31</f>
        <v>49800000</v>
      </c>
      <c r="C23" s="14">
        <v>1274</v>
      </c>
      <c r="D23" s="14">
        <f t="shared" si="0"/>
        <v>1.274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24F-507B-40B3-8A47-8941A3147ABC}">
  <dimension ref="A2:H24"/>
  <sheetViews>
    <sheetView workbookViewId="0">
      <selection activeCell="H3" sqref="H3"/>
    </sheetView>
  </sheetViews>
  <sheetFormatPr defaultRowHeight="15" x14ac:dyDescent="0.25"/>
  <cols>
    <col min="2" max="2" width="29.140625" bestFit="1" customWidth="1"/>
    <col min="3" max="3" width="16.85546875" bestFit="1" customWidth="1"/>
    <col min="4" max="4" width="17.42578125" bestFit="1" customWidth="1"/>
    <col min="5" max="5" width="15.85546875" bestFit="1" customWidth="1"/>
    <col min="6" max="6" width="15.42578125" bestFit="1" customWidth="1"/>
    <col min="7" max="7" width="32.140625" bestFit="1" customWidth="1"/>
    <col min="8" max="8" width="25.5703125" customWidth="1"/>
  </cols>
  <sheetData>
    <row r="2" spans="1:8" x14ac:dyDescent="0.25">
      <c r="B2" s="14" t="s">
        <v>32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5" t="s">
        <v>57</v>
      </c>
    </row>
    <row r="3" spans="1:8" x14ac:dyDescent="0.25">
      <c r="A3" s="45" t="s">
        <v>94</v>
      </c>
      <c r="B3" s="16">
        <v>2000</v>
      </c>
      <c r="C3" s="16">
        <f t="shared" ref="C3:C14" si="0">C4/(1+$C$24)</f>
        <v>84618.727047682696</v>
      </c>
      <c r="D3" s="16">
        <f t="shared" ref="D3:D14" si="1">D4/(1+$D$24)</f>
        <v>3951733.6002211557</v>
      </c>
      <c r="E3" s="16">
        <f t="shared" ref="E3:E14" si="2">E4/(1+$E$24)</f>
        <v>54207.28665242446</v>
      </c>
      <c r="F3" s="14">
        <f t="shared" ref="F3:F15" si="3">SUM(C3:E3)</f>
        <v>4090559.6139212628</v>
      </c>
      <c r="G3" s="14"/>
      <c r="H3" s="14">
        <f t="shared" ref="H3:H15" si="4">C3+E3</f>
        <v>138826.01370010717</v>
      </c>
    </row>
    <row r="4" spans="1:8" x14ac:dyDescent="0.25">
      <c r="A4" s="45"/>
      <c r="B4" s="16">
        <v>2001</v>
      </c>
      <c r="C4" s="16">
        <f t="shared" si="0"/>
        <v>87709.104927983237</v>
      </c>
      <c r="D4" s="16">
        <f t="shared" si="1"/>
        <v>4278408.5396023542</v>
      </c>
      <c r="E4" s="16">
        <f t="shared" si="2"/>
        <v>55985.452373297194</v>
      </c>
      <c r="F4" s="14">
        <f t="shared" si="3"/>
        <v>4422103.0969036343</v>
      </c>
      <c r="G4" s="14"/>
      <c r="H4" s="14">
        <f t="shared" si="4"/>
        <v>143694.55730128044</v>
      </c>
    </row>
    <row r="5" spans="1:8" x14ac:dyDescent="0.25">
      <c r="A5" s="45"/>
      <c r="B5" s="16">
        <v>2002</v>
      </c>
      <c r="C5" s="16">
        <f t="shared" si="0"/>
        <v>90912.347132485549</v>
      </c>
      <c r="D5" s="16">
        <f t="shared" si="1"/>
        <v>4632088.4663677579</v>
      </c>
      <c r="E5" s="16">
        <f t="shared" si="2"/>
        <v>57821.947398699791</v>
      </c>
      <c r="F5" s="14">
        <f t="shared" si="3"/>
        <v>4780822.7608989431</v>
      </c>
      <c r="G5" s="14"/>
      <c r="H5" s="14">
        <f t="shared" si="4"/>
        <v>148734.29453118535</v>
      </c>
    </row>
    <row r="6" spans="1:8" x14ac:dyDescent="0.25">
      <c r="A6" s="45"/>
      <c r="B6" s="16">
        <v>2003</v>
      </c>
      <c r="C6" s="16">
        <f t="shared" si="0"/>
        <v>94232.57560231493</v>
      </c>
      <c r="D6" s="16">
        <f t="shared" si="1"/>
        <v>5015005.7811569814</v>
      </c>
      <c r="E6" s="16">
        <f t="shared" si="2"/>
        <v>59718.685109217084</v>
      </c>
      <c r="F6" s="14">
        <f t="shared" si="3"/>
        <v>5168957.0418685135</v>
      </c>
      <c r="G6" s="14"/>
      <c r="H6" s="14">
        <f t="shared" si="4"/>
        <v>153951.26071153203</v>
      </c>
    </row>
    <row r="7" spans="1:8" x14ac:dyDescent="0.25">
      <c r="A7" s="45"/>
      <c r="B7" s="16">
        <v>2004</v>
      </c>
      <c r="C7" s="16">
        <f t="shared" si="0"/>
        <v>97674.062816853664</v>
      </c>
      <c r="D7" s="16">
        <f t="shared" si="1"/>
        <v>5429577.4287660541</v>
      </c>
      <c r="E7" s="16">
        <f t="shared" si="2"/>
        <v>61677.64165020184</v>
      </c>
      <c r="F7" s="14">
        <f t="shared" si="3"/>
        <v>5588929.1332331095</v>
      </c>
      <c r="G7" s="14"/>
      <c r="H7" s="14">
        <f t="shared" si="4"/>
        <v>159351.7044670555</v>
      </c>
    </row>
    <row r="8" spans="1:8" x14ac:dyDescent="0.25">
      <c r="A8" s="45"/>
      <c r="B8" s="16">
        <v>2005</v>
      </c>
      <c r="C8" s="16">
        <f t="shared" si="0"/>
        <v>101241.23729157954</v>
      </c>
      <c r="D8" s="16">
        <f t="shared" si="1"/>
        <v>5878420.1537180627</v>
      </c>
      <c r="E8" s="16">
        <f t="shared" si="2"/>
        <v>63700.857990652192</v>
      </c>
      <c r="F8" s="14">
        <f t="shared" si="3"/>
        <v>6043362.2490002941</v>
      </c>
      <c r="G8" s="14"/>
      <c r="H8" s="14">
        <f t="shared" si="4"/>
        <v>164942.09528223175</v>
      </c>
    </row>
    <row r="9" spans="1:8" x14ac:dyDescent="0.25">
      <c r="A9" s="45"/>
      <c r="B9" s="16">
        <v>2006</v>
      </c>
      <c r="C9" s="16">
        <f t="shared" si="0"/>
        <v>104938.68927669215</v>
      </c>
      <c r="D9" s="16">
        <f t="shared" si="1"/>
        <v>6364367.0169543885</v>
      </c>
      <c r="E9" s="16">
        <f t="shared" si="2"/>
        <v>65790.442049626552</v>
      </c>
      <c r="F9" s="14">
        <f t="shared" si="3"/>
        <v>6535096.1482807072</v>
      </c>
      <c r="G9" s="14"/>
      <c r="H9" s="14">
        <f t="shared" si="4"/>
        <v>170729.13132631872</v>
      </c>
    </row>
    <row r="10" spans="1:8" x14ac:dyDescent="0.25">
      <c r="A10" s="45"/>
      <c r="B10" s="16">
        <v>2007</v>
      </c>
      <c r="C10" s="16">
        <f t="shared" si="0"/>
        <v>108771.17666385975</v>
      </c>
      <c r="D10" s="16">
        <f t="shared" si="1"/>
        <v>6890485.2778986283</v>
      </c>
      <c r="E10" s="16">
        <f t="shared" si="2"/>
        <v>67948.570892411517</v>
      </c>
      <c r="F10" s="14">
        <f t="shared" si="3"/>
        <v>7067205.0254548993</v>
      </c>
      <c r="G10" s="14"/>
      <c r="H10" s="14">
        <f t="shared" si="4"/>
        <v>176719.74755627126</v>
      </c>
    </row>
    <row r="11" spans="1:8" x14ac:dyDescent="0.25">
      <c r="A11" s="45"/>
      <c r="B11" s="16">
        <v>2008</v>
      </c>
      <c r="C11" s="16">
        <f t="shared" si="0"/>
        <v>112743.63110868775</v>
      </c>
      <c r="D11" s="16">
        <f t="shared" si="1"/>
        <v>7460095.754763416</v>
      </c>
      <c r="E11" s="16">
        <f t="shared" si="2"/>
        <v>70177.492998730828</v>
      </c>
      <c r="F11" s="14">
        <f t="shared" si="3"/>
        <v>7643016.8788708346</v>
      </c>
      <c r="G11" s="14"/>
      <c r="H11" s="14">
        <f t="shared" si="4"/>
        <v>182921.12410741858</v>
      </c>
    </row>
    <row r="12" spans="1:8" x14ac:dyDescent="0.25">
      <c r="A12" s="45"/>
      <c r="B12" s="16">
        <v>2009</v>
      </c>
      <c r="C12" s="16">
        <f t="shared" si="0"/>
        <v>116861.16437678711</v>
      </c>
      <c r="D12" s="16">
        <f t="shared" si="1"/>
        <v>8076793.7853009226</v>
      </c>
      <c r="E12" s="16">
        <f t="shared" si="2"/>
        <v>72479.530605358537</v>
      </c>
      <c r="F12" s="14">
        <f t="shared" si="3"/>
        <v>8266134.4802830685</v>
      </c>
      <c r="G12" s="14"/>
      <c r="H12" s="14">
        <f t="shared" si="4"/>
        <v>189340.69498214565</v>
      </c>
    </row>
    <row r="13" spans="1:8" x14ac:dyDescent="0.25">
      <c r="A13" s="45"/>
      <c r="B13" s="16">
        <v>2010</v>
      </c>
      <c r="C13" s="16">
        <f t="shared" si="0"/>
        <v>121129.07492160874</v>
      </c>
      <c r="D13" s="16">
        <f t="shared" si="1"/>
        <v>8744471.9202996884</v>
      </c>
      <c r="E13" s="16">
        <f t="shared" si="2"/>
        <v>74857.082125577086</v>
      </c>
      <c r="F13" s="14">
        <f t="shared" si="3"/>
        <v>8940458.0773468725</v>
      </c>
      <c r="G13" s="14"/>
      <c r="H13" s="14">
        <f t="shared" si="4"/>
        <v>195986.15704718581</v>
      </c>
    </row>
    <row r="14" spans="1:8" x14ac:dyDescent="0.25">
      <c r="A14" s="45"/>
      <c r="B14" s="16">
        <v>2011</v>
      </c>
      <c r="C14" s="16">
        <f t="shared" si="0"/>
        <v>125552.85470250841</v>
      </c>
      <c r="D14" s="16">
        <f t="shared" si="1"/>
        <v>9467344.4930674043</v>
      </c>
      <c r="E14" s="16">
        <f t="shared" si="2"/>
        <v>77312.624648001103</v>
      </c>
      <c r="F14" s="14">
        <f t="shared" si="3"/>
        <v>9670209.9724179134</v>
      </c>
      <c r="G14" s="14"/>
      <c r="H14" s="14">
        <f t="shared" si="4"/>
        <v>202865.47935050953</v>
      </c>
    </row>
    <row r="15" spans="1:8" x14ac:dyDescent="0.25">
      <c r="A15" s="45"/>
      <c r="B15" s="16">
        <v>2012</v>
      </c>
      <c r="C15" s="16">
        <f>C16/(1+$C$24)</f>
        <v>130138.19625181556</v>
      </c>
      <c r="D15" s="16">
        <f>D16/(1+$D$24)</f>
        <v>10249974.219980331</v>
      </c>
      <c r="E15" s="16">
        <f>E16/(1+$E$24)</f>
        <v>79848.716517370238</v>
      </c>
      <c r="F15" s="14">
        <f t="shared" si="3"/>
        <v>10459961.132749517</v>
      </c>
      <c r="G15" s="14"/>
      <c r="H15" s="14">
        <f t="shared" si="4"/>
        <v>209986.91276918579</v>
      </c>
    </row>
    <row r="16" spans="1:8" x14ac:dyDescent="0.25">
      <c r="B16" s="14">
        <v>2013</v>
      </c>
      <c r="C16" s="14">
        <v>134891</v>
      </c>
      <c r="D16" s="14">
        <v>11097301</v>
      </c>
      <c r="E16" s="14">
        <v>82468</v>
      </c>
      <c r="F16" s="14">
        <f>SUM(C16:E16)</f>
        <v>11314660</v>
      </c>
      <c r="G16" s="23">
        <f>D16/Penduduk!T31</f>
        <v>0.24475309753584185</v>
      </c>
      <c r="H16" s="14">
        <f>C16+E16</f>
        <v>217359</v>
      </c>
    </row>
    <row r="17" spans="2:8" x14ac:dyDescent="0.25">
      <c r="B17" s="14">
        <v>2014</v>
      </c>
      <c r="C17" s="14">
        <v>152064</v>
      </c>
      <c r="D17" s="14">
        <v>13478289</v>
      </c>
      <c r="E17" s="14">
        <v>90146</v>
      </c>
      <c r="F17" s="14">
        <f t="shared" ref="F17:F21" si="5">SUM(C17:E17)</f>
        <v>13720499</v>
      </c>
      <c r="G17" s="23">
        <f>D17/Penduduk!U31</f>
        <v>0.29281742809876449</v>
      </c>
      <c r="H17" s="14">
        <f t="shared" ref="H17:H21" si="6">C17+E17</f>
        <v>242210</v>
      </c>
    </row>
    <row r="18" spans="2:8" x14ac:dyDescent="0.25">
      <c r="B18" s="14">
        <v>2015</v>
      </c>
      <c r="C18" s="14">
        <v>158085</v>
      </c>
      <c r="D18" s="14">
        <v>14483932</v>
      </c>
      <c r="E18" s="14">
        <v>94786</v>
      </c>
      <c r="F18" s="14">
        <f t="shared" si="5"/>
        <v>14736803</v>
      </c>
      <c r="G18" s="23">
        <f>D18/Penduduk!V31</f>
        <v>0.31008489930617855</v>
      </c>
      <c r="H18" s="14">
        <f t="shared" si="6"/>
        <v>252871</v>
      </c>
    </row>
    <row r="19" spans="2:8" x14ac:dyDescent="0.25">
      <c r="B19" s="14">
        <v>2016</v>
      </c>
      <c r="C19" s="14">
        <v>161087</v>
      </c>
      <c r="D19" s="14">
        <v>15822611</v>
      </c>
      <c r="E19" s="14">
        <v>101423</v>
      </c>
      <c r="F19" s="14">
        <f t="shared" si="5"/>
        <v>16085121</v>
      </c>
      <c r="G19" s="23">
        <f>D19/Penduduk!W31</f>
        <v>0.33874452280335698</v>
      </c>
      <c r="H19" s="14">
        <f t="shared" si="6"/>
        <v>262510</v>
      </c>
    </row>
    <row r="20" spans="2:8" x14ac:dyDescent="0.25">
      <c r="B20" s="14">
        <v>2017</v>
      </c>
      <c r="C20" s="14">
        <v>164017</v>
      </c>
      <c r="D20" s="14">
        <v>17076805</v>
      </c>
      <c r="E20" s="14">
        <v>105743</v>
      </c>
      <c r="F20" s="14">
        <f t="shared" si="5"/>
        <v>17346565</v>
      </c>
      <c r="G20" s="23">
        <f>D20/Penduduk!X31</f>
        <v>0.35548660295437989</v>
      </c>
      <c r="H20" s="14">
        <f t="shared" si="6"/>
        <v>269760</v>
      </c>
    </row>
    <row r="21" spans="2:8" x14ac:dyDescent="0.25">
      <c r="B21" s="14">
        <v>2018</v>
      </c>
      <c r="C21" s="14">
        <v>161389</v>
      </c>
      <c r="D21" s="14">
        <v>16507843</v>
      </c>
      <c r="E21" s="14">
        <v>96911</v>
      </c>
      <c r="F21" s="14">
        <f t="shared" si="5"/>
        <v>16766143</v>
      </c>
      <c r="G21" s="23">
        <f>D21/Penduduk!Y31</f>
        <v>0.33966755144032923</v>
      </c>
      <c r="H21" s="14">
        <f t="shared" si="6"/>
        <v>258300</v>
      </c>
    </row>
    <row r="22" spans="2:8" x14ac:dyDescent="0.25">
      <c r="B22" s="14">
        <v>2019</v>
      </c>
      <c r="C22" s="14"/>
      <c r="D22" s="14"/>
      <c r="E22" s="14"/>
      <c r="F22" s="14"/>
      <c r="G22" s="14"/>
      <c r="H22" s="14"/>
    </row>
    <row r="23" spans="2:8" x14ac:dyDescent="0.25">
      <c r="B23" s="14">
        <v>2020</v>
      </c>
      <c r="C23" s="14"/>
      <c r="D23" s="14"/>
      <c r="E23" s="14"/>
      <c r="F23" s="14"/>
      <c r="G23" s="14"/>
      <c r="H23" s="14"/>
    </row>
    <row r="24" spans="2:8" x14ac:dyDescent="0.25">
      <c r="B24" t="s">
        <v>95</v>
      </c>
      <c r="C24">
        <f>(C21/C16)^(1/($B$21-$B$16))-1</f>
        <v>3.6521205034898641E-2</v>
      </c>
      <c r="D24">
        <f>(D21/D16)^(1/($B$21-$B$16))-1</f>
        <v>8.2666235234813534E-2</v>
      </c>
      <c r="E24">
        <f>(E21/E16)^(1/($B$21-$B$16))-1</f>
        <v>3.2803075576799845E-2</v>
      </c>
    </row>
  </sheetData>
  <mergeCells count="1">
    <mergeCell ref="A3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D3DD-0964-4553-86F6-F427E7A428CE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0.69934357612644982</v>
      </c>
    </row>
    <row r="5" spans="1:9" x14ac:dyDescent="0.25">
      <c r="A5" s="25" t="s">
        <v>64</v>
      </c>
      <c r="B5" s="25">
        <v>0.48908143746933158</v>
      </c>
    </row>
    <row r="6" spans="1:9" x14ac:dyDescent="0.25">
      <c r="A6" s="25" t="s">
        <v>65</v>
      </c>
      <c r="B6" s="25">
        <v>0.31877524995910878</v>
      </c>
    </row>
    <row r="7" spans="1:9" x14ac:dyDescent="0.25">
      <c r="A7" s="25" t="s">
        <v>66</v>
      </c>
      <c r="B7" s="25">
        <v>2.0895747313757249E-2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1.2539105856005071E-3</v>
      </c>
      <c r="D12" s="25">
        <v>1.2539105856005071E-3</v>
      </c>
      <c r="E12" s="25">
        <v>2.8717772655205147</v>
      </c>
      <c r="F12" s="25">
        <v>0.18871754284885303</v>
      </c>
    </row>
    <row r="13" spans="1:9" x14ac:dyDescent="0.25">
      <c r="A13" s="25" t="s">
        <v>70</v>
      </c>
      <c r="B13" s="25">
        <v>3</v>
      </c>
      <c r="C13" s="25">
        <v>1.3098967674011798E-3</v>
      </c>
      <c r="D13" s="25">
        <v>4.3663225580039324E-4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6.6029854101270491E-3</v>
      </c>
      <c r="C17" s="25">
        <v>0.18950894304324475</v>
      </c>
      <c r="D17" s="25">
        <v>3.4842605863831394E-2</v>
      </c>
      <c r="E17" s="25">
        <v>0.97439392679888015</v>
      </c>
      <c r="F17" s="25">
        <v>-0.59649905019606808</v>
      </c>
      <c r="G17" s="25">
        <v>0.60970502101632218</v>
      </c>
      <c r="H17" s="25">
        <v>-0.59649905019606808</v>
      </c>
      <c r="I17" s="25">
        <v>0.60970502101632218</v>
      </c>
    </row>
    <row r="18" spans="1:9" ht="15.75" thickBot="1" x14ac:dyDescent="0.3">
      <c r="A18" s="26">
        <v>6.33</v>
      </c>
      <c r="B18" s="26">
        <v>5.9865101812331983E-2</v>
      </c>
      <c r="C18" s="26">
        <v>3.5326315954955362E-2</v>
      </c>
      <c r="D18" s="26">
        <v>1.6946318967612153</v>
      </c>
      <c r="E18" s="26">
        <v>0.18871754284885311</v>
      </c>
      <c r="F18" s="26">
        <v>-5.2559001877800646E-2</v>
      </c>
      <c r="G18" s="26">
        <v>0.17228920550246463</v>
      </c>
      <c r="H18" s="26">
        <v>-5.2559001877800646E-2</v>
      </c>
      <c r="I18" s="26">
        <v>0.17228920550246463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0.31131635363489685</v>
      </c>
      <c r="C25" s="25">
        <v>-1.849892553613236E-2</v>
      </c>
    </row>
    <row r="26" spans="1:9" x14ac:dyDescent="0.25">
      <c r="A26" s="25">
        <v>2</v>
      </c>
      <c r="B26" s="25">
        <v>0.30892174956240354</v>
      </c>
      <c r="C26" s="25">
        <v>1.163149743775016E-3</v>
      </c>
    </row>
    <row r="27" spans="1:9" x14ac:dyDescent="0.25">
      <c r="A27" s="25">
        <v>3</v>
      </c>
      <c r="B27" s="25">
        <v>0.34543946166792611</v>
      </c>
      <c r="C27" s="25">
        <v>-6.6949388645691221E-3</v>
      </c>
    </row>
    <row r="28" spans="1:9" x14ac:dyDescent="0.25">
      <c r="A28" s="25">
        <v>4</v>
      </c>
      <c r="B28" s="25">
        <v>0.32568397806985655</v>
      </c>
      <c r="C28" s="25">
        <v>2.9802624884523343E-2</v>
      </c>
    </row>
    <row r="29" spans="1:9" ht="15.75" thickBot="1" x14ac:dyDescent="0.3">
      <c r="A29" s="26">
        <v>5</v>
      </c>
      <c r="B29" s="26">
        <v>0.34543946166792611</v>
      </c>
      <c r="C29" s="26">
        <v>-5.771910227596877E-3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377-F952-4481-8F8C-68E4E70349B7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0.85587422583647987</v>
      </c>
    </row>
    <row r="5" spans="1:9" x14ac:dyDescent="0.25">
      <c r="A5" s="25" t="s">
        <v>64</v>
      </c>
      <c r="B5" s="25">
        <v>0.73252069045119372</v>
      </c>
    </row>
    <row r="6" spans="1:9" x14ac:dyDescent="0.25">
      <c r="A6" s="25" t="s">
        <v>65</v>
      </c>
      <c r="B6" s="25">
        <v>0.64336092060159167</v>
      </c>
    </row>
    <row r="7" spans="1:9" x14ac:dyDescent="0.25">
      <c r="A7" s="25" t="s">
        <v>66</v>
      </c>
      <c r="B7" s="25">
        <v>1.5119142618956537E-2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1.8780419324046431E-3</v>
      </c>
      <c r="D12" s="25">
        <v>1.8780419324046431E-3</v>
      </c>
      <c r="E12" s="25">
        <v>8.2158207865143211</v>
      </c>
      <c r="F12" s="25">
        <v>6.4243220482477006E-2</v>
      </c>
    </row>
    <row r="13" spans="1:9" x14ac:dyDescent="0.25">
      <c r="A13" s="25" t="s">
        <v>70</v>
      </c>
      <c r="B13" s="25">
        <v>3</v>
      </c>
      <c r="C13" s="25">
        <v>6.8576542059704381E-4</v>
      </c>
      <c r="D13" s="25">
        <v>2.2858847353234794E-4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-2.1645897965924921E-2</v>
      </c>
      <c r="C17" s="25">
        <v>0.12194840372036252</v>
      </c>
      <c r="D17" s="25">
        <v>-0.1775004617162575</v>
      </c>
      <c r="E17" s="25">
        <v>0.87042349585592027</v>
      </c>
      <c r="F17" s="25">
        <v>-0.40974014482103871</v>
      </c>
      <c r="G17" s="25">
        <v>0.36644834888918887</v>
      </c>
      <c r="H17" s="25">
        <v>-0.40974014482103871</v>
      </c>
      <c r="I17" s="25">
        <v>0.36644834888918887</v>
      </c>
    </row>
    <row r="18" spans="1:9" ht="15.75" thickBot="1" x14ac:dyDescent="0.3">
      <c r="A18" s="26">
        <v>24118312.199999999</v>
      </c>
      <c r="B18" s="26">
        <v>1.2931927680811276E-8</v>
      </c>
      <c r="C18" s="26">
        <v>4.5116748028317915E-9</v>
      </c>
      <c r="D18" s="26">
        <v>2.8663253106572397</v>
      </c>
      <c r="E18" s="26">
        <v>6.4243220482477006E-2</v>
      </c>
      <c r="F18" s="26">
        <v>-1.4262351261023653E-9</v>
      </c>
      <c r="G18" s="26">
        <v>2.7290090487724917E-8</v>
      </c>
      <c r="H18" s="26">
        <v>-1.4262351261023653E-9</v>
      </c>
      <c r="I18" s="26">
        <v>2.7290090487724917E-8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0.30122366828571984</v>
      </c>
      <c r="C25" s="25">
        <v>-8.4062401869553494E-3</v>
      </c>
    </row>
    <row r="26" spans="1:9" x14ac:dyDescent="0.25">
      <c r="A26" s="25">
        <v>2</v>
      </c>
      <c r="B26" s="25">
        <v>0.31258628766185026</v>
      </c>
      <c r="C26" s="25">
        <v>-2.5013883556717076E-3</v>
      </c>
    </row>
    <row r="27" spans="1:9" x14ac:dyDescent="0.25">
      <c r="A27" s="25">
        <v>3</v>
      </c>
      <c r="B27" s="25">
        <v>0.32652692833263824</v>
      </c>
      <c r="C27" s="25">
        <v>1.221759447071874E-2</v>
      </c>
    </row>
    <row r="28" spans="1:9" x14ac:dyDescent="0.25">
      <c r="A28" s="25">
        <v>4</v>
      </c>
      <c r="B28" s="25">
        <v>0.34099701621847983</v>
      </c>
      <c r="C28" s="25">
        <v>1.4489586735900062E-2</v>
      </c>
    </row>
    <row r="29" spans="1:9" ht="15.75" thickBot="1" x14ac:dyDescent="0.3">
      <c r="A29" s="26">
        <v>5</v>
      </c>
      <c r="B29" s="26">
        <v>0.35546710410432142</v>
      </c>
      <c r="C29" s="26">
        <v>-1.5799552663992189E-2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3900-6AAF-4816-BECA-657F1DE06748}">
  <dimension ref="A2:E8"/>
  <sheetViews>
    <sheetView workbookViewId="0">
      <selection activeCell="I7" sqref="I7"/>
    </sheetView>
  </sheetViews>
  <sheetFormatPr defaultRowHeight="15" x14ac:dyDescent="0.25"/>
  <cols>
    <col min="2" max="2" width="27.140625" bestFit="1" customWidth="1"/>
    <col min="3" max="3" width="12.7109375" bestFit="1" customWidth="1"/>
    <col min="4" max="4" width="23.7109375" customWidth="1"/>
    <col min="5" max="5" width="26.42578125" customWidth="1"/>
  </cols>
  <sheetData>
    <row r="2" spans="1:5" x14ac:dyDescent="0.25">
      <c r="A2" t="s">
        <v>32</v>
      </c>
      <c r="B2" t="s">
        <v>59</v>
      </c>
      <c r="C2" t="s">
        <v>60</v>
      </c>
      <c r="D2" t="s">
        <v>90</v>
      </c>
      <c r="E2" t="s">
        <v>96</v>
      </c>
    </row>
    <row r="3" spans="1:5" x14ac:dyDescent="0.25">
      <c r="A3">
        <v>2013</v>
      </c>
      <c r="B3">
        <f>Kendaraan!G16</f>
        <v>0.24475309753584185</v>
      </c>
      <c r="C3" s="12">
        <v>6.33</v>
      </c>
      <c r="D3">
        <f>PDRB!B15</f>
        <v>24118312.199999999</v>
      </c>
      <c r="E3">
        <f>Kendaraan!H16</f>
        <v>217359</v>
      </c>
    </row>
    <row r="4" spans="1:5" x14ac:dyDescent="0.25">
      <c r="A4">
        <v>2014</v>
      </c>
      <c r="B4">
        <f>Kendaraan!G17</f>
        <v>0.29281742809876449</v>
      </c>
      <c r="C4" s="12">
        <v>5.09</v>
      </c>
      <c r="D4">
        <f>PDRB!B16</f>
        <v>24966855.23</v>
      </c>
      <c r="E4">
        <f>Kendaraan!H17</f>
        <v>242210</v>
      </c>
    </row>
    <row r="5" spans="1:5" x14ac:dyDescent="0.25">
      <c r="A5">
        <v>2015</v>
      </c>
      <c r="B5">
        <f>Kendaraan!G18</f>
        <v>0.31008489930617855</v>
      </c>
      <c r="C5" s="12">
        <v>5.05</v>
      </c>
      <c r="D5">
        <f>PDRB!B17</f>
        <v>25845503.77</v>
      </c>
      <c r="E5">
        <f>Kendaraan!H18</f>
        <v>252871</v>
      </c>
    </row>
    <row r="6" spans="1:5" x14ac:dyDescent="0.25">
      <c r="A6">
        <v>2016</v>
      </c>
      <c r="B6">
        <f>Kendaraan!G19</f>
        <v>0.33874452280335698</v>
      </c>
      <c r="C6" s="12">
        <v>5.66</v>
      </c>
      <c r="D6">
        <f>PDRB!B18</f>
        <v>26923505.52</v>
      </c>
      <c r="E6">
        <f>Kendaraan!H19</f>
        <v>262510</v>
      </c>
    </row>
    <row r="7" spans="1:5" x14ac:dyDescent="0.25">
      <c r="A7">
        <v>2017</v>
      </c>
      <c r="B7">
        <f>Kendaraan!G20</f>
        <v>0.35548660295437989</v>
      </c>
      <c r="C7" s="12">
        <v>5.33</v>
      </c>
      <c r="D7">
        <f>PDRB!B19</f>
        <v>28042448.359999999</v>
      </c>
      <c r="E7">
        <f>Kendaraan!H20</f>
        <v>269760</v>
      </c>
    </row>
    <row r="8" spans="1:5" x14ac:dyDescent="0.25">
      <c r="A8">
        <v>2018</v>
      </c>
      <c r="B8">
        <f>Kendaraan!G21</f>
        <v>0.33966755144032923</v>
      </c>
      <c r="C8" s="12">
        <v>5.66</v>
      </c>
      <c r="D8">
        <f>PDRB!B20</f>
        <v>29161391.199999999</v>
      </c>
      <c r="E8">
        <f>Kendaraan!H21</f>
        <v>258300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665-4A29-4148-9826-9EA2B94C56CC}">
  <dimension ref="A1:C23"/>
  <sheetViews>
    <sheetView workbookViewId="0">
      <selection activeCell="E19" sqref="E19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1" spans="1:3" x14ac:dyDescent="0.25">
      <c r="A1" s="14" t="s">
        <v>34</v>
      </c>
      <c r="B1" s="14" t="s">
        <v>37</v>
      </c>
      <c r="C1" s="14" t="s">
        <v>38</v>
      </c>
    </row>
    <row r="2" spans="1:3" x14ac:dyDescent="0.25">
      <c r="A2" s="14">
        <v>2000</v>
      </c>
      <c r="B2" s="14"/>
      <c r="C2" s="14"/>
    </row>
    <row r="3" spans="1:3" x14ac:dyDescent="0.25">
      <c r="A3" s="14">
        <v>2001</v>
      </c>
      <c r="B3" s="14"/>
      <c r="C3" s="14"/>
    </row>
    <row r="4" spans="1:3" x14ac:dyDescent="0.25">
      <c r="A4" s="14">
        <v>2002</v>
      </c>
      <c r="B4" s="14"/>
      <c r="C4" s="14"/>
    </row>
    <row r="5" spans="1:3" x14ac:dyDescent="0.25">
      <c r="A5" s="14">
        <v>2003</v>
      </c>
      <c r="B5" s="14"/>
      <c r="C5" s="14"/>
    </row>
    <row r="6" spans="1:3" x14ac:dyDescent="0.25">
      <c r="A6" s="14">
        <v>2004</v>
      </c>
      <c r="B6" s="14"/>
      <c r="C6" s="14"/>
    </row>
    <row r="7" spans="1:3" x14ac:dyDescent="0.25">
      <c r="A7" s="14">
        <v>2005</v>
      </c>
      <c r="B7" s="14"/>
      <c r="C7" s="14"/>
    </row>
    <row r="8" spans="1:3" x14ac:dyDescent="0.25">
      <c r="A8" s="14">
        <v>2006</v>
      </c>
      <c r="B8" s="14"/>
      <c r="C8" s="14"/>
    </row>
    <row r="9" spans="1:3" x14ac:dyDescent="0.25">
      <c r="A9" s="14">
        <v>2007</v>
      </c>
      <c r="B9" s="14"/>
      <c r="C9" s="14"/>
    </row>
    <row r="10" spans="1:3" x14ac:dyDescent="0.25">
      <c r="A10" s="14">
        <v>2008</v>
      </c>
      <c r="B10" s="14"/>
      <c r="C10" s="14"/>
    </row>
    <row r="11" spans="1:3" x14ac:dyDescent="0.25">
      <c r="A11" s="14">
        <v>2009</v>
      </c>
      <c r="B11" s="14"/>
      <c r="C11" s="14"/>
    </row>
    <row r="12" spans="1:3" x14ac:dyDescent="0.25">
      <c r="A12" s="14">
        <v>2010</v>
      </c>
      <c r="B12" s="14"/>
      <c r="C12" s="14"/>
    </row>
    <row r="13" spans="1:3" x14ac:dyDescent="0.25">
      <c r="A13" s="14">
        <v>2011</v>
      </c>
      <c r="B13" s="14"/>
      <c r="C13" s="14"/>
    </row>
    <row r="14" spans="1:3" x14ac:dyDescent="0.25">
      <c r="A14" s="14">
        <v>2012</v>
      </c>
      <c r="B14" s="14"/>
      <c r="C14" s="14"/>
    </row>
    <row r="15" spans="1:3" x14ac:dyDescent="0.25">
      <c r="A15" s="14">
        <v>2013</v>
      </c>
      <c r="B15" s="14"/>
      <c r="C15" s="14"/>
    </row>
    <row r="16" spans="1:3" x14ac:dyDescent="0.25">
      <c r="A16" s="14">
        <v>2014</v>
      </c>
      <c r="B16" s="14"/>
      <c r="C16" s="14"/>
    </row>
    <row r="17" spans="1:3" x14ac:dyDescent="0.25">
      <c r="A17" s="14">
        <v>2015</v>
      </c>
      <c r="B17" s="14">
        <v>3.1</v>
      </c>
      <c r="C17" s="18">
        <f>B17*$C$23</f>
        <v>22142857.142857011</v>
      </c>
    </row>
    <row r="18" spans="1:3" x14ac:dyDescent="0.25">
      <c r="A18" s="14">
        <v>2016</v>
      </c>
      <c r="B18" s="14">
        <v>3.4</v>
      </c>
      <c r="C18" s="18">
        <f t="shared" ref="C18:C22" si="0">B18*$C$23</f>
        <v>24285714.285714138</v>
      </c>
    </row>
    <row r="19" spans="1:3" x14ac:dyDescent="0.25">
      <c r="A19" s="14">
        <v>2017</v>
      </c>
      <c r="B19" s="14">
        <v>3.6</v>
      </c>
      <c r="C19" s="18">
        <f t="shared" si="0"/>
        <v>25714285.71428556</v>
      </c>
    </row>
    <row r="20" spans="1:3" x14ac:dyDescent="0.25">
      <c r="A20" s="14">
        <v>2018</v>
      </c>
      <c r="B20" s="14">
        <v>3.9</v>
      </c>
      <c r="C20" s="18">
        <f t="shared" si="0"/>
        <v>27857142.857142691</v>
      </c>
    </row>
    <row r="21" spans="1:3" x14ac:dyDescent="0.25">
      <c r="A21" s="14">
        <v>2019</v>
      </c>
      <c r="B21" s="14">
        <v>4.2</v>
      </c>
      <c r="C21" s="18">
        <f t="shared" si="0"/>
        <v>29999999.999999821</v>
      </c>
    </row>
    <row r="22" spans="1:3" x14ac:dyDescent="0.25">
      <c r="A22" s="14">
        <v>2020</v>
      </c>
      <c r="B22" s="14">
        <v>4.5</v>
      </c>
      <c r="C22" s="18">
        <f t="shared" si="0"/>
        <v>32142857.142856948</v>
      </c>
    </row>
    <row r="23" spans="1:3" x14ac:dyDescent="0.25">
      <c r="B23" s="16" t="s">
        <v>39</v>
      </c>
      <c r="C23" s="17">
        <v>7142857.1428570999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jabar</vt:lpstr>
      <vt:lpstr>PDRB</vt:lpstr>
      <vt:lpstr>Penduduk</vt:lpstr>
      <vt:lpstr>Listrik Per Capita</vt:lpstr>
      <vt:lpstr>Kendaraan</vt:lpstr>
      <vt:lpstr>Sheet12</vt:lpstr>
      <vt:lpstr>Sheet14</vt:lpstr>
      <vt:lpstr>Regression</vt:lpstr>
      <vt:lpstr>Energi-Household</vt:lpstr>
      <vt:lpstr>Energi-Transportasi</vt:lpstr>
      <vt:lpstr>Energi-Industri</vt:lpstr>
      <vt:lpstr>Energi-Komersial</vt:lpstr>
      <vt:lpstr>Energi-Lainnya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2020-06-04T08:04:50Z</dcterms:created>
  <dcterms:modified xsi:type="dcterms:W3CDTF">2020-06-04T17:11:40Z</dcterms:modified>
</cp:coreProperties>
</file>