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ENERGI\"/>
    </mc:Choice>
  </mc:AlternateContent>
  <bookViews>
    <workbookView xWindow="0" yWindow="0" windowWidth="21600" windowHeight="9735" tabRatio="880" activeTab="1"/>
  </bookViews>
  <sheets>
    <sheet name="tabel lanscape+Hitungan biogas " sheetId="1" r:id="rId1"/>
    <sheet name="REKAP TOTAL " sheetId="7" r:id="rId2"/>
    <sheet name="HIT HIBRID ROOFTOP" sheetId="15" r:id="rId3"/>
    <sheet name="HITGN PLT PUMP STORAGE" sheetId="14" r:id="rId4"/>
    <sheet name="HIT PLTB" sheetId="13" r:id="rId5"/>
    <sheet name="DATA PLTM" sheetId="12" r:id="rId6"/>
    <sheet name="PENURUNAN EMISI GRK" sheetId="4" state="hidden" r:id="rId7"/>
    <sheet name="BIOGAS PAK AGI" sheetId="9" state="hidden" r:id="rId8"/>
    <sheet name="RUED" sheetId="2" r:id="rId9"/>
    <sheet name="PLTSa" sheetId="11" r:id="rId10"/>
    <sheet name="PJU LED" sheetId="10" r:id="rId11"/>
    <sheet name="PJU solar cell" sheetId="5" r:id="rId12"/>
    <sheet name="RUKD" sheetId="6" r:id="rId13"/>
    <sheet name="RENCANA AKSI TOTAL" sheetId="8" state="hidden" r:id="rId14"/>
  </sheets>
  <definedNames>
    <definedName name="_xlnm.Print_Area" localSheetId="0">'tabel lanscape+Hitungan biogas '!$A$3:$O$28</definedName>
  </definedNames>
  <calcPr calcId="152511"/>
</workbook>
</file>

<file path=xl/calcChain.xml><?xml version="1.0" encoding="utf-8"?>
<calcChain xmlns="http://schemas.openxmlformats.org/spreadsheetml/2006/main">
  <c r="AD5" i="7" l="1"/>
  <c r="AC6" i="7"/>
  <c r="AC5" i="7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I101" i="10"/>
  <c r="H101" i="10"/>
  <c r="H100" i="10"/>
  <c r="I100" i="10" s="1"/>
  <c r="I99" i="10"/>
  <c r="H99" i="10"/>
  <c r="H98" i="10"/>
  <c r="I98" i="10" s="1"/>
  <c r="I97" i="10"/>
  <c r="H97" i="10"/>
  <c r="H96" i="10"/>
  <c r="I96" i="10" s="1"/>
  <c r="I95" i="10"/>
  <c r="H95" i="10"/>
  <c r="H94" i="10"/>
  <c r="I94" i="10" s="1"/>
  <c r="I93" i="10"/>
  <c r="H93" i="10"/>
  <c r="H92" i="10"/>
  <c r="I92" i="10" s="1"/>
  <c r="I91" i="10"/>
  <c r="H91" i="10"/>
  <c r="H90" i="10"/>
  <c r="I90" i="10" s="1"/>
  <c r="I89" i="10"/>
  <c r="H89" i="10"/>
  <c r="H88" i="10"/>
  <c r="I88" i="10" s="1"/>
  <c r="I87" i="10"/>
  <c r="H87" i="10"/>
  <c r="H86" i="10"/>
  <c r="I86" i="10" s="1"/>
  <c r="I85" i="10"/>
  <c r="H85" i="10"/>
  <c r="H84" i="10"/>
  <c r="I84" i="10" s="1"/>
  <c r="I83" i="10"/>
  <c r="H83" i="10"/>
  <c r="H82" i="10"/>
  <c r="I82" i="10" s="1"/>
  <c r="I81" i="10"/>
  <c r="H81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57" i="10"/>
  <c r="AA32" i="7" l="1"/>
  <c r="M58" i="10"/>
  <c r="G58" i="10"/>
  <c r="F58" i="10"/>
  <c r="E58" i="10"/>
  <c r="L58" i="10"/>
  <c r="F57" i="1"/>
  <c r="E57" i="1"/>
  <c r="V21" i="1" l="1"/>
  <c r="U21" i="1"/>
  <c r="A17" i="1"/>
  <c r="A20" i="1" s="1"/>
  <c r="A23" i="1" s="1"/>
  <c r="A26" i="1" s="1"/>
  <c r="A29" i="1" s="1"/>
  <c r="R20" i="1"/>
  <c r="R17" i="1"/>
  <c r="S20" i="1"/>
  <c r="S21" i="1"/>
  <c r="S22" i="1"/>
  <c r="S18" i="1"/>
  <c r="S19" i="1"/>
  <c r="S17" i="1"/>
  <c r="P79" i="7"/>
  <c r="P76" i="7"/>
  <c r="P72" i="7"/>
  <c r="P70" i="7"/>
  <c r="P68" i="7"/>
  <c r="P66" i="7"/>
  <c r="P64" i="7"/>
  <c r="P62" i="7"/>
  <c r="P60" i="7"/>
  <c r="P58" i="7"/>
  <c r="P56" i="7"/>
  <c r="P55" i="7"/>
  <c r="P53" i="7"/>
  <c r="P51" i="7"/>
  <c r="P50" i="7"/>
  <c r="P75" i="7" s="1"/>
  <c r="P49" i="7"/>
  <c r="P74" i="7" s="1"/>
  <c r="P48" i="7"/>
  <c r="P73" i="7" s="1"/>
  <c r="P47" i="7"/>
  <c r="P46" i="7"/>
  <c r="P71" i="7" s="1"/>
  <c r="P45" i="7"/>
  <c r="P44" i="7"/>
  <c r="P69" i="7" s="1"/>
  <c r="P43" i="7"/>
  <c r="P42" i="7"/>
  <c r="P67" i="7" s="1"/>
  <c r="P41" i="7"/>
  <c r="P40" i="7"/>
  <c r="P65" i="7" s="1"/>
  <c r="P39" i="7"/>
  <c r="P38" i="7"/>
  <c r="P63" i="7" s="1"/>
  <c r="P37" i="7"/>
  <c r="P36" i="7"/>
  <c r="P61" i="7" s="1"/>
  <c r="P35" i="7"/>
  <c r="P34" i="7"/>
  <c r="P59" i="7" s="1"/>
  <c r="P33" i="7"/>
  <c r="P32" i="7"/>
  <c r="P57" i="7" s="1"/>
  <c r="P31" i="7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F12" i="15"/>
  <c r="H12" i="15" s="1"/>
  <c r="J12" i="15" s="1"/>
  <c r="T16" i="7" s="1"/>
  <c r="F16" i="15"/>
  <c r="H16" i="15" s="1"/>
  <c r="J16" i="15" s="1"/>
  <c r="T20" i="7" s="1"/>
  <c r="F20" i="15"/>
  <c r="H20" i="15" s="1"/>
  <c r="J20" i="15" s="1"/>
  <c r="T24" i="7" s="1"/>
  <c r="E9" i="15"/>
  <c r="F9" i="15" s="1"/>
  <c r="H9" i="15" s="1"/>
  <c r="J9" i="15" s="1"/>
  <c r="T13" i="7" s="1"/>
  <c r="E10" i="15"/>
  <c r="F10" i="15" s="1"/>
  <c r="E11" i="15"/>
  <c r="F11" i="15" s="1"/>
  <c r="H11" i="15" s="1"/>
  <c r="J11" i="15" s="1"/>
  <c r="T15" i="7" s="1"/>
  <c r="E12" i="15"/>
  <c r="E13" i="15"/>
  <c r="F13" i="15" s="1"/>
  <c r="H13" i="15" s="1"/>
  <c r="J13" i="15" s="1"/>
  <c r="T17" i="7" s="1"/>
  <c r="E14" i="15"/>
  <c r="F14" i="15" s="1"/>
  <c r="E15" i="15"/>
  <c r="F15" i="15" s="1"/>
  <c r="H15" i="15" s="1"/>
  <c r="J15" i="15" s="1"/>
  <c r="T19" i="7" s="1"/>
  <c r="E16" i="15"/>
  <c r="E17" i="15"/>
  <c r="F17" i="15" s="1"/>
  <c r="H17" i="15" s="1"/>
  <c r="J17" i="15" s="1"/>
  <c r="T21" i="7" s="1"/>
  <c r="E18" i="15"/>
  <c r="F18" i="15" s="1"/>
  <c r="E19" i="15"/>
  <c r="F19" i="15" s="1"/>
  <c r="H19" i="15" s="1"/>
  <c r="J19" i="15" s="1"/>
  <c r="T23" i="7" s="1"/>
  <c r="E20" i="15"/>
  <c r="E21" i="15"/>
  <c r="F21" i="15" s="1"/>
  <c r="H21" i="15" s="1"/>
  <c r="J21" i="15" s="1"/>
  <c r="T25" i="7" s="1"/>
  <c r="E8" i="15"/>
  <c r="F8" i="15" s="1"/>
  <c r="H8" i="15" s="1"/>
  <c r="J8" i="15" s="1"/>
  <c r="T12" i="7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G8" i="15"/>
  <c r="H10" i="15" l="1"/>
  <c r="J10" i="15" s="1"/>
  <c r="T14" i="7" s="1"/>
  <c r="H18" i="15"/>
  <c r="J18" i="15" s="1"/>
  <c r="T22" i="7" s="1"/>
  <c r="H14" i="15"/>
  <c r="J14" i="15" s="1"/>
  <c r="T18" i="7" s="1"/>
  <c r="S20" i="7" l="1"/>
  <c r="S18" i="7"/>
  <c r="S16" i="7"/>
  <c r="S15" i="7"/>
  <c r="U41" i="7" l="1"/>
  <c r="V41" i="7"/>
  <c r="V40" i="7"/>
  <c r="U40" i="7"/>
  <c r="F41" i="7"/>
  <c r="F40" i="7"/>
  <c r="G41" i="7"/>
  <c r="G40" i="7"/>
  <c r="F25" i="14" l="1"/>
  <c r="F24" i="14"/>
  <c r="B14" i="14"/>
  <c r="A13" i="14"/>
  <c r="B13" i="14"/>
  <c r="A3" i="14"/>
  <c r="B3" i="14"/>
  <c r="B4" i="14"/>
  <c r="B5" i="14"/>
  <c r="B6" i="14"/>
  <c r="B7" i="14"/>
  <c r="B8" i="14"/>
  <c r="B9" i="14"/>
  <c r="A10" i="14"/>
  <c r="B10" i="14"/>
  <c r="B11" i="14"/>
  <c r="A12" i="14"/>
  <c r="B12" i="14"/>
  <c r="B2" i="14"/>
  <c r="C2" i="14"/>
  <c r="A2" i="14"/>
  <c r="F44" i="12"/>
  <c r="U14" i="7"/>
  <c r="F14" i="7"/>
  <c r="H6" i="13"/>
  <c r="F15" i="7"/>
  <c r="F6" i="13"/>
  <c r="G6" i="13" s="1"/>
  <c r="I6" i="13" s="1"/>
  <c r="U15" i="7" s="1"/>
  <c r="F5" i="13"/>
  <c r="G5" i="13" s="1"/>
  <c r="I5" i="13" s="1"/>
  <c r="F77" i="6"/>
  <c r="C3" i="14" s="1"/>
  <c r="G84" i="12"/>
  <c r="H84" i="12"/>
  <c r="J84" i="12"/>
  <c r="Q25" i="7" s="1"/>
  <c r="B84" i="12"/>
  <c r="R41" i="7"/>
  <c r="R42" i="7"/>
  <c r="R43" i="7"/>
  <c r="R44" i="7"/>
  <c r="R45" i="7"/>
  <c r="R46" i="7"/>
  <c r="R47" i="7"/>
  <c r="R48" i="7"/>
  <c r="R49" i="7"/>
  <c r="R50" i="7"/>
  <c r="R51" i="7"/>
  <c r="R31" i="7"/>
  <c r="R32" i="7"/>
  <c r="R33" i="7"/>
  <c r="R34" i="7"/>
  <c r="R35" i="7"/>
  <c r="R36" i="7"/>
  <c r="R37" i="7"/>
  <c r="R38" i="7"/>
  <c r="R39" i="7"/>
  <c r="R40" i="7"/>
  <c r="E75" i="7"/>
  <c r="I75" i="7"/>
  <c r="R16" i="7"/>
  <c r="R20" i="7"/>
  <c r="R23" i="7"/>
  <c r="R25" i="7"/>
  <c r="C75" i="7" s="1"/>
  <c r="G108" i="12"/>
  <c r="F108" i="12" s="1"/>
  <c r="C25" i="7" s="1"/>
  <c r="J108" i="12"/>
  <c r="B108" i="12"/>
  <c r="B17" i="7"/>
  <c r="B18" i="7"/>
  <c r="B20" i="7"/>
  <c r="B21" i="7"/>
  <c r="B22" i="7"/>
  <c r="B23" i="7"/>
  <c r="B24" i="7"/>
  <c r="B25" i="7"/>
  <c r="B90" i="12"/>
  <c r="B91" i="12"/>
  <c r="B92" i="12"/>
  <c r="B93" i="12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89" i="12"/>
  <c r="B72" i="12"/>
  <c r="J99" i="12"/>
  <c r="J101" i="12"/>
  <c r="R18" i="7" s="1"/>
  <c r="J103" i="12"/>
  <c r="J105" i="12"/>
  <c r="R22" i="7" s="1"/>
  <c r="J106" i="12"/>
  <c r="J107" i="12"/>
  <c r="R24" i="7" s="1"/>
  <c r="F98" i="12"/>
  <c r="C15" i="7" s="1"/>
  <c r="F102" i="12"/>
  <c r="C19" i="7" s="1"/>
  <c r="F106" i="12"/>
  <c r="C23" i="7" s="1"/>
  <c r="H106" i="12"/>
  <c r="H105" i="12"/>
  <c r="J104" i="12" s="1"/>
  <c r="R21" i="7" s="1"/>
  <c r="H104" i="12"/>
  <c r="H103" i="12"/>
  <c r="J102" i="12" s="1"/>
  <c r="R19" i="7" s="1"/>
  <c r="H102" i="12"/>
  <c r="H101" i="12"/>
  <c r="J100" i="12" s="1"/>
  <c r="R17" i="7" s="1"/>
  <c r="H100" i="12"/>
  <c r="H99" i="12"/>
  <c r="J98" i="12" s="1"/>
  <c r="R15" i="7" s="1"/>
  <c r="H98" i="12"/>
  <c r="H97" i="12"/>
  <c r="J96" i="12" s="1"/>
  <c r="R13" i="7" s="1"/>
  <c r="C63" i="7" s="1"/>
  <c r="H96" i="12"/>
  <c r="B56" i="12"/>
  <c r="C56" i="12"/>
  <c r="F56" i="12"/>
  <c r="B58" i="12"/>
  <c r="C58" i="12"/>
  <c r="F58" i="12"/>
  <c r="C59" i="12"/>
  <c r="F59" i="12"/>
  <c r="B45" i="12"/>
  <c r="C45" i="12"/>
  <c r="F45" i="12"/>
  <c r="C46" i="12"/>
  <c r="F46" i="12"/>
  <c r="C47" i="12"/>
  <c r="C48" i="12"/>
  <c r="C49" i="12"/>
  <c r="C50" i="12"/>
  <c r="C51" i="12"/>
  <c r="B53" i="12"/>
  <c r="C53" i="12"/>
  <c r="C54" i="12"/>
  <c r="C44" i="12"/>
  <c r="D44" i="12"/>
  <c r="B44" i="12"/>
  <c r="F89" i="12"/>
  <c r="F90" i="12"/>
  <c r="F91" i="12"/>
  <c r="F92" i="12"/>
  <c r="F93" i="12"/>
  <c r="F94" i="12"/>
  <c r="F95" i="12"/>
  <c r="G107" i="12"/>
  <c r="F107" i="12" s="1"/>
  <c r="C24" i="7" s="1"/>
  <c r="G106" i="12"/>
  <c r="G105" i="12"/>
  <c r="G104" i="12"/>
  <c r="F104" i="12" s="1"/>
  <c r="C21" i="7" s="1"/>
  <c r="G103" i="12"/>
  <c r="G102" i="12"/>
  <c r="G101" i="12"/>
  <c r="G100" i="12"/>
  <c r="F100" i="12" s="1"/>
  <c r="C17" i="7" s="1"/>
  <c r="G99" i="12"/>
  <c r="G98" i="12"/>
  <c r="G97" i="12"/>
  <c r="G96" i="12"/>
  <c r="F96" i="12" s="1"/>
  <c r="C13" i="7" s="1"/>
  <c r="G95" i="12"/>
  <c r="G94" i="12"/>
  <c r="G93" i="12"/>
  <c r="G92" i="12"/>
  <c r="G91" i="12"/>
  <c r="G90" i="12"/>
  <c r="G89" i="12"/>
  <c r="G88" i="12"/>
  <c r="G83" i="12"/>
  <c r="H83" i="12" s="1"/>
  <c r="G81" i="12"/>
  <c r="H81" i="12" s="1"/>
  <c r="G82" i="12"/>
  <c r="H82" i="12" s="1"/>
  <c r="B73" i="12"/>
  <c r="B74" i="12" s="1"/>
  <c r="G76" i="12"/>
  <c r="G77" i="12"/>
  <c r="H77" i="12" s="1"/>
  <c r="G78" i="12"/>
  <c r="G79" i="12"/>
  <c r="H79" i="12" s="1"/>
  <c r="G80" i="12"/>
  <c r="H80" i="12" s="1"/>
  <c r="G72" i="12"/>
  <c r="G73" i="12"/>
  <c r="G74" i="12"/>
  <c r="G75" i="12"/>
  <c r="Q29" i="7"/>
  <c r="B29" i="7"/>
  <c r="D45" i="12" l="1"/>
  <c r="F105" i="12"/>
  <c r="C22" i="7" s="1"/>
  <c r="F101" i="12"/>
  <c r="C18" i="7" s="1"/>
  <c r="F97" i="12"/>
  <c r="C14" i="7" s="1"/>
  <c r="F103" i="12"/>
  <c r="C20" i="7" s="1"/>
  <c r="F99" i="12"/>
  <c r="C16" i="7" s="1"/>
  <c r="H92" i="12"/>
  <c r="J92" i="12" s="1"/>
  <c r="R9" i="7" s="1"/>
  <c r="B75" i="12"/>
  <c r="H93" i="12"/>
  <c r="J93" i="12" s="1"/>
  <c r="R10" i="7" s="1"/>
  <c r="H94" i="12"/>
  <c r="J94" i="12" s="1"/>
  <c r="R11" i="7" s="1"/>
  <c r="H90" i="12"/>
  <c r="J90" i="12" s="1"/>
  <c r="R7" i="7" s="1"/>
  <c r="H89" i="12"/>
  <c r="J89" i="12" s="1"/>
  <c r="R6" i="7" s="1"/>
  <c r="H95" i="12"/>
  <c r="J95" i="12" s="1"/>
  <c r="R12" i="7" s="1"/>
  <c r="H91" i="12"/>
  <c r="J91" i="12" s="1"/>
  <c r="R8" i="7" s="1"/>
  <c r="B76" i="12" l="1"/>
  <c r="J97" i="12"/>
  <c r="R14" i="7" s="1"/>
  <c r="C64" i="7" s="1"/>
  <c r="B77" i="12" l="1"/>
  <c r="B78" i="12" l="1"/>
  <c r="B79" i="12" l="1"/>
  <c r="H76" i="12"/>
  <c r="J76" i="12" s="1"/>
  <c r="Q17" i="7" s="1"/>
  <c r="B80" i="12" l="1"/>
  <c r="J77" i="12"/>
  <c r="Q18" i="7" s="1"/>
  <c r="B81" i="12" l="1"/>
  <c r="B82" i="12" l="1"/>
  <c r="B83" i="12" s="1"/>
  <c r="J79" i="12"/>
  <c r="Q20" i="7" s="1"/>
  <c r="J80" i="12" l="1"/>
  <c r="Q21" i="7" s="1"/>
  <c r="J81" i="12" l="1"/>
  <c r="Q22" i="7" s="1"/>
  <c r="J82" i="12" l="1"/>
  <c r="Q23" i="7" s="1"/>
  <c r="J83" i="12"/>
  <c r="Q24" i="7" s="1"/>
  <c r="H25" i="12"/>
  <c r="H26" i="12"/>
  <c r="E27" i="12"/>
  <c r="K64" i="5"/>
  <c r="H64" i="5"/>
  <c r="H63" i="5"/>
  <c r="Y6" i="7"/>
  <c r="Y10" i="7"/>
  <c r="Y11" i="7"/>
  <c r="Y18" i="7"/>
  <c r="Y19" i="7"/>
  <c r="Y22" i="7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H77" i="5" s="1"/>
  <c r="K77" i="5" s="1"/>
  <c r="F78" i="5"/>
  <c r="H78" i="5" s="1"/>
  <c r="K78" i="5" s="1"/>
  <c r="Y20" i="7" s="1"/>
  <c r="F79" i="5"/>
  <c r="F80" i="5"/>
  <c r="F81" i="5"/>
  <c r="F82" i="5"/>
  <c r="F83" i="5"/>
  <c r="F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63" i="5"/>
  <c r="H70" i="5"/>
  <c r="K70" i="5" s="1"/>
  <c r="Y12" i="7" s="1"/>
  <c r="P5" i="5"/>
  <c r="S5" i="5"/>
  <c r="X6" i="5"/>
  <c r="W6" i="5"/>
  <c r="F7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63" i="5"/>
  <c r="H68" i="5"/>
  <c r="K68" i="5" s="1"/>
  <c r="H69" i="5"/>
  <c r="K69" i="5" s="1"/>
  <c r="H72" i="5"/>
  <c r="K72" i="5" s="1"/>
  <c r="Y14" i="7" s="1"/>
  <c r="H76" i="5"/>
  <c r="K76" i="5" s="1"/>
  <c r="H80" i="5"/>
  <c r="K80" i="5" s="1"/>
  <c r="W7" i="5"/>
  <c r="L60" i="1"/>
  <c r="F60" i="1"/>
  <c r="H83" i="5" l="1"/>
  <c r="K83" i="5" s="1"/>
  <c r="Y25" i="7" s="1"/>
  <c r="J75" i="7" s="1"/>
  <c r="H75" i="5"/>
  <c r="K75" i="5" s="1"/>
  <c r="Y17" i="7" s="1"/>
  <c r="H67" i="5"/>
  <c r="K67" i="5" s="1"/>
  <c r="Y9" i="7" s="1"/>
  <c r="H79" i="5"/>
  <c r="K79" i="5" s="1"/>
  <c r="Y21" i="7" s="1"/>
  <c r="H71" i="5"/>
  <c r="K71" i="5" s="1"/>
  <c r="Y13" i="7" s="1"/>
  <c r="K63" i="5"/>
  <c r="Y5" i="7" s="1"/>
  <c r="H82" i="5"/>
  <c r="K82" i="5" s="1"/>
  <c r="Y24" i="7" s="1"/>
  <c r="H74" i="5"/>
  <c r="K74" i="5" s="1"/>
  <c r="Y16" i="7" s="1"/>
  <c r="H66" i="5"/>
  <c r="K66" i="5" s="1"/>
  <c r="Y8" i="7" s="1"/>
  <c r="H81" i="5"/>
  <c r="K81" i="5" s="1"/>
  <c r="Y23" i="7" s="1"/>
  <c r="H73" i="5"/>
  <c r="K73" i="5" s="1"/>
  <c r="Y15" i="7" s="1"/>
  <c r="H65" i="5"/>
  <c r="K65" i="5" s="1"/>
  <c r="Y7" i="7" s="1"/>
  <c r="M82" i="10" l="1"/>
  <c r="M84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81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57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57" i="10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C29" i="7"/>
  <c r="D29" i="7"/>
  <c r="E29" i="7"/>
  <c r="H29" i="7"/>
  <c r="I29" i="7"/>
  <c r="J29" i="7"/>
  <c r="K29" i="7"/>
  <c r="L29" i="7"/>
  <c r="M29" i="7"/>
  <c r="N29" i="7"/>
  <c r="O29" i="7"/>
  <c r="N4" i="11"/>
  <c r="L3" i="11"/>
  <c r="N3" i="11" s="1"/>
  <c r="P3" i="11" s="1"/>
  <c r="I33" i="12" l="1"/>
  <c r="Q32" i="7" s="1"/>
  <c r="B32" i="7" s="1"/>
  <c r="I34" i="12"/>
  <c r="Q33" i="7" s="1"/>
  <c r="B33" i="7" s="1"/>
  <c r="I35" i="12"/>
  <c r="Q34" i="7" s="1"/>
  <c r="B34" i="7" s="1"/>
  <c r="I36" i="12"/>
  <c r="Q35" i="7" s="1"/>
  <c r="B35" i="7" s="1"/>
  <c r="I38" i="12"/>
  <c r="Q37" i="7" s="1"/>
  <c r="B37" i="7" s="1"/>
  <c r="I39" i="12"/>
  <c r="Q38" i="7" s="1"/>
  <c r="B38" i="7" s="1"/>
  <c r="I32" i="12"/>
  <c r="Q31" i="7" s="1"/>
  <c r="B31" i="7" l="1"/>
  <c r="C39" i="12"/>
  <c r="B71" i="12"/>
  <c r="G70" i="12"/>
  <c r="G71" i="12"/>
  <c r="H23" i="12" l="1"/>
  <c r="H24" i="12"/>
  <c r="H22" i="12"/>
  <c r="H6" i="12"/>
  <c r="H7" i="12"/>
  <c r="H8" i="12"/>
  <c r="H9" i="12"/>
  <c r="C32" i="12"/>
  <c r="E32" i="12" s="1"/>
  <c r="E39" i="12"/>
  <c r="G65" i="12"/>
  <c r="G66" i="12"/>
  <c r="G67" i="12"/>
  <c r="G68" i="12"/>
  <c r="G69" i="12"/>
  <c r="B64" i="12"/>
  <c r="G64" i="12"/>
  <c r="N32" i="7"/>
  <c r="N33" i="7"/>
  <c r="E34" i="12"/>
  <c r="N37" i="7"/>
  <c r="N35" i="7"/>
  <c r="N34" i="7"/>
  <c r="N31" i="7"/>
  <c r="C38" i="12"/>
  <c r="E38" i="12" s="1"/>
  <c r="F64" i="12" l="1"/>
  <c r="B5" i="7" s="1"/>
  <c r="F71" i="12"/>
  <c r="F70" i="12"/>
  <c r="F66" i="12"/>
  <c r="G37" i="12"/>
  <c r="C37" i="12"/>
  <c r="E37" i="12" s="1"/>
  <c r="C36" i="12"/>
  <c r="E36" i="12" s="1"/>
  <c r="C35" i="12"/>
  <c r="E35" i="12" s="1"/>
  <c r="C33" i="12"/>
  <c r="E33" i="12" s="1"/>
  <c r="B33" i="12"/>
  <c r="E28" i="12"/>
  <c r="E29" i="12" s="1"/>
  <c r="B48" i="7" l="1"/>
  <c r="B47" i="7"/>
  <c r="B43" i="7"/>
  <c r="B46" i="7"/>
  <c r="B49" i="7"/>
  <c r="B51" i="7"/>
  <c r="B44" i="7"/>
  <c r="B50" i="7"/>
  <c r="H71" i="12"/>
  <c r="J71" i="12" s="1"/>
  <c r="B12" i="7"/>
  <c r="H66" i="12"/>
  <c r="J66" i="12" s="1"/>
  <c r="K34" i="12" s="1"/>
  <c r="B7" i="7"/>
  <c r="H70" i="12"/>
  <c r="J70" i="12" s="1"/>
  <c r="Q11" i="7" s="1"/>
  <c r="B11" i="7"/>
  <c r="I37" i="12"/>
  <c r="Q36" i="7" s="1"/>
  <c r="B36" i="7" s="1"/>
  <c r="Q12" i="7"/>
  <c r="K39" i="12"/>
  <c r="E42" i="12"/>
  <c r="H64" i="12"/>
  <c r="J64" i="12" s="1"/>
  <c r="F67" i="12"/>
  <c r="B34" i="12"/>
  <c r="B65" i="12"/>
  <c r="F69" i="12"/>
  <c r="F65" i="12"/>
  <c r="F68" i="12"/>
  <c r="Q7" i="7" l="1"/>
  <c r="H65" i="12"/>
  <c r="J65" i="12" s="1"/>
  <c r="Q6" i="7" s="1"/>
  <c r="B6" i="7"/>
  <c r="H67" i="12"/>
  <c r="J67" i="12" s="1"/>
  <c r="Q8" i="7" s="1"/>
  <c r="B8" i="7"/>
  <c r="H69" i="12"/>
  <c r="J69" i="12" s="1"/>
  <c r="B10" i="7"/>
  <c r="H68" i="12"/>
  <c r="J68" i="12" s="1"/>
  <c r="Q9" i="7" s="1"/>
  <c r="B9" i="7"/>
  <c r="B62" i="7"/>
  <c r="K32" i="12"/>
  <c r="Q5" i="7"/>
  <c r="N36" i="7"/>
  <c r="K37" i="12"/>
  <c r="Q10" i="7"/>
  <c r="K38" i="12"/>
  <c r="B61" i="7" s="1"/>
  <c r="B35" i="12"/>
  <c r="B66" i="12"/>
  <c r="H38" i="7"/>
  <c r="B55" i="7" l="1"/>
  <c r="K33" i="12"/>
  <c r="B56" i="7" s="1"/>
  <c r="K36" i="12"/>
  <c r="K35" i="12"/>
  <c r="B60" i="7"/>
  <c r="B58" i="7"/>
  <c r="B59" i="7"/>
  <c r="B36" i="12"/>
  <c r="B67" i="12"/>
  <c r="AM31" i="7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U29" i="7"/>
  <c r="AQ31" i="7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O31" i="7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M29" i="7"/>
  <c r="AK31" i="7"/>
  <c r="AK32" i="7" s="1"/>
  <c r="AK33" i="7" s="1"/>
  <c r="AK34" i="7" s="1"/>
  <c r="AK35" i="7" s="1"/>
  <c r="AK36" i="7" s="1"/>
  <c r="AK37" i="7" s="1"/>
  <c r="AK38" i="7" s="1"/>
  <c r="AK39" i="7" s="1"/>
  <c r="AK40" i="7" s="1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G31" i="7"/>
  <c r="AG32" i="7" s="1"/>
  <c r="AG33" i="7" s="1"/>
  <c r="AG34" i="7" s="1"/>
  <c r="AG35" i="7" s="1"/>
  <c r="AG36" i="7" s="1"/>
  <c r="AG37" i="7" s="1"/>
  <c r="AG38" i="7" s="1"/>
  <c r="AS29" i="7"/>
  <c r="AQ29" i="7"/>
  <c r="AO29" i="7"/>
  <c r="AK29" i="7"/>
  <c r="AI29" i="7"/>
  <c r="AG29" i="7"/>
  <c r="AF31" i="7"/>
  <c r="B37" i="12" l="1"/>
  <c r="B68" i="12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30" i="10"/>
  <c r="B38" i="12" l="1"/>
  <c r="B70" i="12" s="1"/>
  <c r="B69" i="12"/>
  <c r="AE12" i="10"/>
  <c r="AE11" i="10"/>
  <c r="AE10" i="10"/>
  <c r="AB3" i="10"/>
  <c r="AC3" i="10"/>
  <c r="AD3" i="10"/>
  <c r="AB5" i="10"/>
  <c r="AC5" i="10"/>
  <c r="AD5" i="10"/>
  <c r="AB6" i="10"/>
  <c r="AC6" i="10"/>
  <c r="AD6" i="10"/>
  <c r="AB8" i="10"/>
  <c r="AC8" i="10"/>
  <c r="AD8" i="10"/>
  <c r="C4" i="10"/>
  <c r="C5" i="10"/>
  <c r="E5" i="10"/>
  <c r="F5" i="10"/>
  <c r="G5" i="10"/>
  <c r="H5" i="10"/>
  <c r="I5" i="10"/>
  <c r="J5" i="10"/>
  <c r="K5" i="10"/>
  <c r="L5" i="10"/>
  <c r="M5" i="10"/>
  <c r="N5" i="10"/>
  <c r="O5" i="10"/>
  <c r="U5" i="10"/>
  <c r="V5" i="10"/>
  <c r="W5" i="10"/>
  <c r="X5" i="10"/>
  <c r="Y5" i="10"/>
  <c r="Z5" i="10"/>
  <c r="AA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T6" i="10"/>
  <c r="U6" i="10"/>
  <c r="V6" i="10"/>
  <c r="W6" i="10"/>
  <c r="X6" i="10"/>
  <c r="Y6" i="10"/>
  <c r="Z6" i="10"/>
  <c r="AA6" i="10"/>
  <c r="C7" i="10"/>
  <c r="C8" i="10"/>
  <c r="E8" i="10"/>
  <c r="F8" i="10"/>
  <c r="G8" i="10"/>
  <c r="H8" i="10"/>
  <c r="I8" i="10"/>
  <c r="J8" i="10"/>
  <c r="K8" i="10"/>
  <c r="L8" i="10"/>
  <c r="M8" i="10"/>
  <c r="N8" i="10"/>
  <c r="O8" i="10"/>
  <c r="U8" i="10"/>
  <c r="V8" i="10"/>
  <c r="W8" i="10"/>
  <c r="X8" i="10"/>
  <c r="Y8" i="10"/>
  <c r="Z8" i="10"/>
  <c r="AA8" i="10"/>
  <c r="B3" i="10"/>
  <c r="C3" i="10"/>
  <c r="D3" i="10"/>
  <c r="E3" i="10"/>
  <c r="E10" i="10" s="1"/>
  <c r="F3" i="10"/>
  <c r="F10" i="10" s="1"/>
  <c r="G3" i="10"/>
  <c r="G10" i="10" s="1"/>
  <c r="H3" i="10"/>
  <c r="H10" i="10" s="1"/>
  <c r="I3" i="10"/>
  <c r="I10" i="10" s="1"/>
  <c r="J3" i="10"/>
  <c r="J10" i="10" s="1"/>
  <c r="K3" i="10"/>
  <c r="K10" i="10" s="1"/>
  <c r="L3" i="10"/>
  <c r="L10" i="10" s="1"/>
  <c r="M3" i="10"/>
  <c r="M10" i="10" s="1"/>
  <c r="N3" i="10"/>
  <c r="N10" i="10" s="1"/>
  <c r="O3" i="10"/>
  <c r="O10" i="10" s="1"/>
  <c r="Q3" i="10"/>
  <c r="R3" i="10"/>
  <c r="T3" i="10"/>
  <c r="U3" i="10"/>
  <c r="U10" i="10" s="1"/>
  <c r="V3" i="10"/>
  <c r="V10" i="10" s="1"/>
  <c r="W3" i="10"/>
  <c r="W10" i="10" s="1"/>
  <c r="X3" i="10"/>
  <c r="X10" i="10" s="1"/>
  <c r="Y3" i="10"/>
  <c r="Y10" i="10" s="1"/>
  <c r="Z3" i="10"/>
  <c r="Z10" i="10" s="1"/>
  <c r="AA3" i="10"/>
  <c r="AA10" i="10" s="1"/>
  <c r="A3" i="10"/>
  <c r="V51" i="1"/>
  <c r="W51" i="1"/>
  <c r="X51" i="1"/>
  <c r="Y51" i="1"/>
  <c r="Z51" i="1"/>
  <c r="AA51" i="1"/>
  <c r="AB51" i="1"/>
  <c r="AC51" i="1"/>
  <c r="AD51" i="1"/>
  <c r="U51" i="1"/>
  <c r="S53" i="1"/>
  <c r="S52" i="1"/>
  <c r="S51" i="1"/>
  <c r="F51" i="1"/>
  <c r="G51" i="1"/>
  <c r="H51" i="1"/>
  <c r="I51" i="1"/>
  <c r="J51" i="1"/>
  <c r="K51" i="1"/>
  <c r="L51" i="1"/>
  <c r="M51" i="1"/>
  <c r="N51" i="1"/>
  <c r="O51" i="1"/>
  <c r="E51" i="1"/>
  <c r="AD10" i="10" l="1"/>
  <c r="M12" i="10"/>
  <c r="I12" i="10"/>
  <c r="E12" i="10"/>
  <c r="AB10" i="10"/>
  <c r="Y12" i="10"/>
  <c r="U12" i="10"/>
  <c r="L12" i="10"/>
  <c r="H12" i="10"/>
  <c r="X12" i="10"/>
  <c r="O12" i="10"/>
  <c r="K12" i="10"/>
  <c r="G12" i="10"/>
  <c r="AC12" i="10"/>
  <c r="Z12" i="10"/>
  <c r="V12" i="10"/>
  <c r="AA12" i="10"/>
  <c r="W12" i="10"/>
  <c r="N12" i="10"/>
  <c r="J12" i="10"/>
  <c r="F12" i="10"/>
  <c r="AD12" i="10"/>
  <c r="AC10" i="10"/>
  <c r="AB12" i="10"/>
  <c r="J64" i="2"/>
  <c r="P4" i="11" l="1"/>
  <c r="E4" i="11" l="1"/>
  <c r="N7" i="11"/>
  <c r="N6" i="11"/>
  <c r="N5" i="11"/>
  <c r="G30" i="1"/>
  <c r="A55" i="7"/>
  <c r="P6" i="11" l="1"/>
  <c r="E6" i="11" s="1"/>
  <c r="P7" i="11"/>
  <c r="E7" i="11" s="1"/>
  <c r="P5" i="11"/>
  <c r="E5" i="11" s="1"/>
  <c r="Y31" i="7"/>
  <c r="AT31" i="7" s="1"/>
  <c r="AA31" i="7"/>
  <c r="AB31" i="7"/>
  <c r="Y32" i="7"/>
  <c r="AB32" i="7"/>
  <c r="Y33" i="7"/>
  <c r="AA33" i="7"/>
  <c r="AB33" i="7"/>
  <c r="Y34" i="7"/>
  <c r="AA34" i="7"/>
  <c r="AB34" i="7"/>
  <c r="Y35" i="7"/>
  <c r="AA35" i="7"/>
  <c r="AB35" i="7"/>
  <c r="Y36" i="7"/>
  <c r="AA36" i="7"/>
  <c r="AB36" i="7"/>
  <c r="Y37" i="7"/>
  <c r="AA37" i="7"/>
  <c r="AB37" i="7"/>
  <c r="Y38" i="7"/>
  <c r="AA38" i="7"/>
  <c r="AB38" i="7"/>
  <c r="Y39" i="7"/>
  <c r="AA39" i="7"/>
  <c r="AB39" i="7"/>
  <c r="Y40" i="7"/>
  <c r="AA40" i="7"/>
  <c r="AB40" i="7"/>
  <c r="Y41" i="7"/>
  <c r="AA41" i="7"/>
  <c r="AB41" i="7"/>
  <c r="Y42" i="7"/>
  <c r="AA42" i="7"/>
  <c r="AB42" i="7"/>
  <c r="Y43" i="7"/>
  <c r="AA43" i="7"/>
  <c r="AB43" i="7"/>
  <c r="Y44" i="7"/>
  <c r="AA44" i="7"/>
  <c r="AB44" i="7"/>
  <c r="Y45" i="7"/>
  <c r="AA45" i="7"/>
  <c r="AB45" i="7"/>
  <c r="Y46" i="7"/>
  <c r="AA46" i="7"/>
  <c r="AB46" i="7"/>
  <c r="Y47" i="7"/>
  <c r="AA47" i="7"/>
  <c r="AB47" i="7"/>
  <c r="Y48" i="7"/>
  <c r="AA48" i="7"/>
  <c r="AB48" i="7"/>
  <c r="Y49" i="7"/>
  <c r="AA49" i="7"/>
  <c r="AB49" i="7"/>
  <c r="Y50" i="7"/>
  <c r="AA50" i="7"/>
  <c r="AB50" i="7"/>
  <c r="Y51" i="7"/>
  <c r="AA51" i="7"/>
  <c r="AB51" i="7"/>
  <c r="X32" i="7"/>
  <c r="X33" i="7"/>
  <c r="X34" i="7"/>
  <c r="X35" i="7"/>
  <c r="X36" i="7"/>
  <c r="X37" i="7"/>
  <c r="I61" i="7" s="1"/>
  <c r="X38" i="7"/>
  <c r="I62" i="7" s="1"/>
  <c r="X39" i="7"/>
  <c r="I63" i="7" s="1"/>
  <c r="X40" i="7"/>
  <c r="I64" i="7" s="1"/>
  <c r="X41" i="7"/>
  <c r="I65" i="7" s="1"/>
  <c r="X42" i="7"/>
  <c r="I66" i="7" s="1"/>
  <c r="X43" i="7"/>
  <c r="I67" i="7" s="1"/>
  <c r="X44" i="7"/>
  <c r="I68" i="7" s="1"/>
  <c r="X45" i="7"/>
  <c r="I69" i="7" s="1"/>
  <c r="X46" i="7"/>
  <c r="I70" i="7" s="1"/>
  <c r="X47" i="7"/>
  <c r="I71" i="7" s="1"/>
  <c r="X48" i="7"/>
  <c r="I72" i="7" s="1"/>
  <c r="X49" i="7"/>
  <c r="I73" i="7" s="1"/>
  <c r="X50" i="7"/>
  <c r="I74" i="7" s="1"/>
  <c r="X51" i="7"/>
  <c r="X31" i="7"/>
  <c r="S32" i="7"/>
  <c r="T32" i="7"/>
  <c r="W32" i="7"/>
  <c r="S33" i="7"/>
  <c r="T33" i="7"/>
  <c r="W33" i="7"/>
  <c r="S34" i="7"/>
  <c r="T34" i="7"/>
  <c r="W34" i="7"/>
  <c r="S35" i="7"/>
  <c r="T35" i="7"/>
  <c r="W35" i="7"/>
  <c r="S36" i="7"/>
  <c r="T36" i="7"/>
  <c r="W36" i="7"/>
  <c r="S37" i="7"/>
  <c r="T37" i="7"/>
  <c r="W37" i="7"/>
  <c r="H61" i="7" s="1"/>
  <c r="S38" i="7"/>
  <c r="T38" i="7"/>
  <c r="E62" i="7" s="1"/>
  <c r="W38" i="7"/>
  <c r="S39" i="7"/>
  <c r="T39" i="7"/>
  <c r="W39" i="7"/>
  <c r="S40" i="7"/>
  <c r="T40" i="7"/>
  <c r="E64" i="7" s="1"/>
  <c r="W40" i="7"/>
  <c r="C65" i="7"/>
  <c r="S41" i="7"/>
  <c r="T41" i="7"/>
  <c r="E65" i="7" s="1"/>
  <c r="W41" i="7"/>
  <c r="C66" i="7"/>
  <c r="S42" i="7"/>
  <c r="T42" i="7"/>
  <c r="E66" i="7" s="1"/>
  <c r="W42" i="7"/>
  <c r="Q43" i="7"/>
  <c r="C67" i="7"/>
  <c r="S43" i="7"/>
  <c r="T43" i="7"/>
  <c r="E67" i="7" s="1"/>
  <c r="W43" i="7"/>
  <c r="Q44" i="7"/>
  <c r="C68" i="7"/>
  <c r="S44" i="7"/>
  <c r="T44" i="7"/>
  <c r="E68" i="7" s="1"/>
  <c r="W44" i="7"/>
  <c r="C69" i="7"/>
  <c r="S45" i="7"/>
  <c r="T45" i="7"/>
  <c r="E69" i="7" s="1"/>
  <c r="W45" i="7"/>
  <c r="Q46" i="7"/>
  <c r="C70" i="7"/>
  <c r="S46" i="7"/>
  <c r="T46" i="7"/>
  <c r="E70" i="7" s="1"/>
  <c r="W46" i="7"/>
  <c r="Q47" i="7"/>
  <c r="C71" i="7"/>
  <c r="S47" i="7"/>
  <c r="T47" i="7"/>
  <c r="E71" i="7" s="1"/>
  <c r="W47" i="7"/>
  <c r="Q48" i="7"/>
  <c r="C72" i="7"/>
  <c r="S48" i="7"/>
  <c r="T48" i="7"/>
  <c r="E72" i="7" s="1"/>
  <c r="W48" i="7"/>
  <c r="Q49" i="7"/>
  <c r="C73" i="7"/>
  <c r="S49" i="7"/>
  <c r="T49" i="7"/>
  <c r="E73" i="7" s="1"/>
  <c r="W49" i="7"/>
  <c r="Q50" i="7"/>
  <c r="C74" i="7"/>
  <c r="S50" i="7"/>
  <c r="T50" i="7"/>
  <c r="E74" i="7" s="1"/>
  <c r="W50" i="7"/>
  <c r="Q51" i="7"/>
  <c r="S51" i="7"/>
  <c r="T51" i="7"/>
  <c r="W51" i="7"/>
  <c r="S31" i="7"/>
  <c r="T31" i="7"/>
  <c r="AN31" i="7" s="1"/>
  <c r="W31" i="7"/>
  <c r="O30" i="1"/>
  <c r="N30" i="1"/>
  <c r="M30" i="1"/>
  <c r="L30" i="1"/>
  <c r="K30" i="1"/>
  <c r="J30" i="1"/>
  <c r="I30" i="1"/>
  <c r="H30" i="1"/>
  <c r="B54" i="7"/>
  <c r="C54" i="7"/>
  <c r="D54" i="7"/>
  <c r="E54" i="7"/>
  <c r="H54" i="7"/>
  <c r="I54" i="7"/>
  <c r="J54" i="7"/>
  <c r="K54" i="7"/>
  <c r="L54" i="7"/>
  <c r="M54" i="7"/>
  <c r="A28" i="7"/>
  <c r="A50" i="7"/>
  <c r="A75" i="7" s="1"/>
  <c r="A51" i="7"/>
  <c r="A7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31" i="7"/>
  <c r="A56" i="7" s="1"/>
  <c r="S12" i="1"/>
  <c r="AL31" i="7" l="1"/>
  <c r="C59" i="7"/>
  <c r="C61" i="7"/>
  <c r="C57" i="7"/>
  <c r="C56" i="7"/>
  <c r="AT32" i="7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L32" i="7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N32" i="7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M52" i="7" s="1"/>
  <c r="AH31" i="7"/>
  <c r="H56" i="7"/>
  <c r="I58" i="7"/>
  <c r="Z51" i="7"/>
  <c r="AC51" i="7" s="1"/>
  <c r="Z47" i="7"/>
  <c r="AC47" i="7" s="1"/>
  <c r="Z43" i="7"/>
  <c r="AC43" i="7" s="1"/>
  <c r="Z39" i="7"/>
  <c r="Z35" i="7"/>
  <c r="AC35" i="7" s="1"/>
  <c r="Z31" i="7"/>
  <c r="AV31" i="7" s="1"/>
  <c r="I57" i="7"/>
  <c r="Z48" i="7"/>
  <c r="AC48" i="7" s="1"/>
  <c r="Z44" i="7"/>
  <c r="AC44" i="7" s="1"/>
  <c r="Z40" i="7"/>
  <c r="Z36" i="7"/>
  <c r="AC36" i="7" s="1"/>
  <c r="Z32" i="7"/>
  <c r="AC32" i="7" s="1"/>
  <c r="H59" i="7"/>
  <c r="H57" i="7"/>
  <c r="I55" i="7"/>
  <c r="AR31" i="7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Q52" i="7" s="1"/>
  <c r="I60" i="7"/>
  <c r="I56" i="7"/>
  <c r="Z49" i="7"/>
  <c r="AC49" i="7" s="1"/>
  <c r="Z45" i="7"/>
  <c r="Z41" i="7"/>
  <c r="Z37" i="7"/>
  <c r="AC37" i="7" s="1"/>
  <c r="Z33" i="7"/>
  <c r="AC33" i="7" s="1"/>
  <c r="I59" i="7"/>
  <c r="Z50" i="7"/>
  <c r="AC50" i="7" s="1"/>
  <c r="Z46" i="7"/>
  <c r="AC46" i="7" s="1"/>
  <c r="Z42" i="7"/>
  <c r="Z38" i="7"/>
  <c r="AC38" i="7" s="1"/>
  <c r="Z34" i="7"/>
  <c r="AC34" i="7" s="1"/>
  <c r="H62" i="7"/>
  <c r="H55" i="7"/>
  <c r="AP31" i="7"/>
  <c r="AP32" i="7" s="1"/>
  <c r="AP33" i="7" s="1"/>
  <c r="AP34" i="7" s="1"/>
  <c r="AP35" i="7" s="1"/>
  <c r="AP36" i="7" s="1"/>
  <c r="AP37" i="7" s="1"/>
  <c r="AP38" i="7" s="1"/>
  <c r="AJ31" i="7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B29" i="7"/>
  <c r="A53" i="7"/>
  <c r="A79" i="7"/>
  <c r="X29" i="7"/>
  <c r="W29" i="7"/>
  <c r="R29" i="7"/>
  <c r="AA29" i="7"/>
  <c r="T29" i="7"/>
  <c r="Y29" i="7"/>
  <c r="AC31" i="7" l="1"/>
  <c r="AX31" i="7"/>
  <c r="AV32" i="7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AV51" i="7" s="1"/>
  <c r="AH32" i="7"/>
  <c r="AP39" i="7"/>
  <c r="AX32" i="7" l="1"/>
  <c r="AH33" i="7"/>
  <c r="AP40" i="7"/>
  <c r="AX33" i="7" l="1"/>
  <c r="AH34" i="7"/>
  <c r="AP41" i="7"/>
  <c r="F7" i="10"/>
  <c r="G60" i="1"/>
  <c r="G7" i="10" s="1"/>
  <c r="H60" i="1"/>
  <c r="H7" i="10" s="1"/>
  <c r="I60" i="1"/>
  <c r="I7" i="10" s="1"/>
  <c r="J60" i="1"/>
  <c r="J7" i="10" s="1"/>
  <c r="K60" i="1"/>
  <c r="K7" i="10" s="1"/>
  <c r="L7" i="10"/>
  <c r="M60" i="1"/>
  <c r="M7" i="10" s="1"/>
  <c r="N60" i="1"/>
  <c r="N7" i="10" s="1"/>
  <c r="O60" i="1"/>
  <c r="O7" i="10" s="1"/>
  <c r="F4" i="10"/>
  <c r="G57" i="1"/>
  <c r="H57" i="1"/>
  <c r="I57" i="1"/>
  <c r="J57" i="1"/>
  <c r="K57" i="1"/>
  <c r="L57" i="1"/>
  <c r="M57" i="1"/>
  <c r="N57" i="1"/>
  <c r="O57" i="1"/>
  <c r="AD57" i="1"/>
  <c r="AC57" i="1"/>
  <c r="AB57" i="1"/>
  <c r="AA57" i="1"/>
  <c r="Z57" i="1"/>
  <c r="Y57" i="1"/>
  <c r="X57" i="1"/>
  <c r="W57" i="1"/>
  <c r="V57" i="1"/>
  <c r="U57" i="1"/>
  <c r="AD60" i="1"/>
  <c r="AD7" i="10" s="1"/>
  <c r="AC60" i="1"/>
  <c r="AC7" i="10" s="1"/>
  <c r="AB60" i="1"/>
  <c r="AB7" i="10" s="1"/>
  <c r="AA60" i="1"/>
  <c r="AA7" i="10" s="1"/>
  <c r="Z60" i="1"/>
  <c r="Z7" i="10" s="1"/>
  <c r="Y60" i="1"/>
  <c r="Y7" i="10" s="1"/>
  <c r="X60" i="1"/>
  <c r="X7" i="10" s="1"/>
  <c r="W60" i="1"/>
  <c r="W7" i="10" s="1"/>
  <c r="V60" i="1"/>
  <c r="V7" i="10" s="1"/>
  <c r="U60" i="1"/>
  <c r="U7" i="10" s="1"/>
  <c r="E60" i="1"/>
  <c r="E7" i="10" s="1"/>
  <c r="L82" i="10"/>
  <c r="M6" i="7" s="1"/>
  <c r="L83" i="10"/>
  <c r="M7" i="7" s="1"/>
  <c r="L84" i="10"/>
  <c r="L85" i="10"/>
  <c r="L86" i="10"/>
  <c r="M10" i="7" s="1"/>
  <c r="L87" i="10"/>
  <c r="M11" i="7" s="1"/>
  <c r="L88" i="10"/>
  <c r="L89" i="10"/>
  <c r="L90" i="10"/>
  <c r="M14" i="7" s="1"/>
  <c r="L91" i="10"/>
  <c r="M15" i="7" s="1"/>
  <c r="L92" i="10"/>
  <c r="L93" i="10"/>
  <c r="L94" i="10"/>
  <c r="M18" i="7" s="1"/>
  <c r="L95" i="10"/>
  <c r="L96" i="10"/>
  <c r="L97" i="10"/>
  <c r="L98" i="10"/>
  <c r="M22" i="7" s="1"/>
  <c r="L99" i="10"/>
  <c r="M23" i="7" s="1"/>
  <c r="L100" i="10"/>
  <c r="L101" i="10"/>
  <c r="L81" i="10"/>
  <c r="G83" i="10"/>
  <c r="G89" i="10"/>
  <c r="G91" i="10"/>
  <c r="G99" i="10"/>
  <c r="G101" i="10"/>
  <c r="B83" i="10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A82" i="10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G67" i="10"/>
  <c r="L69" i="10"/>
  <c r="L17" i="7" s="1"/>
  <c r="L71" i="10"/>
  <c r="L19" i="7" s="1"/>
  <c r="G75" i="10"/>
  <c r="E39" i="10"/>
  <c r="L66" i="10" s="1"/>
  <c r="L14" i="7" s="1"/>
  <c r="E40" i="10"/>
  <c r="L67" i="10" s="1"/>
  <c r="L15" i="7" s="1"/>
  <c r="E41" i="10"/>
  <c r="L68" i="10" s="1"/>
  <c r="L16" i="7" s="1"/>
  <c r="E42" i="10"/>
  <c r="E43" i="10"/>
  <c r="L70" i="10" s="1"/>
  <c r="L18" i="7" s="1"/>
  <c r="E44" i="10"/>
  <c r="E45" i="10"/>
  <c r="L72" i="10" s="1"/>
  <c r="L20" i="7" s="1"/>
  <c r="E46" i="10"/>
  <c r="L73" i="10" s="1"/>
  <c r="L21" i="7" s="1"/>
  <c r="E47" i="10"/>
  <c r="L74" i="10" s="1"/>
  <c r="L22" i="7" s="1"/>
  <c r="E48" i="10"/>
  <c r="L75" i="10" s="1"/>
  <c r="L23" i="7" s="1"/>
  <c r="E49" i="10"/>
  <c r="L76" i="10" s="1"/>
  <c r="L24" i="7" s="1"/>
  <c r="E50" i="10"/>
  <c r="L77" i="10" s="1"/>
  <c r="L25" i="7" s="1"/>
  <c r="G61" i="10"/>
  <c r="G63" i="10"/>
  <c r="G65" i="10"/>
  <c r="G57" i="10"/>
  <c r="L57" i="10"/>
  <c r="L5" i="7" s="1"/>
  <c r="B59" i="10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K22" i="7" l="1"/>
  <c r="K18" i="7"/>
  <c r="K14" i="7"/>
  <c r="K23" i="7"/>
  <c r="K15" i="7"/>
  <c r="F11" i="10"/>
  <c r="AX34" i="7"/>
  <c r="AH35" i="7"/>
  <c r="AP42" i="7"/>
  <c r="AD4" i="10"/>
  <c r="AD11" i="10" s="1"/>
  <c r="AD52" i="1"/>
  <c r="H4" i="10"/>
  <c r="H11" i="10" s="1"/>
  <c r="H52" i="1"/>
  <c r="V4" i="10"/>
  <c r="V11" i="10" s="1"/>
  <c r="V52" i="1"/>
  <c r="Z4" i="10"/>
  <c r="Z11" i="10" s="1"/>
  <c r="Z52" i="1"/>
  <c r="L4" i="10"/>
  <c r="L11" i="10" s="1"/>
  <c r="L52" i="1"/>
  <c r="W52" i="1"/>
  <c r="W4" i="10"/>
  <c r="W11" i="10" s="1"/>
  <c r="AA52" i="1"/>
  <c r="AA4" i="10"/>
  <c r="AA11" i="10" s="1"/>
  <c r="O4" i="10"/>
  <c r="O11" i="10" s="1"/>
  <c r="O52" i="1"/>
  <c r="K4" i="10"/>
  <c r="K11" i="10" s="1"/>
  <c r="K52" i="1"/>
  <c r="G4" i="10"/>
  <c r="G11" i="10" s="1"/>
  <c r="G52" i="1"/>
  <c r="E52" i="1"/>
  <c r="E4" i="10"/>
  <c r="E11" i="10" s="1"/>
  <c r="X52" i="1"/>
  <c r="X4" i="10"/>
  <c r="X11" i="10" s="1"/>
  <c r="AB52" i="1"/>
  <c r="AB4" i="10"/>
  <c r="AB11" i="10" s="1"/>
  <c r="N4" i="10"/>
  <c r="N11" i="10" s="1"/>
  <c r="N52" i="1"/>
  <c r="J4" i="10"/>
  <c r="J11" i="10" s="1"/>
  <c r="J52" i="1"/>
  <c r="F52" i="1"/>
  <c r="U52" i="1"/>
  <c r="U4" i="10"/>
  <c r="U11" i="10" s="1"/>
  <c r="Y52" i="1"/>
  <c r="Y4" i="10"/>
  <c r="Y11" i="10" s="1"/>
  <c r="AC4" i="10"/>
  <c r="AC11" i="10" s="1"/>
  <c r="AC52" i="1"/>
  <c r="M52" i="1"/>
  <c r="M4" i="10"/>
  <c r="M11" i="10" s="1"/>
  <c r="I52" i="1"/>
  <c r="I4" i="10"/>
  <c r="I11" i="10" s="1"/>
  <c r="G97" i="10"/>
  <c r="M91" i="10"/>
  <c r="AB15" i="7" s="1"/>
  <c r="M65" i="7" s="1"/>
  <c r="M83" i="10"/>
  <c r="AB7" i="7" s="1"/>
  <c r="M57" i="7" s="1"/>
  <c r="M57" i="10"/>
  <c r="AA5" i="7" s="1"/>
  <c r="G73" i="10"/>
  <c r="M70" i="10"/>
  <c r="AA18" i="7" s="1"/>
  <c r="L68" i="7" s="1"/>
  <c r="M66" i="10"/>
  <c r="AA14" i="7" s="1"/>
  <c r="L64" i="7" s="1"/>
  <c r="G95" i="10"/>
  <c r="G87" i="10"/>
  <c r="G59" i="10"/>
  <c r="G76" i="10"/>
  <c r="M71" i="10"/>
  <c r="AA19" i="7" s="1"/>
  <c r="L69" i="7" s="1"/>
  <c r="G81" i="10"/>
  <c r="G98" i="10"/>
  <c r="G94" i="10"/>
  <c r="G92" i="10"/>
  <c r="G90" i="10"/>
  <c r="G88" i="10"/>
  <c r="G86" i="10"/>
  <c r="G84" i="10"/>
  <c r="G82" i="10"/>
  <c r="G93" i="10"/>
  <c r="G85" i="10"/>
  <c r="M67" i="10"/>
  <c r="AA15" i="7" s="1"/>
  <c r="L65" i="7" s="1"/>
  <c r="M90" i="10"/>
  <c r="AB14" i="7" s="1"/>
  <c r="M64" i="7" s="1"/>
  <c r="M88" i="10"/>
  <c r="AB12" i="7" s="1"/>
  <c r="M62" i="7" s="1"/>
  <c r="AB6" i="7"/>
  <c r="M56" i="7" s="1"/>
  <c r="M96" i="10"/>
  <c r="AB20" i="7" s="1"/>
  <c r="M70" i="7" s="1"/>
  <c r="M20" i="7"/>
  <c r="K20" i="7" s="1"/>
  <c r="M8" i="7"/>
  <c r="M98" i="10"/>
  <c r="AB22" i="7" s="1"/>
  <c r="M72" i="7" s="1"/>
  <c r="M75" i="10"/>
  <c r="AA23" i="7" s="1"/>
  <c r="L73" i="7" s="1"/>
  <c r="G71" i="10"/>
  <c r="G70" i="10"/>
  <c r="G68" i="10"/>
  <c r="G66" i="10"/>
  <c r="M99" i="10"/>
  <c r="AB23" i="7" s="1"/>
  <c r="M73" i="7" s="1"/>
  <c r="G96" i="10"/>
  <c r="M94" i="10"/>
  <c r="AB18" i="7" s="1"/>
  <c r="M68" i="7" s="1"/>
  <c r="M92" i="10"/>
  <c r="AB16" i="7" s="1"/>
  <c r="M66" i="7" s="1"/>
  <c r="M89" i="10"/>
  <c r="AB13" i="7" s="1"/>
  <c r="M63" i="7" s="1"/>
  <c r="M87" i="10"/>
  <c r="AB11" i="7" s="1"/>
  <c r="M61" i="7" s="1"/>
  <c r="M86" i="10"/>
  <c r="AB10" i="7" s="1"/>
  <c r="M60" i="7" s="1"/>
  <c r="AB8" i="7"/>
  <c r="M58" i="7" s="1"/>
  <c r="M81" i="10"/>
  <c r="AB5" i="7" s="1"/>
  <c r="M55" i="7" s="1"/>
  <c r="M5" i="7"/>
  <c r="K5" i="7" s="1"/>
  <c r="G100" i="10"/>
  <c r="M100" i="10"/>
  <c r="AB24" i="7" s="1"/>
  <c r="M74" i="7" s="1"/>
  <c r="M24" i="7"/>
  <c r="K24" i="7" s="1"/>
  <c r="M16" i="7"/>
  <c r="K16" i="7" s="1"/>
  <c r="M12" i="7"/>
  <c r="G64" i="10"/>
  <c r="G60" i="10"/>
  <c r="G77" i="10"/>
  <c r="M74" i="10"/>
  <c r="AA22" i="7" s="1"/>
  <c r="L72" i="7" s="1"/>
  <c r="M95" i="10"/>
  <c r="AB19" i="7" s="1"/>
  <c r="M69" i="7" s="1"/>
  <c r="M19" i="7"/>
  <c r="K19" i="7" s="1"/>
  <c r="G62" i="10"/>
  <c r="G74" i="10"/>
  <c r="G72" i="10"/>
  <c r="G69" i="10"/>
  <c r="M101" i="10"/>
  <c r="AB25" i="7" s="1"/>
  <c r="M75" i="7" s="1"/>
  <c r="M25" i="7"/>
  <c r="K25" i="7" s="1"/>
  <c r="M97" i="10"/>
  <c r="AB21" i="7" s="1"/>
  <c r="M71" i="7" s="1"/>
  <c r="M21" i="7"/>
  <c r="K21" i="7" s="1"/>
  <c r="M93" i="10"/>
  <c r="AB17" i="7" s="1"/>
  <c r="M67" i="7" s="1"/>
  <c r="M17" i="7"/>
  <c r="K17" i="7" s="1"/>
  <c r="M13" i="7"/>
  <c r="M85" i="10"/>
  <c r="AB9" i="7" s="1"/>
  <c r="M59" i="7" s="1"/>
  <c r="M9" i="7"/>
  <c r="M76" i="10"/>
  <c r="AA24" i="7" s="1"/>
  <c r="L74" i="7" s="1"/>
  <c r="M72" i="10"/>
  <c r="AA20" i="7" s="1"/>
  <c r="L70" i="7" s="1"/>
  <c r="M68" i="10"/>
  <c r="AA16" i="7" s="1"/>
  <c r="L66" i="7" s="1"/>
  <c r="M77" i="10"/>
  <c r="AA25" i="7" s="1"/>
  <c r="L75" i="7" s="1"/>
  <c r="M73" i="10"/>
  <c r="AA21" i="7" s="1"/>
  <c r="L71" i="7" s="1"/>
  <c r="M69" i="10"/>
  <c r="AA17" i="7" s="1"/>
  <c r="L67" i="7" s="1"/>
  <c r="Z25" i="7" l="1"/>
  <c r="Z17" i="7"/>
  <c r="K67" i="7" s="1"/>
  <c r="Z23" i="7"/>
  <c r="Z16" i="7"/>
  <c r="K66" i="7" s="1"/>
  <c r="Z15" i="7"/>
  <c r="K65" i="7" s="1"/>
  <c r="Z14" i="7"/>
  <c r="K64" i="7" s="1"/>
  <c r="Z5" i="7"/>
  <c r="AX35" i="7"/>
  <c r="AH36" i="7"/>
  <c r="Z20" i="7"/>
  <c r="K70" i="7" s="1"/>
  <c r="Z18" i="7"/>
  <c r="K68" i="7" s="1"/>
  <c r="Z21" i="7"/>
  <c r="K71" i="7" s="1"/>
  <c r="Z24" i="7"/>
  <c r="Z22" i="7"/>
  <c r="K72" i="7" s="1"/>
  <c r="Z19" i="7"/>
  <c r="K69" i="7" s="1"/>
  <c r="AP43" i="7"/>
  <c r="AB26" i="7"/>
  <c r="M76" i="7" s="1"/>
  <c r="S61" i="1"/>
  <c r="S8" i="10" s="1"/>
  <c r="S60" i="1"/>
  <c r="S7" i="10" s="1"/>
  <c r="S59" i="1"/>
  <c r="S6" i="10" s="1"/>
  <c r="F51" i="10"/>
  <c r="D51" i="10"/>
  <c r="C51" i="10"/>
  <c r="B51" i="10"/>
  <c r="E38" i="10"/>
  <c r="L65" i="10" s="1"/>
  <c r="E37" i="10"/>
  <c r="L64" i="10" s="1"/>
  <c r="E36" i="10"/>
  <c r="L63" i="10" s="1"/>
  <c r="E35" i="10"/>
  <c r="L62" i="10" s="1"/>
  <c r="E34" i="10"/>
  <c r="L61" i="10" s="1"/>
  <c r="E33" i="10"/>
  <c r="L60" i="10" s="1"/>
  <c r="E32" i="10"/>
  <c r="L59" i="10" s="1"/>
  <c r="E31" i="10"/>
  <c r="L6" i="7" s="1"/>
  <c r="K6" i="7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F29" i="10"/>
  <c r="D29" i="10"/>
  <c r="C29" i="10"/>
  <c r="B29" i="10"/>
  <c r="B22" i="10"/>
  <c r="S58" i="1"/>
  <c r="S5" i="10" s="1"/>
  <c r="S57" i="1"/>
  <c r="S4" i="10" s="1"/>
  <c r="S56" i="1"/>
  <c r="S3" i="10" s="1"/>
  <c r="K73" i="7" l="1"/>
  <c r="K75" i="7"/>
  <c r="K74" i="7"/>
  <c r="AC24" i="7"/>
  <c r="AU31" i="7"/>
  <c r="K55" i="7"/>
  <c r="AH37" i="7"/>
  <c r="AX36" i="7"/>
  <c r="AP44" i="7"/>
  <c r="M61" i="10"/>
  <c r="AA9" i="7" s="1"/>
  <c r="L9" i="7"/>
  <c r="K9" i="7" s="1"/>
  <c r="M65" i="10"/>
  <c r="AA13" i="7" s="1"/>
  <c r="L13" i="7"/>
  <c r="K13" i="7" s="1"/>
  <c r="M62" i="10"/>
  <c r="AA10" i="7" s="1"/>
  <c r="L10" i="7"/>
  <c r="K10" i="7" s="1"/>
  <c r="M59" i="10"/>
  <c r="AA7" i="7" s="1"/>
  <c r="L7" i="7"/>
  <c r="K7" i="7" s="1"/>
  <c r="M63" i="10"/>
  <c r="AA11" i="7" s="1"/>
  <c r="L11" i="7"/>
  <c r="K11" i="7" s="1"/>
  <c r="M60" i="10"/>
  <c r="AA8" i="7" s="1"/>
  <c r="L8" i="7"/>
  <c r="K8" i="7" s="1"/>
  <c r="M64" i="10"/>
  <c r="AA12" i="7" s="1"/>
  <c r="L12" i="7"/>
  <c r="K12" i="7" s="1"/>
  <c r="E51" i="10"/>
  <c r="AA6" i="7"/>
  <c r="Z8" i="7" l="1"/>
  <c r="K58" i="7" s="1"/>
  <c r="L58" i="7"/>
  <c r="Z7" i="7"/>
  <c r="K57" i="7" s="1"/>
  <c r="L57" i="7"/>
  <c r="Z13" i="7"/>
  <c r="K63" i="7" s="1"/>
  <c r="L63" i="7"/>
  <c r="Z11" i="7"/>
  <c r="K61" i="7" s="1"/>
  <c r="L61" i="7"/>
  <c r="Z10" i="7"/>
  <c r="K60" i="7" s="1"/>
  <c r="L60" i="7"/>
  <c r="Z9" i="7"/>
  <c r="K59" i="7" s="1"/>
  <c r="L59" i="7"/>
  <c r="Z12" i="7"/>
  <c r="K62" i="7" s="1"/>
  <c r="L62" i="7"/>
  <c r="Z6" i="7"/>
  <c r="K56" i="7" s="1"/>
  <c r="L56" i="7"/>
  <c r="AH38" i="7"/>
  <c r="AX37" i="7"/>
  <c r="AP45" i="7"/>
  <c r="AA26" i="7"/>
  <c r="L76" i="7" s="1"/>
  <c r="T26" i="7"/>
  <c r="E76" i="7" s="1"/>
  <c r="W26" i="7"/>
  <c r="X26" i="7"/>
  <c r="I76" i="7" s="1"/>
  <c r="N8" i="9"/>
  <c r="O8" i="9"/>
  <c r="P8" i="9"/>
  <c r="Q8" i="9"/>
  <c r="R8" i="9"/>
  <c r="S8" i="9"/>
  <c r="T8" i="9"/>
  <c r="U8" i="9"/>
  <c r="V8" i="9"/>
  <c r="M8" i="9"/>
  <c r="C8" i="9"/>
  <c r="D8" i="9"/>
  <c r="E8" i="9"/>
  <c r="F8" i="9"/>
  <c r="G8" i="9"/>
  <c r="H8" i="9"/>
  <c r="I8" i="9"/>
  <c r="J8" i="9"/>
  <c r="K8" i="9"/>
  <c r="L8" i="9"/>
  <c r="B8" i="9"/>
  <c r="N6" i="9"/>
  <c r="O6" i="9"/>
  <c r="P6" i="9"/>
  <c r="Q6" i="9"/>
  <c r="R6" i="9"/>
  <c r="S6" i="9"/>
  <c r="T6" i="9"/>
  <c r="U6" i="9"/>
  <c r="V6" i="9"/>
  <c r="M6" i="9"/>
  <c r="C6" i="9"/>
  <c r="D6" i="9"/>
  <c r="E6" i="9"/>
  <c r="F6" i="9"/>
  <c r="G6" i="9"/>
  <c r="H6" i="9"/>
  <c r="I6" i="9"/>
  <c r="J6" i="9"/>
  <c r="K6" i="9"/>
  <c r="L6" i="9"/>
  <c r="B6" i="9"/>
  <c r="S33" i="5"/>
  <c r="S32" i="5"/>
  <c r="R32" i="5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S31" i="5"/>
  <c r="S30" i="5"/>
  <c r="AU32" i="7" l="1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Z26" i="7"/>
  <c r="K76" i="7" s="1"/>
  <c r="AX38" i="7"/>
  <c r="AP46" i="7"/>
  <c r="D56" i="2"/>
  <c r="D57" i="2"/>
  <c r="C57" i="2"/>
  <c r="B59" i="2"/>
  <c r="S4" i="5"/>
  <c r="G83" i="2"/>
  <c r="G81" i="2"/>
  <c r="I81" i="2" s="1"/>
  <c r="E81" i="2"/>
  <c r="G70" i="1"/>
  <c r="F90" i="2"/>
  <c r="G90" i="2" s="1"/>
  <c r="G92" i="2"/>
  <c r="G87" i="2"/>
  <c r="F87" i="2"/>
  <c r="G89" i="2"/>
  <c r="F84" i="2"/>
  <c r="G84" i="2" s="1"/>
  <c r="F81" i="2"/>
  <c r="F108" i="2"/>
  <c r="E108" i="2"/>
  <c r="G110" i="2" s="1"/>
  <c r="F105" i="2"/>
  <c r="D105" i="2"/>
  <c r="G107" i="2" s="1"/>
  <c r="F102" i="2"/>
  <c r="D102" i="2"/>
  <c r="F99" i="2"/>
  <c r="D99" i="2"/>
  <c r="F96" i="2"/>
  <c r="D96" i="2"/>
  <c r="G98" i="2" s="1"/>
  <c r="F93" i="2"/>
  <c r="G93" i="2" s="1"/>
  <c r="D93" i="2"/>
  <c r="G95" i="2" s="1"/>
  <c r="F97" i="1"/>
  <c r="E97" i="1" s="1"/>
  <c r="H99" i="1" s="1"/>
  <c r="F94" i="1"/>
  <c r="E94" i="1" s="1"/>
  <c r="F91" i="1"/>
  <c r="E91" i="1" s="1"/>
  <c r="F88" i="1"/>
  <c r="E88" i="1" s="1"/>
  <c r="H90" i="1" s="1"/>
  <c r="F85" i="1"/>
  <c r="E85" i="1" s="1"/>
  <c r="H87" i="1" s="1"/>
  <c r="F82" i="1"/>
  <c r="E82" i="1" s="1"/>
  <c r="F79" i="1"/>
  <c r="E79" i="1" s="1"/>
  <c r="F76" i="1"/>
  <c r="E76" i="1" s="1"/>
  <c r="F73" i="1"/>
  <c r="E73" i="1" s="1"/>
  <c r="H75" i="1" s="1"/>
  <c r="F70" i="1"/>
  <c r="E70" i="1" s="1"/>
  <c r="H72" i="1" s="1"/>
  <c r="G97" i="1"/>
  <c r="G94" i="1"/>
  <c r="G91" i="1"/>
  <c r="G88" i="1"/>
  <c r="G85" i="1"/>
  <c r="G82" i="1"/>
  <c r="G79" i="1"/>
  <c r="G76" i="1"/>
  <c r="G73" i="1"/>
  <c r="AU49" i="7" l="1"/>
  <c r="AU50" i="7" s="1"/>
  <c r="AU51" i="7" s="1"/>
  <c r="AU52" i="7" s="1"/>
  <c r="H76" i="1"/>
  <c r="AS31" i="7"/>
  <c r="AP47" i="7"/>
  <c r="H73" i="1"/>
  <c r="J73" i="1" s="1"/>
  <c r="H70" i="1"/>
  <c r="J70" i="1" s="1"/>
  <c r="H82" i="1"/>
  <c r="H84" i="1"/>
  <c r="H81" i="1"/>
  <c r="H79" i="1"/>
  <c r="H93" i="1"/>
  <c r="H91" i="1"/>
  <c r="H94" i="1"/>
  <c r="H96" i="1"/>
  <c r="H78" i="1"/>
  <c r="J76" i="1" s="1"/>
  <c r="H88" i="1"/>
  <c r="J88" i="1" s="1"/>
  <c r="H85" i="1"/>
  <c r="J85" i="1" s="1"/>
  <c r="H97" i="1"/>
  <c r="J97" i="1" s="1"/>
  <c r="G96" i="2"/>
  <c r="G108" i="2"/>
  <c r="G99" i="2"/>
  <c r="I87" i="2"/>
  <c r="G102" i="2"/>
  <c r="G105" i="2"/>
  <c r="I105" i="2" s="1"/>
  <c r="I108" i="2"/>
  <c r="I96" i="2"/>
  <c r="I93" i="2"/>
  <c r="I90" i="2"/>
  <c r="G101" i="2"/>
  <c r="I99" i="2" s="1"/>
  <c r="G104" i="2"/>
  <c r="G86" i="2"/>
  <c r="I84" i="2" s="1"/>
  <c r="J94" i="1" l="1"/>
  <c r="J79" i="1"/>
  <c r="AP48" i="7"/>
  <c r="J91" i="1"/>
  <c r="I102" i="2"/>
  <c r="AD28" i="1"/>
  <c r="Z28" i="1"/>
  <c r="V28" i="1"/>
  <c r="AC28" i="1"/>
  <c r="Y28" i="1"/>
  <c r="U28" i="1"/>
  <c r="AB28" i="1"/>
  <c r="X28" i="1"/>
  <c r="AA28" i="1"/>
  <c r="W28" i="1"/>
  <c r="J82" i="1"/>
  <c r="AP49" i="7" l="1"/>
  <c r="J34" i="1"/>
  <c r="M34" i="1" s="1"/>
  <c r="K34" i="1"/>
  <c r="J35" i="1"/>
  <c r="M35" i="1" s="1"/>
  <c r="K35" i="1"/>
  <c r="B35" i="1"/>
  <c r="B34" i="1" s="1"/>
  <c r="L27" i="1"/>
  <c r="M27" i="1"/>
  <c r="G41" i="1"/>
  <c r="G42" i="1"/>
  <c r="J42" i="1" s="1"/>
  <c r="M42" i="1" s="1"/>
  <c r="G43" i="1"/>
  <c r="K43" i="1" s="1"/>
  <c r="G44" i="1"/>
  <c r="J44" i="1" s="1"/>
  <c r="M44" i="1" s="1"/>
  <c r="G45" i="1"/>
  <c r="K45" i="1" s="1"/>
  <c r="G46" i="1"/>
  <c r="J46" i="1" s="1"/>
  <c r="M46" i="1" s="1"/>
  <c r="G47" i="1"/>
  <c r="K47" i="1" s="1"/>
  <c r="G48" i="1"/>
  <c r="K48" i="1" s="1"/>
  <c r="G49" i="1"/>
  <c r="J49" i="1" s="1"/>
  <c r="M49" i="1" s="1"/>
  <c r="G50" i="1"/>
  <c r="K50" i="1" s="1"/>
  <c r="G40" i="1"/>
  <c r="K40" i="1" s="1"/>
  <c r="N27" i="1"/>
  <c r="K41" i="1"/>
  <c r="G39" i="1"/>
  <c r="J39" i="1" s="1"/>
  <c r="M39" i="1" s="1"/>
  <c r="G38" i="1"/>
  <c r="K38" i="1" s="1"/>
  <c r="G37" i="1"/>
  <c r="K37" i="1" s="1"/>
  <c r="G36" i="1"/>
  <c r="J36" i="1" s="1"/>
  <c r="M36" i="1" s="1"/>
  <c r="AD30" i="1"/>
  <c r="AC30" i="1"/>
  <c r="AB30" i="1"/>
  <c r="AA30" i="1"/>
  <c r="Z30" i="1"/>
  <c r="Y30" i="1"/>
  <c r="X30" i="1"/>
  <c r="W30" i="1"/>
  <c r="V30" i="1"/>
  <c r="U30" i="1"/>
  <c r="J41" i="1"/>
  <c r="M41" i="1" s="1"/>
  <c r="K49" i="1" l="1"/>
  <c r="K39" i="1"/>
  <c r="O34" i="1"/>
  <c r="K46" i="1"/>
  <c r="K36" i="1"/>
  <c r="AP50" i="7"/>
  <c r="J45" i="1"/>
  <c r="M45" i="1" s="1"/>
  <c r="O45" i="1" s="1"/>
  <c r="K42" i="1"/>
  <c r="O42" i="1" s="1"/>
  <c r="J50" i="1"/>
  <c r="M50" i="1" s="1"/>
  <c r="O50" i="1" s="1"/>
  <c r="O39" i="1"/>
  <c r="J38" i="1"/>
  <c r="M38" i="1" s="1"/>
  <c r="O38" i="1" s="1"/>
  <c r="O46" i="1"/>
  <c r="O36" i="1"/>
  <c r="J37" i="1"/>
  <c r="M37" i="1" s="1"/>
  <c r="O37" i="1" s="1"/>
  <c r="O35" i="1"/>
  <c r="J48" i="1"/>
  <c r="M48" i="1" s="1"/>
  <c r="O48" i="1" s="1"/>
  <c r="K44" i="1"/>
  <c r="O44" i="1" s="1"/>
  <c r="J40" i="1"/>
  <c r="M40" i="1" s="1"/>
  <c r="O40" i="1" s="1"/>
  <c r="O41" i="1"/>
  <c r="J43" i="1"/>
  <c r="M43" i="1" s="1"/>
  <c r="O43" i="1" s="1"/>
  <c r="J47" i="1"/>
  <c r="M47" i="1" s="1"/>
  <c r="O47" i="1" s="1"/>
  <c r="O49" i="1"/>
  <c r="AP51" i="7" l="1"/>
  <c r="S16" i="1"/>
  <c r="S15" i="1"/>
  <c r="S14" i="1"/>
  <c r="S6" i="1"/>
  <c r="S7" i="1"/>
  <c r="S8" i="1"/>
  <c r="S9" i="1"/>
  <c r="S10" i="1"/>
  <c r="S11" i="1"/>
  <c r="S13" i="1"/>
  <c r="S23" i="1"/>
  <c r="S24" i="1"/>
  <c r="S25" i="1"/>
  <c r="S26" i="1"/>
  <c r="S27" i="1"/>
  <c r="S28" i="1"/>
  <c r="S29" i="1"/>
  <c r="S30" i="1"/>
  <c r="S31" i="1"/>
  <c r="S5" i="1"/>
  <c r="AO52" i="7" l="1"/>
  <c r="AG10" i="9"/>
  <c r="AF10" i="9"/>
  <c r="AI10" i="9" s="1"/>
  <c r="AK10" i="9" s="1"/>
  <c r="AG9" i="9"/>
  <c r="AF9" i="9"/>
  <c r="AI9" i="9" s="1"/>
  <c r="AK9" i="9" s="1"/>
  <c r="AG8" i="9"/>
  <c r="AF8" i="9"/>
  <c r="AI8" i="9" s="1"/>
  <c r="AK8" i="9" s="1"/>
  <c r="AG7" i="9"/>
  <c r="AF7" i="9"/>
  <c r="AI7" i="9" s="1"/>
  <c r="AK7" i="9" s="1"/>
  <c r="AG6" i="9"/>
  <c r="AF6" i="9"/>
  <c r="AI6" i="9" s="1"/>
  <c r="AK6" i="9" s="1"/>
  <c r="AG5" i="9"/>
  <c r="AF5" i="9"/>
  <c r="AI5" i="9" s="1"/>
  <c r="AK5" i="9" s="1"/>
  <c r="X7" i="9"/>
  <c r="X8" i="9" s="1"/>
  <c r="X9" i="9" s="1"/>
  <c r="X10" i="9" s="1"/>
  <c r="X6" i="9"/>
  <c r="AG25" i="9"/>
  <c r="AF25" i="9"/>
  <c r="AI25" i="9" s="1"/>
  <c r="AK25" i="9" s="1"/>
  <c r="AG24" i="9"/>
  <c r="AF24" i="9"/>
  <c r="AI24" i="9" s="1"/>
  <c r="AG23" i="9"/>
  <c r="AF23" i="9"/>
  <c r="AI23" i="9" s="1"/>
  <c r="AG22" i="9"/>
  <c r="AF22" i="9"/>
  <c r="AI22" i="9" s="1"/>
  <c r="AK22" i="9" s="1"/>
  <c r="AG21" i="9"/>
  <c r="AF21" i="9"/>
  <c r="AI21" i="9" s="1"/>
  <c r="AG20" i="9"/>
  <c r="AF20" i="9"/>
  <c r="AI20" i="9" s="1"/>
  <c r="AK20" i="9" s="1"/>
  <c r="AI19" i="9"/>
  <c r="AG19" i="9"/>
  <c r="AF19" i="9"/>
  <c r="AG18" i="9"/>
  <c r="AF18" i="9"/>
  <c r="AI18" i="9" s="1"/>
  <c r="AK18" i="9" s="1"/>
  <c r="AG17" i="9"/>
  <c r="AF17" i="9"/>
  <c r="AI17" i="9" s="1"/>
  <c r="AK17" i="9" s="1"/>
  <c r="AI16" i="9"/>
  <c r="AG16" i="9"/>
  <c r="AF16" i="9"/>
  <c r="AG15" i="9"/>
  <c r="AF15" i="9"/>
  <c r="AI15" i="9" s="1"/>
  <c r="AG14" i="9"/>
  <c r="AF14" i="9"/>
  <c r="AI14" i="9" s="1"/>
  <c r="AG13" i="9"/>
  <c r="AF13" i="9"/>
  <c r="AI13" i="9" s="1"/>
  <c r="AK13" i="9" s="1"/>
  <c r="AG12" i="9"/>
  <c r="AF12" i="9"/>
  <c r="AI12" i="9" s="1"/>
  <c r="AG11" i="9"/>
  <c r="AF11" i="9"/>
  <c r="AI11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AK12" i="9" l="1"/>
  <c r="AK14" i="9"/>
  <c r="AK21" i="9"/>
  <c r="AK16" i="9"/>
  <c r="AK24" i="9"/>
  <c r="AK11" i="9"/>
  <c r="AK15" i="9"/>
  <c r="AK19" i="9"/>
  <c r="AK23" i="9"/>
  <c r="AV27" i="4" l="1"/>
  <c r="AX7" i="4" l="1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6" i="4"/>
  <c r="AT27" i="4" l="1"/>
  <c r="AV9" i="4"/>
  <c r="AV6" i="4"/>
  <c r="AV16" i="4" l="1"/>
  <c r="AV7" i="4"/>
  <c r="AV8" i="4"/>
  <c r="AV10" i="4"/>
  <c r="AV11" i="4"/>
  <c r="AV12" i="4"/>
  <c r="AV13" i="4"/>
  <c r="AV14" i="4"/>
  <c r="AV15" i="4"/>
  <c r="AV17" i="4"/>
  <c r="AV18" i="4"/>
  <c r="AV19" i="4"/>
  <c r="AV20" i="4"/>
  <c r="AV21" i="4"/>
  <c r="AV22" i="4"/>
  <c r="AV23" i="4"/>
  <c r="AV24" i="4"/>
  <c r="AV25" i="4"/>
  <c r="AV26" i="4"/>
  <c r="AH29" i="4"/>
  <c r="R39" i="8" l="1"/>
  <c r="S39" i="8"/>
  <c r="T39" i="8"/>
  <c r="U39" i="8"/>
  <c r="V39" i="8"/>
  <c r="W39" i="8"/>
  <c r="S40" i="8"/>
  <c r="T40" i="8"/>
  <c r="U40" i="8"/>
  <c r="V40" i="8"/>
  <c r="W40" i="8"/>
  <c r="R41" i="8"/>
  <c r="S41" i="8"/>
  <c r="T41" i="8"/>
  <c r="U41" i="8"/>
  <c r="V41" i="8"/>
  <c r="W41" i="8"/>
  <c r="R43" i="8"/>
  <c r="S43" i="8"/>
  <c r="T43" i="8"/>
  <c r="U43" i="8"/>
  <c r="V43" i="8"/>
  <c r="W43" i="8"/>
  <c r="R45" i="8"/>
  <c r="S45" i="8"/>
  <c r="T45" i="8"/>
  <c r="U45" i="8"/>
  <c r="V45" i="8"/>
  <c r="W45" i="8"/>
  <c r="R47" i="8"/>
  <c r="S47" i="8"/>
  <c r="T47" i="8"/>
  <c r="U47" i="8"/>
  <c r="V47" i="8"/>
  <c r="W47" i="8"/>
  <c r="R49" i="8"/>
  <c r="S49" i="8"/>
  <c r="T49" i="8"/>
  <c r="U49" i="8"/>
  <c r="V49" i="8"/>
  <c r="W49" i="8"/>
  <c r="R51" i="8"/>
  <c r="S51" i="8"/>
  <c r="T51" i="8"/>
  <c r="U51" i="8"/>
  <c r="V51" i="8"/>
  <c r="W51" i="8"/>
  <c r="R52" i="8"/>
  <c r="S52" i="8"/>
  <c r="T52" i="8"/>
  <c r="U52" i="8"/>
  <c r="V52" i="8"/>
  <c r="W52" i="8"/>
  <c r="R53" i="8"/>
  <c r="S53" i="8"/>
  <c r="T53" i="8"/>
  <c r="U53" i="8"/>
  <c r="V53" i="8"/>
  <c r="W53" i="8"/>
  <c r="R55" i="8"/>
  <c r="S55" i="8"/>
  <c r="T55" i="8"/>
  <c r="U55" i="8"/>
  <c r="V55" i="8"/>
  <c r="W55" i="8"/>
  <c r="R56" i="8"/>
  <c r="S56" i="8"/>
  <c r="T56" i="8"/>
  <c r="U56" i="8"/>
  <c r="V56" i="8"/>
  <c r="W56" i="8"/>
  <c r="R57" i="8"/>
  <c r="S57" i="8"/>
  <c r="T57" i="8"/>
  <c r="U57" i="8"/>
  <c r="V57" i="8"/>
  <c r="W57" i="8"/>
  <c r="R58" i="8"/>
  <c r="S58" i="8"/>
  <c r="T58" i="8"/>
  <c r="U58" i="8"/>
  <c r="V58" i="8"/>
  <c r="W58" i="8"/>
  <c r="R59" i="8"/>
  <c r="S59" i="8"/>
  <c r="T59" i="8"/>
  <c r="U59" i="8"/>
  <c r="V59" i="8"/>
  <c r="W59" i="8"/>
  <c r="W60" i="8"/>
  <c r="R61" i="8"/>
  <c r="S61" i="8"/>
  <c r="T61" i="8"/>
  <c r="U61" i="8"/>
  <c r="V61" i="8"/>
  <c r="W61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K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9" i="8"/>
  <c r="G36" i="8"/>
  <c r="E60" i="8" s="1"/>
  <c r="H36" i="8"/>
  <c r="F60" i="8" s="1"/>
  <c r="I36" i="8"/>
  <c r="G60" i="8" s="1"/>
  <c r="J36" i="8"/>
  <c r="H60" i="8" s="1"/>
  <c r="K36" i="8"/>
  <c r="I60" i="8" s="1"/>
  <c r="L36" i="8"/>
  <c r="J60" i="8" s="1"/>
  <c r="M36" i="8"/>
  <c r="N36" i="8"/>
  <c r="L60" i="8" s="1"/>
  <c r="O36" i="8"/>
  <c r="M60" i="8" s="1"/>
  <c r="P36" i="8"/>
  <c r="N60" i="8" s="1"/>
  <c r="Q36" i="8"/>
  <c r="O60" i="8" s="1"/>
  <c r="R36" i="8"/>
  <c r="P60" i="8" s="1"/>
  <c r="S36" i="8"/>
  <c r="Q60" i="8" s="1"/>
  <c r="T36" i="8"/>
  <c r="R60" i="8" s="1"/>
  <c r="U36" i="8"/>
  <c r="S60" i="8" s="1"/>
  <c r="V36" i="8"/>
  <c r="T60" i="8" s="1"/>
  <c r="W36" i="8"/>
  <c r="U60" i="8" s="1"/>
  <c r="X36" i="8"/>
  <c r="V60" i="8" s="1"/>
  <c r="Y36" i="8"/>
  <c r="F36" i="8"/>
  <c r="D60" i="8" s="1"/>
  <c r="AQ27" i="4" l="1"/>
  <c r="AN27" i="4"/>
  <c r="AL27" i="4"/>
  <c r="AI27" i="4"/>
  <c r="AG27" i="4"/>
  <c r="AE27" i="4"/>
  <c r="AC27" i="4"/>
  <c r="AA27" i="4"/>
  <c r="Y27" i="4"/>
  <c r="W27" i="4"/>
  <c r="N30" i="8"/>
  <c r="L56" i="8" s="1"/>
  <c r="T15" i="8"/>
  <c r="R46" i="8" s="1"/>
  <c r="S24" i="5" l="1"/>
  <c r="S18" i="5"/>
  <c r="S19" i="5"/>
  <c r="S20" i="5"/>
  <c r="S21" i="5"/>
  <c r="S22" i="5"/>
  <c r="S23" i="5"/>
  <c r="S6" i="5"/>
  <c r="S7" i="5"/>
  <c r="S8" i="5"/>
  <c r="S9" i="5"/>
  <c r="S10" i="5"/>
  <c r="S11" i="5"/>
  <c r="S12" i="5"/>
  <c r="S13" i="5"/>
  <c r="S14" i="5"/>
  <c r="S15" i="5"/>
  <c r="S16" i="5"/>
  <c r="S17" i="5"/>
  <c r="P4" i="5" l="1"/>
  <c r="F8" i="5"/>
  <c r="AC7" i="7"/>
  <c r="AC9" i="7"/>
  <c r="AC10" i="7"/>
  <c r="AC8" i="7"/>
  <c r="J65" i="7"/>
  <c r="J66" i="7"/>
  <c r="J68" i="7"/>
  <c r="J70" i="7"/>
  <c r="F18" i="5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J69" i="7" l="1"/>
  <c r="J64" i="7"/>
  <c r="J74" i="7"/>
  <c r="J63" i="7"/>
  <c r="AC25" i="7"/>
  <c r="J73" i="7"/>
  <c r="AC23" i="7"/>
  <c r="J62" i="7"/>
  <c r="AC12" i="7"/>
  <c r="J72" i="7"/>
  <c r="AC22" i="7"/>
  <c r="J61" i="7"/>
  <c r="AC11" i="7"/>
  <c r="J71" i="7"/>
  <c r="AC21" i="7"/>
  <c r="AS32" i="7"/>
  <c r="J58" i="7"/>
  <c r="J57" i="7"/>
  <c r="J60" i="7"/>
  <c r="J59" i="7"/>
  <c r="J67" i="7"/>
  <c r="AD8" i="7"/>
  <c r="AD7" i="7"/>
  <c r="AD10" i="7"/>
  <c r="AD9" i="7"/>
  <c r="Y26" i="7"/>
  <c r="J76" i="7" s="1"/>
  <c r="P9" i="5"/>
  <c r="P13" i="5"/>
  <c r="P17" i="5"/>
  <c r="P21" i="5"/>
  <c r="P6" i="5"/>
  <c r="P10" i="5"/>
  <c r="P14" i="5"/>
  <c r="P18" i="5"/>
  <c r="P22" i="5"/>
  <c r="P7" i="5"/>
  <c r="P11" i="5"/>
  <c r="P15" i="5"/>
  <c r="P19" i="5"/>
  <c r="P23" i="5"/>
  <c r="P8" i="5"/>
  <c r="P12" i="5"/>
  <c r="P16" i="5"/>
  <c r="P20" i="5"/>
  <c r="P24" i="5"/>
  <c r="L12" i="4"/>
  <c r="I19" i="4"/>
  <c r="I20" i="4"/>
  <c r="I21" i="4"/>
  <c r="I22" i="4"/>
  <c r="I23" i="4"/>
  <c r="I24" i="4"/>
  <c r="I25" i="4"/>
  <c r="I26" i="4"/>
  <c r="D6" i="4"/>
  <c r="X6" i="4" s="1"/>
  <c r="F6" i="4"/>
  <c r="AB6" i="4" s="1"/>
  <c r="G6" i="4"/>
  <c r="AD6" i="4" s="1"/>
  <c r="H6" i="4"/>
  <c r="AF6" i="4" s="1"/>
  <c r="I6" i="4"/>
  <c r="AH6" i="4" s="1"/>
  <c r="J6" i="4"/>
  <c r="AK6" i="4" s="1"/>
  <c r="K6" i="4"/>
  <c r="AM6" i="4" s="1"/>
  <c r="L6" i="4"/>
  <c r="AO6" i="4" s="1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M12" i="4"/>
  <c r="D13" i="4"/>
  <c r="E13" i="4"/>
  <c r="F13" i="4"/>
  <c r="G13" i="4"/>
  <c r="H13" i="4"/>
  <c r="I13" i="4"/>
  <c r="J13" i="4"/>
  <c r="K13" i="4"/>
  <c r="L13" i="4"/>
  <c r="M13" i="4"/>
  <c r="E14" i="4"/>
  <c r="F14" i="4"/>
  <c r="G14" i="4"/>
  <c r="H14" i="4"/>
  <c r="I14" i="4"/>
  <c r="J14" i="4"/>
  <c r="K14" i="4"/>
  <c r="L14" i="4"/>
  <c r="M14" i="4"/>
  <c r="E15" i="4"/>
  <c r="F15" i="4"/>
  <c r="G15" i="4"/>
  <c r="H15" i="4"/>
  <c r="I15" i="4"/>
  <c r="J15" i="4"/>
  <c r="L15" i="4"/>
  <c r="M15" i="4"/>
  <c r="E16" i="4"/>
  <c r="F16" i="4"/>
  <c r="G16" i="4"/>
  <c r="H16" i="4"/>
  <c r="I16" i="4"/>
  <c r="J16" i="4"/>
  <c r="L16" i="4"/>
  <c r="M16" i="4"/>
  <c r="E17" i="4"/>
  <c r="F17" i="4"/>
  <c r="G17" i="4"/>
  <c r="H17" i="4"/>
  <c r="J17" i="4"/>
  <c r="K17" i="4"/>
  <c r="L17" i="4"/>
  <c r="M17" i="4"/>
  <c r="D18" i="4"/>
  <c r="E18" i="4"/>
  <c r="F18" i="4"/>
  <c r="G18" i="4"/>
  <c r="H18" i="4"/>
  <c r="J18" i="4"/>
  <c r="K18" i="4"/>
  <c r="L18" i="4"/>
  <c r="M18" i="4"/>
  <c r="D19" i="4"/>
  <c r="E19" i="4"/>
  <c r="F19" i="4"/>
  <c r="G19" i="4"/>
  <c r="H19" i="4"/>
  <c r="J19" i="4"/>
  <c r="K19" i="4"/>
  <c r="L19" i="4"/>
  <c r="M19" i="4"/>
  <c r="E20" i="4"/>
  <c r="F20" i="4"/>
  <c r="G20" i="4"/>
  <c r="H20" i="4"/>
  <c r="J20" i="4"/>
  <c r="L20" i="4"/>
  <c r="M20" i="4"/>
  <c r="D21" i="4"/>
  <c r="E21" i="4"/>
  <c r="F21" i="4"/>
  <c r="G21" i="4"/>
  <c r="H21" i="4"/>
  <c r="J21" i="4"/>
  <c r="L21" i="4"/>
  <c r="M21" i="4"/>
  <c r="D22" i="4"/>
  <c r="E22" i="4"/>
  <c r="F22" i="4"/>
  <c r="G22" i="4"/>
  <c r="H22" i="4"/>
  <c r="J22" i="4"/>
  <c r="K22" i="4"/>
  <c r="L22" i="4"/>
  <c r="M22" i="4"/>
  <c r="D23" i="4"/>
  <c r="E23" i="4"/>
  <c r="F23" i="4"/>
  <c r="G23" i="4"/>
  <c r="H23" i="4"/>
  <c r="J23" i="4"/>
  <c r="K23" i="4"/>
  <c r="L23" i="4"/>
  <c r="M23" i="4"/>
  <c r="D24" i="4"/>
  <c r="E24" i="4"/>
  <c r="F24" i="4"/>
  <c r="G24" i="4"/>
  <c r="H24" i="4"/>
  <c r="J24" i="4"/>
  <c r="K24" i="4"/>
  <c r="L24" i="4"/>
  <c r="M24" i="4"/>
  <c r="D25" i="4"/>
  <c r="E25" i="4"/>
  <c r="F25" i="4"/>
  <c r="G25" i="4"/>
  <c r="H25" i="4"/>
  <c r="J25" i="4"/>
  <c r="K25" i="4"/>
  <c r="L25" i="4"/>
  <c r="M25" i="4"/>
  <c r="D26" i="4"/>
  <c r="E26" i="4"/>
  <c r="F26" i="4"/>
  <c r="G26" i="4"/>
  <c r="H26" i="4"/>
  <c r="J26" i="4"/>
  <c r="K26" i="4"/>
  <c r="L26" i="4"/>
  <c r="M26" i="4"/>
  <c r="C7" i="4"/>
  <c r="C8" i="4"/>
  <c r="C9" i="4"/>
  <c r="C10" i="4"/>
  <c r="C11" i="4"/>
  <c r="C12" i="4"/>
  <c r="C19" i="4"/>
  <c r="C20" i="4"/>
  <c r="C22" i="4"/>
  <c r="C23" i="4"/>
  <c r="C24" i="4"/>
  <c r="C25" i="4"/>
  <c r="C26" i="4"/>
  <c r="C6" i="4"/>
  <c r="V6" i="4" s="1"/>
  <c r="U27" i="8"/>
  <c r="S54" i="8" s="1"/>
  <c r="V27" i="8"/>
  <c r="T54" i="8" s="1"/>
  <c r="W27" i="8"/>
  <c r="U54" i="8" s="1"/>
  <c r="X27" i="8"/>
  <c r="V54" i="8" s="1"/>
  <c r="Y27" i="8"/>
  <c r="W54" i="8" s="1"/>
  <c r="T27" i="8"/>
  <c r="R54" i="8" s="1"/>
  <c r="Q24" i="8"/>
  <c r="O52" i="8" s="1"/>
  <c r="P24" i="8"/>
  <c r="N52" i="8" s="1"/>
  <c r="U21" i="8"/>
  <c r="S50" i="8" s="1"/>
  <c r="V21" i="8"/>
  <c r="T50" i="8" s="1"/>
  <c r="W21" i="8"/>
  <c r="U50" i="8" s="1"/>
  <c r="X21" i="8"/>
  <c r="V50" i="8" s="1"/>
  <c r="Y21" i="8"/>
  <c r="W50" i="8" s="1"/>
  <c r="T21" i="8"/>
  <c r="R50" i="8" s="1"/>
  <c r="N12" i="8"/>
  <c r="L44" i="8" s="1"/>
  <c r="N9" i="8"/>
  <c r="L42" i="8" s="1"/>
  <c r="L6" i="8"/>
  <c r="J40" i="8" s="1"/>
  <c r="T18" i="8"/>
  <c r="R48" i="8" s="1"/>
  <c r="U18" i="8"/>
  <c r="S48" i="8" s="1"/>
  <c r="V18" i="8"/>
  <c r="T48" i="8" s="1"/>
  <c r="W18" i="8"/>
  <c r="U48" i="8" s="1"/>
  <c r="X18" i="8"/>
  <c r="V48" i="8" s="1"/>
  <c r="Y18" i="8"/>
  <c r="W48" i="8" s="1"/>
  <c r="U15" i="8"/>
  <c r="S46" i="8" s="1"/>
  <c r="V15" i="8"/>
  <c r="T46" i="8" s="1"/>
  <c r="W15" i="8"/>
  <c r="U46" i="8" s="1"/>
  <c r="X15" i="8"/>
  <c r="V46" i="8" s="1"/>
  <c r="Y15" i="8"/>
  <c r="W46" i="8" s="1"/>
  <c r="O12" i="8"/>
  <c r="M44" i="8" s="1"/>
  <c r="P12" i="8"/>
  <c r="N44" i="8" s="1"/>
  <c r="Q12" i="8"/>
  <c r="O44" i="8" s="1"/>
  <c r="R12" i="8"/>
  <c r="P44" i="8" s="1"/>
  <c r="S12" i="8"/>
  <c r="Q44" i="8" s="1"/>
  <c r="T12" i="8"/>
  <c r="R44" i="8" s="1"/>
  <c r="U12" i="8"/>
  <c r="S44" i="8" s="1"/>
  <c r="V12" i="8"/>
  <c r="T44" i="8" s="1"/>
  <c r="W12" i="8"/>
  <c r="U44" i="8" s="1"/>
  <c r="X12" i="8"/>
  <c r="V44" i="8" s="1"/>
  <c r="Y12" i="8"/>
  <c r="W44" i="8" s="1"/>
  <c r="O9" i="8"/>
  <c r="M42" i="8" s="1"/>
  <c r="P9" i="8"/>
  <c r="N42" i="8" s="1"/>
  <c r="Q9" i="8"/>
  <c r="O42" i="8" s="1"/>
  <c r="R9" i="8"/>
  <c r="P42" i="8" s="1"/>
  <c r="S9" i="8"/>
  <c r="Q42" i="8" s="1"/>
  <c r="T9" i="8"/>
  <c r="R42" i="8" s="1"/>
  <c r="U9" i="8"/>
  <c r="S42" i="8" s="1"/>
  <c r="V9" i="8"/>
  <c r="T42" i="8" s="1"/>
  <c r="W9" i="8"/>
  <c r="U42" i="8" s="1"/>
  <c r="X9" i="8"/>
  <c r="V42" i="8" s="1"/>
  <c r="Y9" i="8"/>
  <c r="W42" i="8" s="1"/>
  <c r="M6" i="8"/>
  <c r="K40" i="8" s="1"/>
  <c r="N6" i="8"/>
  <c r="L40" i="8" s="1"/>
  <c r="O6" i="8"/>
  <c r="M40" i="8" s="1"/>
  <c r="P6" i="8"/>
  <c r="N40" i="8" s="1"/>
  <c r="Q6" i="8"/>
  <c r="O40" i="8" s="1"/>
  <c r="T6" i="8"/>
  <c r="R40" i="8" s="1"/>
  <c r="F91" i="6"/>
  <c r="F90" i="6"/>
  <c r="F88" i="6"/>
  <c r="F86" i="6"/>
  <c r="F85" i="6"/>
  <c r="P72" i="6"/>
  <c r="R72" i="6" s="1"/>
  <c r="G91" i="6" s="1"/>
  <c r="I18" i="4" s="1"/>
  <c r="P71" i="6"/>
  <c r="R71" i="6" s="1"/>
  <c r="G90" i="6" s="1"/>
  <c r="I17" i="4" s="1"/>
  <c r="P69" i="6"/>
  <c r="R69" i="6" s="1"/>
  <c r="P67" i="6"/>
  <c r="R67" i="6" s="1"/>
  <c r="G86" i="6" s="1"/>
  <c r="P66" i="6"/>
  <c r="R66" i="6" s="1"/>
  <c r="G85" i="6" s="1"/>
  <c r="R58" i="6"/>
  <c r="P57" i="6"/>
  <c r="R57" i="6" s="1"/>
  <c r="P58" i="6"/>
  <c r="P59" i="6"/>
  <c r="R59" i="6" s="1"/>
  <c r="P60" i="6"/>
  <c r="R60" i="6" s="1"/>
  <c r="P61" i="6"/>
  <c r="R61" i="6" s="1"/>
  <c r="P62" i="6"/>
  <c r="R62" i="6" s="1"/>
  <c r="P56" i="6"/>
  <c r="R56" i="6" s="1"/>
  <c r="P5" i="6"/>
  <c r="R5" i="6" s="1"/>
  <c r="P6" i="6"/>
  <c r="P7" i="6"/>
  <c r="P8" i="6"/>
  <c r="P9" i="6"/>
  <c r="R9" i="6" s="1"/>
  <c r="P10" i="6"/>
  <c r="R10" i="6" s="1"/>
  <c r="P11" i="6"/>
  <c r="P12" i="6"/>
  <c r="R12" i="6" s="1"/>
  <c r="P13" i="6"/>
  <c r="R13" i="6" s="1"/>
  <c r="P14" i="6"/>
  <c r="R14" i="6" s="1"/>
  <c r="P15" i="6"/>
  <c r="P16" i="6"/>
  <c r="P17" i="6"/>
  <c r="R17" i="6" s="1"/>
  <c r="P18" i="6"/>
  <c r="R18" i="6" s="1"/>
  <c r="P19" i="6"/>
  <c r="P20" i="6"/>
  <c r="R20" i="6" s="1"/>
  <c r="P21" i="6"/>
  <c r="R21" i="6" s="1"/>
  <c r="P22" i="6"/>
  <c r="P23" i="6"/>
  <c r="P24" i="6"/>
  <c r="P25" i="6"/>
  <c r="R25" i="6" s="1"/>
  <c r="P26" i="6"/>
  <c r="R26" i="6" s="1"/>
  <c r="P27" i="6"/>
  <c r="P28" i="6"/>
  <c r="R28" i="6" s="1"/>
  <c r="P29" i="6"/>
  <c r="R29" i="6" s="1"/>
  <c r="P30" i="6"/>
  <c r="R30" i="6" s="1"/>
  <c r="P31" i="6"/>
  <c r="P32" i="6"/>
  <c r="P33" i="6"/>
  <c r="R33" i="6" s="1"/>
  <c r="P34" i="6"/>
  <c r="R34" i="6" s="1"/>
  <c r="P35" i="6"/>
  <c r="P36" i="6"/>
  <c r="R36" i="6" s="1"/>
  <c r="P37" i="6"/>
  <c r="R37" i="6" s="1"/>
  <c r="P38" i="6"/>
  <c r="P39" i="6"/>
  <c r="P40" i="6"/>
  <c r="P41" i="6"/>
  <c r="R41" i="6" s="1"/>
  <c r="P42" i="6"/>
  <c r="R42" i="6" s="1"/>
  <c r="P43" i="6"/>
  <c r="P44" i="6"/>
  <c r="R44" i="6" s="1"/>
  <c r="P45" i="6"/>
  <c r="R45" i="6" s="1"/>
  <c r="P46" i="6"/>
  <c r="R46" i="6" s="1"/>
  <c r="P47" i="6"/>
  <c r="P48" i="6"/>
  <c r="P49" i="6"/>
  <c r="R49" i="6" s="1"/>
  <c r="P50" i="6"/>
  <c r="R50" i="6" s="1"/>
  <c r="P51" i="6"/>
  <c r="P52" i="6"/>
  <c r="R52" i="6" s="1"/>
  <c r="P4" i="6"/>
  <c r="R4" i="6" s="1"/>
  <c r="R6" i="6"/>
  <c r="R7" i="6"/>
  <c r="R8" i="6"/>
  <c r="R11" i="6"/>
  <c r="R15" i="6"/>
  <c r="R16" i="6"/>
  <c r="R19" i="6"/>
  <c r="R22" i="6"/>
  <c r="R23" i="6"/>
  <c r="R24" i="6"/>
  <c r="R27" i="6"/>
  <c r="R31" i="6"/>
  <c r="R32" i="6"/>
  <c r="R35" i="6"/>
  <c r="R38" i="6"/>
  <c r="R39" i="6"/>
  <c r="R40" i="6"/>
  <c r="R43" i="6"/>
  <c r="R47" i="6"/>
  <c r="R48" i="6"/>
  <c r="R51" i="6"/>
  <c r="F83" i="6"/>
  <c r="F82" i="6"/>
  <c r="F81" i="6"/>
  <c r="F80" i="6"/>
  <c r="F79" i="6"/>
  <c r="F78" i="6"/>
  <c r="C9" i="14" l="1"/>
  <c r="D51" i="12"/>
  <c r="F51" i="12" s="1"/>
  <c r="F78" i="12" s="1"/>
  <c r="D49" i="12"/>
  <c r="F49" i="12" s="1"/>
  <c r="F74" i="12" s="1"/>
  <c r="C7" i="14"/>
  <c r="D56" i="12"/>
  <c r="C12" i="14"/>
  <c r="C4" i="14"/>
  <c r="D46" i="12"/>
  <c r="C8" i="14"/>
  <c r="D50" i="12"/>
  <c r="F50" i="12" s="1"/>
  <c r="F75" i="12" s="1"/>
  <c r="C13" i="14"/>
  <c r="D58" i="12"/>
  <c r="D47" i="12"/>
  <c r="F47" i="12" s="1"/>
  <c r="F72" i="12" s="1"/>
  <c r="C5" i="14"/>
  <c r="D53" i="12"/>
  <c r="F53" i="12" s="1"/>
  <c r="C10" i="14"/>
  <c r="C14" i="14"/>
  <c r="D59" i="12"/>
  <c r="C6" i="14"/>
  <c r="D48" i="12"/>
  <c r="F48" i="12" s="1"/>
  <c r="F73" i="12" s="1"/>
  <c r="C11" i="14"/>
  <c r="D54" i="12"/>
  <c r="F54" i="12" s="1"/>
  <c r="AD21" i="7"/>
  <c r="AD22" i="7"/>
  <c r="AD23" i="7"/>
  <c r="AD24" i="7"/>
  <c r="AD11" i="7"/>
  <c r="AD12" i="7"/>
  <c r="AD25" i="7"/>
  <c r="AS33" i="7"/>
  <c r="AD6" i="7"/>
  <c r="G88" i="6"/>
  <c r="V7" i="4"/>
  <c r="V8" i="4" s="1"/>
  <c r="V9" i="4" s="1"/>
  <c r="V10" i="4" s="1"/>
  <c r="V11" i="4" s="1"/>
  <c r="V12" i="4" s="1"/>
  <c r="N8" i="4"/>
  <c r="N10" i="4"/>
  <c r="N11" i="4"/>
  <c r="N9" i="4"/>
  <c r="N7" i="4"/>
  <c r="AR6" i="4"/>
  <c r="AM7" i="4"/>
  <c r="AM8" i="4" s="1"/>
  <c r="AM9" i="4" s="1"/>
  <c r="AM10" i="4" s="1"/>
  <c r="AM11" i="4" s="1"/>
  <c r="AM12" i="4" s="1"/>
  <c r="AM13" i="4" s="1"/>
  <c r="AM1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8" i="4" s="1"/>
  <c r="AI29" i="4" s="1"/>
  <c r="AD7" i="4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28" i="4" s="1"/>
  <c r="AE29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Q28" i="4" s="1"/>
  <c r="AQ29" i="4" s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28" i="4" s="1"/>
  <c r="AL29" i="4" s="1"/>
  <c r="AF7" i="4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G28" i="4" s="1"/>
  <c r="AG29" i="4" s="1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C28" i="4" s="1"/>
  <c r="AC29" i="4" s="1"/>
  <c r="X7" i="4"/>
  <c r="X8" i="4" s="1"/>
  <c r="X9" i="4" s="1"/>
  <c r="X10" i="4" s="1"/>
  <c r="X11" i="4" s="1"/>
  <c r="X12" i="4" s="1"/>
  <c r="X13" i="4" s="1"/>
  <c r="N19" i="4"/>
  <c r="N12" i="4"/>
  <c r="G82" i="6"/>
  <c r="G81" i="6"/>
  <c r="G83" i="6"/>
  <c r="G79" i="6"/>
  <c r="G77" i="6"/>
  <c r="G78" i="6"/>
  <c r="G80" i="6"/>
  <c r="S52" i="6"/>
  <c r="G21" i="5"/>
  <c r="G22" i="5"/>
  <c r="G23" i="5"/>
  <c r="G24" i="5"/>
  <c r="G20" i="5"/>
  <c r="G17" i="5"/>
  <c r="G18" i="5"/>
  <c r="H18" i="5" s="1"/>
  <c r="J18" i="5" s="1"/>
  <c r="G16" i="5"/>
  <c r="G14" i="5"/>
  <c r="G12" i="5"/>
  <c r="G13" i="5"/>
  <c r="G11" i="5"/>
  <c r="G8" i="5"/>
  <c r="H8" i="5" s="1"/>
  <c r="J8" i="5" s="1"/>
  <c r="G9" i="5"/>
  <c r="G7" i="5"/>
  <c r="H7" i="5" s="1"/>
  <c r="J7" i="5" s="1"/>
  <c r="F21" i="5"/>
  <c r="H21" i="5" s="1"/>
  <c r="J21" i="5" s="1"/>
  <c r="F22" i="5"/>
  <c r="H22" i="5" s="1"/>
  <c r="J22" i="5" s="1"/>
  <c r="F23" i="5"/>
  <c r="F24" i="5"/>
  <c r="F20" i="5"/>
  <c r="H20" i="5" s="1"/>
  <c r="J20" i="5" s="1"/>
  <c r="F17" i="5"/>
  <c r="F16" i="5"/>
  <c r="F12" i="5"/>
  <c r="F13" i="5"/>
  <c r="F14" i="5"/>
  <c r="H14" i="5" s="1"/>
  <c r="J14" i="5" s="1"/>
  <c r="F11" i="5"/>
  <c r="F9" i="5"/>
  <c r="D55" i="2"/>
  <c r="B14" i="7" l="1"/>
  <c r="B40" i="7" s="1"/>
  <c r="Q40" i="7" s="1"/>
  <c r="H73" i="12"/>
  <c r="J73" i="12" s="1"/>
  <c r="Q14" i="7" s="1"/>
  <c r="E19" i="14"/>
  <c r="F19" i="14" s="1"/>
  <c r="H19" i="14" s="1"/>
  <c r="E13" i="14"/>
  <c r="E24" i="14" s="1"/>
  <c r="B15" i="7"/>
  <c r="B41" i="7" s="1"/>
  <c r="Q41" i="7" s="1"/>
  <c r="H74" i="12"/>
  <c r="J74" i="12" s="1"/>
  <c r="Q15" i="7" s="1"/>
  <c r="D16" i="4" s="1"/>
  <c r="B16" i="7"/>
  <c r="B42" i="7" s="1"/>
  <c r="Q42" i="7" s="1"/>
  <c r="H75" i="12"/>
  <c r="J75" i="12" s="1"/>
  <c r="Q16" i="7" s="1"/>
  <c r="D17" i="4" s="1"/>
  <c r="B19" i="7"/>
  <c r="B45" i="7" s="1"/>
  <c r="Q45" i="7" s="1"/>
  <c r="H78" i="12"/>
  <c r="J78" i="12" s="1"/>
  <c r="Q19" i="7" s="1"/>
  <c r="E20" i="14"/>
  <c r="F20" i="14" s="1"/>
  <c r="H20" i="14" s="1"/>
  <c r="E14" i="14"/>
  <c r="E25" i="14" s="1"/>
  <c r="B13" i="7"/>
  <c r="H72" i="12"/>
  <c r="J72" i="12" s="1"/>
  <c r="Q13" i="7" s="1"/>
  <c r="AS34" i="7"/>
  <c r="AS35" i="7" s="1"/>
  <c r="K15" i="4"/>
  <c r="AM15" i="4" s="1"/>
  <c r="D66" i="7"/>
  <c r="K20" i="4"/>
  <c r="AR7" i="4"/>
  <c r="AR8" i="4" s="1"/>
  <c r="H23" i="5"/>
  <c r="J23" i="5" s="1"/>
  <c r="H13" i="5"/>
  <c r="J13" i="5" s="1"/>
  <c r="H12" i="5"/>
  <c r="J12" i="5" s="1"/>
  <c r="H24" i="5"/>
  <c r="J24" i="5" s="1"/>
  <c r="C16" i="4"/>
  <c r="C14" i="4"/>
  <c r="D59" i="2"/>
  <c r="C15" i="4"/>
  <c r="C21" i="4"/>
  <c r="C17" i="4"/>
  <c r="N17" i="4" s="1"/>
  <c r="G92" i="6"/>
  <c r="C18" i="4"/>
  <c r="N18" i="4" s="1"/>
  <c r="N22" i="4"/>
  <c r="H16" i="5"/>
  <c r="J16" i="5" s="1"/>
  <c r="H17" i="5"/>
  <c r="J17" i="5" s="1"/>
  <c r="H9" i="5"/>
  <c r="J9" i="5" s="1"/>
  <c r="H11" i="5"/>
  <c r="J11" i="5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Q26" i="7" l="1"/>
  <c r="AG39" i="7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C13" i="7"/>
  <c r="AD13" i="7" s="1"/>
  <c r="D14" i="4"/>
  <c r="X14" i="4" s="1"/>
  <c r="AC42" i="7"/>
  <c r="G16" i="7"/>
  <c r="G24" i="14"/>
  <c r="I24" i="14" s="1"/>
  <c r="V16" i="7" s="1"/>
  <c r="B39" i="7"/>
  <c r="Q39" i="7" s="1"/>
  <c r="B26" i="7"/>
  <c r="AC19" i="7"/>
  <c r="AD19" i="7" s="1"/>
  <c r="D20" i="4"/>
  <c r="N20" i="4" s="1"/>
  <c r="AC16" i="7"/>
  <c r="AD16" i="7" s="1"/>
  <c r="G17" i="7"/>
  <c r="G25" i="14"/>
  <c r="I25" i="14" s="1"/>
  <c r="V17" i="7" s="1"/>
  <c r="AC17" i="7" s="1"/>
  <c r="AD17" i="7" s="1"/>
  <c r="AC45" i="7"/>
  <c r="D15" i="4"/>
  <c r="N15" i="4" s="1"/>
  <c r="AC14" i="7"/>
  <c r="AD14" i="7" s="1"/>
  <c r="AC41" i="7"/>
  <c r="AC40" i="7"/>
  <c r="D68" i="7"/>
  <c r="AC18" i="7"/>
  <c r="AK41" i="7"/>
  <c r="AC15" i="7"/>
  <c r="AS36" i="7"/>
  <c r="K16" i="4"/>
  <c r="N16" i="4" s="1"/>
  <c r="AR9" i="4"/>
  <c r="C13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W28" i="4" s="1"/>
  <c r="W29" i="4" s="1"/>
  <c r="N23" i="4"/>
  <c r="C59" i="2"/>
  <c r="E57" i="2"/>
  <c r="E59" i="2" s="1"/>
  <c r="F57" i="2"/>
  <c r="F59" i="2" s="1"/>
  <c r="G57" i="2"/>
  <c r="G59" i="2" s="1"/>
  <c r="H57" i="2"/>
  <c r="H59" i="2" s="1"/>
  <c r="I57" i="2"/>
  <c r="I59" i="2" s="1"/>
  <c r="J57" i="2"/>
  <c r="J59" i="2" s="1"/>
  <c r="K57" i="2"/>
  <c r="K59" i="2" s="1"/>
  <c r="L57" i="2"/>
  <c r="L59" i="2" s="1"/>
  <c r="M57" i="2"/>
  <c r="M59" i="2" s="1"/>
  <c r="N57" i="2"/>
  <c r="N59" i="2" s="1"/>
  <c r="O57" i="2"/>
  <c r="O59" i="2" s="1"/>
  <c r="P57" i="2"/>
  <c r="P59" i="2" s="1"/>
  <c r="Q57" i="2"/>
  <c r="Q59" i="2" s="1"/>
  <c r="R57" i="2"/>
  <c r="R59" i="2" s="1"/>
  <c r="S57" i="2"/>
  <c r="S59" i="2" s="1"/>
  <c r="T57" i="2"/>
  <c r="T59" i="2" s="1"/>
  <c r="U57" i="2"/>
  <c r="U59" i="2" s="1"/>
  <c r="V57" i="2"/>
  <c r="V59" i="2" s="1"/>
  <c r="B57" i="2"/>
  <c r="X15" i="4" l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Y28" i="4" s="1"/>
  <c r="Y29" i="4" s="1"/>
  <c r="AC39" i="7"/>
  <c r="AH39" i="7"/>
  <c r="N14" i="4"/>
  <c r="AD18" i="7"/>
  <c r="AD15" i="7"/>
  <c r="AK42" i="7"/>
  <c r="D70" i="7"/>
  <c r="AC20" i="7"/>
  <c r="AS37" i="7"/>
  <c r="S26" i="7"/>
  <c r="AM16" i="4"/>
  <c r="AM17" i="4" s="1"/>
  <c r="AM18" i="4" s="1"/>
  <c r="AM19" i="4" s="1"/>
  <c r="AM20" i="4" s="1"/>
  <c r="K21" i="4"/>
  <c r="N21" i="4" s="1"/>
  <c r="AR10" i="4"/>
  <c r="N13" i="4"/>
  <c r="N24" i="4"/>
  <c r="W59" i="2"/>
  <c r="L14" i="2"/>
  <c r="M14" i="2"/>
  <c r="N14" i="2"/>
  <c r="O14" i="2"/>
  <c r="P14" i="2"/>
  <c r="Q14" i="2"/>
  <c r="R14" i="2"/>
  <c r="S14" i="2"/>
  <c r="T14" i="2"/>
  <c r="U14" i="2"/>
  <c r="V14" i="2"/>
  <c r="K14" i="2"/>
  <c r="V21" i="2"/>
  <c r="U21" i="2"/>
  <c r="T21" i="2"/>
  <c r="S21" i="2"/>
  <c r="R21" i="2"/>
  <c r="Q21" i="2"/>
  <c r="P21" i="2"/>
  <c r="O21" i="2"/>
  <c r="N21" i="2"/>
  <c r="M21" i="2"/>
  <c r="L21" i="2"/>
  <c r="K21" i="2"/>
  <c r="AX39" i="7" l="1"/>
  <c r="AH40" i="7"/>
  <c r="AD20" i="7"/>
  <c r="AS38" i="7"/>
  <c r="AK43" i="7"/>
  <c r="AM21" i="4"/>
  <c r="AM22" i="4" s="1"/>
  <c r="AM23" i="4" s="1"/>
  <c r="AM24" i="4" s="1"/>
  <c r="AM25" i="4" s="1"/>
  <c r="AM26" i="4" s="1"/>
  <c r="AN28" i="4" s="1"/>
  <c r="AN29" i="4" s="1"/>
  <c r="AR11" i="4"/>
  <c r="N25" i="4"/>
  <c r="N26" i="4"/>
  <c r="K27" i="1"/>
  <c r="O27" i="1"/>
  <c r="U27" i="1"/>
  <c r="V27" i="1"/>
  <c r="W27" i="1"/>
  <c r="X27" i="1"/>
  <c r="Y27" i="1"/>
  <c r="Z27" i="1"/>
  <c r="AA27" i="1"/>
  <c r="AB27" i="1"/>
  <c r="AC27" i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B21" i="2"/>
  <c r="B23" i="2" s="1"/>
  <c r="I70" i="2"/>
  <c r="L70" i="2" s="1"/>
  <c r="J70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L76" i="2" s="1"/>
  <c r="J76" i="2"/>
  <c r="I77" i="2"/>
  <c r="L77" i="2" s="1"/>
  <c r="J77" i="2"/>
  <c r="I78" i="2"/>
  <c r="L78" i="2" s="1"/>
  <c r="J78" i="2"/>
  <c r="AX40" i="7" l="1"/>
  <c r="AH41" i="7"/>
  <c r="AK44" i="7"/>
  <c r="AS39" i="7"/>
  <c r="AR12" i="4"/>
  <c r="N75" i="2"/>
  <c r="N71" i="2"/>
  <c r="N74" i="2"/>
  <c r="N72" i="2"/>
  <c r="N73" i="2"/>
  <c r="N77" i="2"/>
  <c r="N76" i="2"/>
  <c r="N70" i="2"/>
  <c r="Q23" i="2"/>
  <c r="U23" i="2"/>
  <c r="K23" i="2"/>
  <c r="M23" i="2"/>
  <c r="O23" i="2"/>
  <c r="R23" i="2"/>
  <c r="V23" i="2"/>
  <c r="S23" i="2"/>
  <c r="L23" i="2"/>
  <c r="N23" i="2"/>
  <c r="P23" i="2"/>
  <c r="T23" i="2"/>
  <c r="N78" i="2"/>
  <c r="AX41" i="7" l="1"/>
  <c r="AH42" i="7"/>
  <c r="AS40" i="7"/>
  <c r="AK45" i="7"/>
  <c r="AR13" i="4"/>
  <c r="C45" i="2"/>
  <c r="C47" i="2" s="1"/>
  <c r="D45" i="2"/>
  <c r="D47" i="2" s="1"/>
  <c r="E45" i="2"/>
  <c r="E47" i="2" s="1"/>
  <c r="F45" i="2"/>
  <c r="G45" i="2"/>
  <c r="G47" i="2" s="1"/>
  <c r="H45" i="2"/>
  <c r="I45" i="2"/>
  <c r="I47" i="2" s="1"/>
  <c r="J45" i="2"/>
  <c r="J47" i="2" s="1"/>
  <c r="K45" i="2"/>
  <c r="K47" i="2" s="1"/>
  <c r="L45" i="2"/>
  <c r="L47" i="2" s="1"/>
  <c r="M45" i="2"/>
  <c r="M47" i="2" s="1"/>
  <c r="N45" i="2"/>
  <c r="O45" i="2"/>
  <c r="O47" i="2" s="1"/>
  <c r="P45" i="2"/>
  <c r="P47" i="2" s="1"/>
  <c r="B45" i="2"/>
  <c r="B47" i="2" s="1"/>
  <c r="C39" i="2"/>
  <c r="C41" i="2" s="1"/>
  <c r="D39" i="2"/>
  <c r="D41" i="2" s="1"/>
  <c r="E39" i="2"/>
  <c r="E41" i="2" s="1"/>
  <c r="F39" i="2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N39" i="2"/>
  <c r="N41" i="2" s="1"/>
  <c r="O39" i="2"/>
  <c r="O41" i="2" s="1"/>
  <c r="P39" i="2"/>
  <c r="P41" i="2" s="1"/>
  <c r="M41" i="2"/>
  <c r="B39" i="2"/>
  <c r="B41" i="2" s="1"/>
  <c r="C33" i="2"/>
  <c r="C35" i="2" s="1"/>
  <c r="D33" i="2"/>
  <c r="D35" i="2" s="1"/>
  <c r="E33" i="2"/>
  <c r="E35" i="2" s="1"/>
  <c r="F33" i="2"/>
  <c r="F35" i="2" s="1"/>
  <c r="G33" i="2"/>
  <c r="G35" i="2" s="1"/>
  <c r="H33" i="2"/>
  <c r="H35" i="2" s="1"/>
  <c r="I33" i="2"/>
  <c r="I35" i="2" s="1"/>
  <c r="J33" i="2"/>
  <c r="J35" i="2" s="1"/>
  <c r="K33" i="2"/>
  <c r="K35" i="2" s="1"/>
  <c r="L33" i="2"/>
  <c r="L35" i="2" s="1"/>
  <c r="M33" i="2"/>
  <c r="M35" i="2" s="1"/>
  <c r="N33" i="2"/>
  <c r="N35" i="2" s="1"/>
  <c r="O33" i="2"/>
  <c r="O35" i="2" s="1"/>
  <c r="P33" i="2"/>
  <c r="P35" i="2" s="1"/>
  <c r="B33" i="2"/>
  <c r="B35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B27" i="2"/>
  <c r="B29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B14" i="2"/>
  <c r="B16" i="2" s="1"/>
  <c r="C8" i="2"/>
  <c r="C10" i="2" s="1"/>
  <c r="D8" i="2"/>
  <c r="D10" i="2" s="1"/>
  <c r="E8" i="2"/>
  <c r="E10" i="2" s="1"/>
  <c r="F8" i="2"/>
  <c r="F10" i="2" s="1"/>
  <c r="B8" i="2"/>
  <c r="B10" i="2" s="1"/>
  <c r="F47" i="2"/>
  <c r="H47" i="2"/>
  <c r="N47" i="2"/>
  <c r="F41" i="2"/>
  <c r="Q44" i="2"/>
  <c r="Q45" i="2" s="1"/>
  <c r="R44" i="2"/>
  <c r="R45" i="2" s="1"/>
  <c r="S44" i="2"/>
  <c r="S45" i="2" s="1"/>
  <c r="T44" i="2"/>
  <c r="T45" i="2" s="1"/>
  <c r="U44" i="2"/>
  <c r="U45" i="2" s="1"/>
  <c r="V44" i="2"/>
  <c r="V45" i="2" s="1"/>
  <c r="Q38" i="2"/>
  <c r="R38" i="2"/>
  <c r="S38" i="2"/>
  <c r="T38" i="2"/>
  <c r="U38" i="2"/>
  <c r="V38" i="2"/>
  <c r="Q32" i="2"/>
  <c r="Q33" i="2" s="1"/>
  <c r="R32" i="2"/>
  <c r="R33" i="2" s="1"/>
  <c r="S32" i="2"/>
  <c r="S33" i="2" s="1"/>
  <c r="T32" i="2"/>
  <c r="T33" i="2" s="1"/>
  <c r="U32" i="2"/>
  <c r="U33" i="2" s="1"/>
  <c r="V32" i="2"/>
  <c r="V33" i="2" s="1"/>
  <c r="Q26" i="2"/>
  <c r="Q27" i="2" s="1"/>
  <c r="Q29" i="2" s="1"/>
  <c r="R26" i="2"/>
  <c r="R27" i="2" s="1"/>
  <c r="R29" i="2" s="1"/>
  <c r="S26" i="2"/>
  <c r="S27" i="2" s="1"/>
  <c r="S29" i="2" s="1"/>
  <c r="T26" i="2"/>
  <c r="T27" i="2" s="1"/>
  <c r="T29" i="2" s="1"/>
  <c r="U26" i="2"/>
  <c r="U27" i="2" s="1"/>
  <c r="U29" i="2" s="1"/>
  <c r="V26" i="2"/>
  <c r="V27" i="2" s="1"/>
  <c r="V29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T7" i="2"/>
  <c r="T8" i="2" s="1"/>
  <c r="U7" i="2"/>
  <c r="U8" i="2" s="1"/>
  <c r="V7" i="2"/>
  <c r="V8" i="2" s="1"/>
  <c r="M7" i="2"/>
  <c r="M8" i="2" s="1"/>
  <c r="G7" i="2"/>
  <c r="G8" i="2" s="1"/>
  <c r="G10" i="2" s="1"/>
  <c r="H7" i="2"/>
  <c r="H8" i="2" s="1"/>
  <c r="I7" i="2"/>
  <c r="I8" i="2" s="1"/>
  <c r="J7" i="2"/>
  <c r="J8" i="2" s="1"/>
  <c r="K7" i="2"/>
  <c r="K8" i="2" s="1"/>
  <c r="L7" i="2"/>
  <c r="L8" i="2" s="1"/>
  <c r="Z24" i="1"/>
  <c r="AA24" i="1"/>
  <c r="AB24" i="1"/>
  <c r="AC24" i="1"/>
  <c r="AD24" i="1"/>
  <c r="Y24" i="1"/>
  <c r="AH43" i="7" l="1"/>
  <c r="AX42" i="7"/>
  <c r="AK46" i="7"/>
  <c r="AS41" i="7"/>
  <c r="AR14" i="4"/>
  <c r="I65" i="2"/>
  <c r="L65" i="2" s="1"/>
  <c r="I64" i="2"/>
  <c r="L64" i="2" s="1"/>
  <c r="N64" i="2" s="1"/>
  <c r="J65" i="2"/>
  <c r="N65" i="2" s="1"/>
  <c r="T35" i="2"/>
  <c r="V39" i="2"/>
  <c r="V41" i="2" s="1"/>
  <c r="AD25" i="1" s="1"/>
  <c r="T39" i="2"/>
  <c r="T41" i="2" s="1"/>
  <c r="AB25" i="1" s="1"/>
  <c r="R39" i="2"/>
  <c r="R41" i="2" s="1"/>
  <c r="Z25" i="1" s="1"/>
  <c r="T47" i="2"/>
  <c r="R47" i="2"/>
  <c r="U35" i="2"/>
  <c r="Q35" i="2"/>
  <c r="U47" i="2"/>
  <c r="S47" i="2"/>
  <c r="Q47" i="2"/>
  <c r="S35" i="2"/>
  <c r="S39" i="2"/>
  <c r="S41" i="2" s="1"/>
  <c r="AA25" i="1" s="1"/>
  <c r="V35" i="2"/>
  <c r="R35" i="2"/>
  <c r="V47" i="2"/>
  <c r="U39" i="2"/>
  <c r="U41" i="2" s="1"/>
  <c r="AC25" i="1" s="1"/>
  <c r="Q39" i="2"/>
  <c r="Q41" i="2" s="1"/>
  <c r="Y25" i="1" s="1"/>
  <c r="V10" i="2"/>
  <c r="T10" i="2"/>
  <c r="R10" i="2"/>
  <c r="P10" i="2"/>
  <c r="N10" i="2"/>
  <c r="L10" i="2"/>
  <c r="H10" i="2"/>
  <c r="J10" i="2"/>
  <c r="U10" i="2"/>
  <c r="S10" i="2"/>
  <c r="Q10" i="2"/>
  <c r="O10" i="2"/>
  <c r="M10" i="2"/>
  <c r="K10" i="2"/>
  <c r="I10" i="2"/>
  <c r="S16" i="2"/>
  <c r="Q16" i="2"/>
  <c r="M16" i="2"/>
  <c r="K16" i="2"/>
  <c r="U16" i="2"/>
  <c r="O16" i="2"/>
  <c r="V16" i="2"/>
  <c r="T16" i="2"/>
  <c r="R16" i="2"/>
  <c r="P16" i="2"/>
  <c r="N16" i="2"/>
  <c r="L16" i="2"/>
  <c r="AH44" i="7" l="1"/>
  <c r="AX43" i="7"/>
  <c r="AS42" i="7"/>
  <c r="AK47" i="7"/>
  <c r="AR15" i="4"/>
  <c r="AX44" i="7" l="1"/>
  <c r="AH45" i="7"/>
  <c r="AK48" i="7"/>
  <c r="AS43" i="7"/>
  <c r="AR16" i="4"/>
  <c r="I66" i="2"/>
  <c r="L66" i="2" s="1"/>
  <c r="J66" i="2"/>
  <c r="J67" i="2"/>
  <c r="I67" i="2"/>
  <c r="L67" i="2" s="1"/>
  <c r="AD27" i="1"/>
  <c r="AX45" i="7" l="1"/>
  <c r="AH46" i="7"/>
  <c r="AS44" i="7"/>
  <c r="AK49" i="7"/>
  <c r="AR17" i="4"/>
  <c r="N66" i="2"/>
  <c r="I68" i="2"/>
  <c r="L68" i="2" s="1"/>
  <c r="J68" i="2"/>
  <c r="N67" i="2"/>
  <c r="AH47" i="7" l="1"/>
  <c r="AX46" i="7"/>
  <c r="AK50" i="7"/>
  <c r="AS45" i="7"/>
  <c r="AR18" i="4"/>
  <c r="N68" i="2"/>
  <c r="J69" i="2"/>
  <c r="I69" i="2"/>
  <c r="L69" i="2" s="1"/>
  <c r="AH48" i="7" l="1"/>
  <c r="AX47" i="7"/>
  <c r="AS46" i="7"/>
  <c r="AK51" i="7"/>
  <c r="AR19" i="4"/>
  <c r="N69" i="2"/>
  <c r="AH49" i="7" l="1"/>
  <c r="AX48" i="7"/>
  <c r="AK52" i="7"/>
  <c r="AS47" i="7"/>
  <c r="AR20" i="4"/>
  <c r="AH50" i="7" l="1"/>
  <c r="AX49" i="7"/>
  <c r="AS48" i="7"/>
  <c r="AR21" i="4"/>
  <c r="AH51" i="7" l="1"/>
  <c r="AX50" i="7"/>
  <c r="AS49" i="7"/>
  <c r="AR22" i="4"/>
  <c r="AG52" i="7" l="1"/>
  <c r="AX51" i="7"/>
  <c r="AS50" i="7"/>
  <c r="AR23" i="4"/>
  <c r="AS51" i="7" l="1"/>
  <c r="AR24" i="4"/>
  <c r="AS52" i="7" l="1"/>
  <c r="AR25" i="4"/>
  <c r="AR26" i="4" l="1"/>
  <c r="AT28" i="4" l="1"/>
  <c r="AT29" i="4" s="1"/>
  <c r="C26" i="7"/>
  <c r="D26" i="7" s="1"/>
  <c r="F88" i="12"/>
  <c r="H88" i="12" s="1"/>
  <c r="J88" i="12" s="1"/>
  <c r="R5" i="7" s="1"/>
  <c r="E6" i="4" l="1"/>
  <c r="Z6" i="4" s="1"/>
  <c r="AW6" i="4" s="1"/>
  <c r="C55" i="7"/>
  <c r="AI31" i="7"/>
  <c r="R26" i="7"/>
  <c r="N6" i="4"/>
  <c r="Z7" i="4" l="1"/>
  <c r="C76" i="7"/>
  <c r="AC26" i="7"/>
  <c r="AW7" i="4"/>
  <c r="Z8" i="4"/>
  <c r="O6" i="4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V28" i="4" s="1"/>
  <c r="AV29" i="4" s="1"/>
  <c r="AW31" i="7"/>
  <c r="AI32" i="7"/>
  <c r="AE5" i="7"/>
  <c r="AG5" i="7" l="1"/>
  <c r="AE6" i="7"/>
  <c r="O7" i="4"/>
  <c r="P6" i="4"/>
  <c r="AW32" i="7"/>
  <c r="AI33" i="7"/>
  <c r="Z9" i="4"/>
  <c r="AW8" i="4"/>
  <c r="Z10" i="4" l="1"/>
  <c r="AW9" i="4"/>
  <c r="AI34" i="7"/>
  <c r="AW33" i="7"/>
  <c r="AE7" i="7"/>
  <c r="AG6" i="7"/>
  <c r="P7" i="4"/>
  <c r="O8" i="4"/>
  <c r="P8" i="4" l="1"/>
  <c r="O9" i="4"/>
  <c r="AW34" i="7"/>
  <c r="AI35" i="7"/>
  <c r="AG7" i="7"/>
  <c r="AE8" i="7"/>
  <c r="AW10" i="4"/>
  <c r="Z11" i="4"/>
  <c r="AW11" i="4" l="1"/>
  <c r="Z12" i="4"/>
  <c r="AW35" i="7"/>
  <c r="AI36" i="7"/>
  <c r="AE9" i="7"/>
  <c r="AG8" i="7"/>
  <c r="O10" i="4"/>
  <c r="P9" i="4"/>
  <c r="AW36" i="7" l="1"/>
  <c r="AI37" i="7"/>
  <c r="P10" i="4"/>
  <c r="O11" i="4"/>
  <c r="AW12" i="4"/>
  <c r="Z13" i="4"/>
  <c r="AE10" i="7"/>
  <c r="AG9" i="7"/>
  <c r="P11" i="4" l="1"/>
  <c r="O12" i="4"/>
  <c r="AE11" i="7"/>
  <c r="AG10" i="7"/>
  <c r="Z14" i="4"/>
  <c r="AW13" i="4"/>
  <c r="AI38" i="7"/>
  <c r="AW37" i="7"/>
  <c r="AI39" i="7" l="1"/>
  <c r="AW38" i="7"/>
  <c r="AG11" i="7"/>
  <c r="AE12" i="7"/>
  <c r="P12" i="4"/>
  <c r="O13" i="4"/>
  <c r="AW14" i="4"/>
  <c r="Z15" i="4"/>
  <c r="AW15" i="4" l="1"/>
  <c r="Z16" i="4"/>
  <c r="AG12" i="7"/>
  <c r="AE13" i="7"/>
  <c r="P13" i="4"/>
  <c r="O14" i="4"/>
  <c r="AW39" i="7"/>
  <c r="AI40" i="7"/>
  <c r="AI41" i="7" l="1"/>
  <c r="AW40" i="7"/>
  <c r="AG13" i="7"/>
  <c r="AE14" i="7"/>
  <c r="O15" i="4"/>
  <c r="P14" i="4"/>
  <c r="AW16" i="4"/>
  <c r="Z17" i="4"/>
  <c r="AW17" i="4" l="1"/>
  <c r="Z18" i="4"/>
  <c r="AG14" i="7"/>
  <c r="AE15" i="7"/>
  <c r="O16" i="4"/>
  <c r="P15" i="4"/>
  <c r="AW41" i="7"/>
  <c r="AI42" i="7"/>
  <c r="AW42" i="7" l="1"/>
  <c r="AI43" i="7"/>
  <c r="AE16" i="7"/>
  <c r="AG15" i="7"/>
  <c r="AW18" i="4"/>
  <c r="Z19" i="4"/>
  <c r="P16" i="4"/>
  <c r="O17" i="4"/>
  <c r="AG16" i="7" l="1"/>
  <c r="AE17" i="7"/>
  <c r="Z20" i="4"/>
  <c r="AW19" i="4"/>
  <c r="AW43" i="7"/>
  <c r="AI44" i="7"/>
  <c r="P17" i="4"/>
  <c r="O18" i="4"/>
  <c r="O19" i="4" l="1"/>
  <c r="P18" i="4"/>
  <c r="AW20" i="4"/>
  <c r="Z21" i="4"/>
  <c r="AW44" i="7"/>
  <c r="AI45" i="7"/>
  <c r="AG17" i="7"/>
  <c r="AE18" i="7"/>
  <c r="AE19" i="7" l="1"/>
  <c r="AG18" i="7"/>
  <c r="AI46" i="7"/>
  <c r="AW45" i="7"/>
  <c r="Z22" i="4"/>
  <c r="AW21" i="4"/>
  <c r="O20" i="4"/>
  <c r="P19" i="4"/>
  <c r="P20" i="4" l="1"/>
  <c r="O21" i="4"/>
  <c r="AW46" i="7"/>
  <c r="AI47" i="7"/>
  <c r="AW22" i="4"/>
  <c r="Z23" i="4"/>
  <c r="AG19" i="7"/>
  <c r="AE20" i="7"/>
  <c r="AG20" i="7" l="1"/>
  <c r="AE21" i="7"/>
  <c r="AW23" i="4"/>
  <c r="Z24" i="4"/>
  <c r="P21" i="4"/>
  <c r="O22" i="4"/>
  <c r="AW47" i="7"/>
  <c r="AI48" i="7"/>
  <c r="AW48" i="7" l="1"/>
  <c r="AI49" i="7"/>
  <c r="Z25" i="4"/>
  <c r="AW24" i="4"/>
  <c r="P22" i="4"/>
  <c r="O23" i="4"/>
  <c r="AG21" i="7"/>
  <c r="AE22" i="7"/>
  <c r="Z26" i="4" l="1"/>
  <c r="AW25" i="4"/>
  <c r="P23" i="4"/>
  <c r="O24" i="4"/>
  <c r="AI50" i="7"/>
  <c r="AW49" i="7"/>
  <c r="AE23" i="7"/>
  <c r="AG22" i="7"/>
  <c r="O25" i="4" l="1"/>
  <c r="P24" i="4"/>
  <c r="AG23" i="7"/>
  <c r="AE24" i="7"/>
  <c r="AW50" i="7"/>
  <c r="AI51" i="7"/>
  <c r="AW26" i="4"/>
  <c r="AA28" i="4"/>
  <c r="AA29" i="4" s="1"/>
  <c r="AI52" i="7" l="1"/>
  <c r="AW51" i="7"/>
  <c r="AW52" i="7" s="1"/>
  <c r="AE25" i="7"/>
  <c r="AG24" i="7"/>
  <c r="O26" i="4"/>
  <c r="P25" i="4"/>
  <c r="AF26" i="7" l="1"/>
  <c r="AG25" i="7"/>
  <c r="P27" i="4"/>
  <c r="P26" i="4"/>
</calcChain>
</file>

<file path=xl/comments1.xml><?xml version="1.0" encoding="utf-8"?>
<comments xmlns="http://schemas.openxmlformats.org/spreadsheetml/2006/main">
  <authors>
    <author>Cici</author>
  </authors>
  <commentList>
    <comment ref="U11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RUKD, hanya dipindah tahunnya. Dianggap TPPS Legok Nangjka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TPPS Bodebekkarpur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kapasitas 4 m3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Z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C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harga 1 lampu LED PJU 90 watt 1,8 juta/lampu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</commentList>
</comments>
</file>

<file path=xl/comments2.xml><?xml version="1.0" encoding="utf-8"?>
<comments xmlns="http://schemas.openxmlformats.org/spreadsheetml/2006/main">
  <authors>
    <author>DEWI NUR ADIYANTI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asumsi dalam sehari 5 jam maksimum tenaga surya</t>
        </r>
      </text>
    </comment>
  </commentList>
</comments>
</file>

<file path=xl/comments3.xml><?xml version="1.0" encoding="utf-8"?>
<comments xmlns="http://schemas.openxmlformats.org/spreadsheetml/2006/main">
  <authors>
    <author>Cici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Data dari RUKD</t>
        </r>
      </text>
    </comment>
  </commentList>
</comments>
</file>

<file path=xl/comments4.xml><?xml version="1.0" encoding="utf-8"?>
<comments xmlns="http://schemas.openxmlformats.org/spreadsheetml/2006/main">
  <authors>
    <author>Cici</author>
    <author>Dewi Nur Adiyanti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satuang dikoreksi jadi MWh asalhnya MW</t>
        </r>
      </text>
    </comment>
    <comment ref="A55" authorId="1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</commentList>
</comments>
</file>

<file path=xl/comments5.xml><?xml version="1.0" encoding="utf-8"?>
<comments xmlns="http://schemas.openxmlformats.org/spreadsheetml/2006/main">
  <authors>
    <author>Cici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BERDASARKAN pep rad grk 14 MW th 2016, tetapi berdasarkan searching di google, 400 KW th 2018</t>
        </r>
      </text>
    </comment>
  </commentList>
</comments>
</file>

<file path=xl/comments6.xml><?xml version="1.0" encoding="utf-8"?>
<comments xmlns="http://schemas.openxmlformats.org/spreadsheetml/2006/main">
  <authors>
    <author>Dewi Nur Adiyanti</author>
    <author>Cici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I65" authorId="1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</commentList>
</comments>
</file>

<file path=xl/comments7.xml><?xml version="1.0" encoding="utf-8"?>
<comments xmlns="http://schemas.openxmlformats.org/spreadsheetml/2006/main">
  <authors>
    <author>Dewi Nur Adiyanti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60 watt = 16.200.000</t>
        </r>
      </text>
    </comment>
  </commentList>
</comments>
</file>

<file path=xl/sharedStrings.xml><?xml version="1.0" encoding="utf-8"?>
<sst xmlns="http://schemas.openxmlformats.org/spreadsheetml/2006/main" count="1688" uniqueCount="467">
  <si>
    <t>Rencana Aksi Mitigasi Sub Sektor Pengadaan dan Penggunaan Energi</t>
  </si>
  <si>
    <t>No.</t>
  </si>
  <si>
    <t>Katagori</t>
  </si>
  <si>
    <t>Luas/ Indikasi Pembiayaan/ Penurunan Emisi</t>
  </si>
  <si>
    <t>Sumber Pendanaan</t>
  </si>
  <si>
    <t>Tahun</t>
  </si>
  <si>
    <t>Indikasi Pembiayaan (Ribu Rupiah)</t>
  </si>
  <si>
    <t>Penurunan Emisi (ton CO2eq)</t>
  </si>
  <si>
    <t>Biogas</t>
  </si>
  <si>
    <t>Jumlah Biogas (unit)</t>
  </si>
  <si>
    <t xml:space="preserve">Pengembangan Energi Baru dan Terbaharukan </t>
  </si>
  <si>
    <t>-</t>
  </si>
  <si>
    <t>PENURUNAN EMISI</t>
  </si>
  <si>
    <t>Besaran (MW)</t>
  </si>
  <si>
    <t>Daya Aktivitas (MWh)</t>
  </si>
  <si>
    <t>Faktor Emisi (ton CO2 eq/MWh)</t>
  </si>
  <si>
    <t>Penurunan Emisi (ton CO2 eq)</t>
  </si>
  <si>
    <t>Besaran (Unit)</t>
  </si>
  <si>
    <t>Substitusi Bahan Bakar Fosil</t>
  </si>
  <si>
    <t xml:space="preserve">Aksi Mitigasi </t>
  </si>
  <si>
    <t>Indikator</t>
  </si>
  <si>
    <t>Parameter</t>
  </si>
  <si>
    <t>Volume 1 unit digester (m3)*</t>
  </si>
  <si>
    <t>Jumlah unit</t>
  </si>
  <si>
    <t>Jumlah sapi per unit digester*</t>
  </si>
  <si>
    <t>Produksi biogas (m3/tahun)</t>
  </si>
  <si>
    <t>Methane Avoidance (kg/tahun)</t>
  </si>
  <si>
    <t>Data Aktivitas (liter tergantikan/tahun)</t>
  </si>
  <si>
    <t>Penurunan Emisi (tCO2e)</t>
  </si>
  <si>
    <t>Pembangunan Digester Biogas</t>
  </si>
  <si>
    <t>Volume minyak tanah dan volume gas metana</t>
  </si>
  <si>
    <t>Volume digester dan rasio substitusi, dan volume gas metana yang tidak terlepas ke atmosfer</t>
  </si>
  <si>
    <t xml:space="preserve">Pendugaan Perubahaan Konsentrasi Emisi Gas Rumah Kaca </t>
  </si>
  <si>
    <t>Bau Baseline</t>
  </si>
  <si>
    <t>Jumlah</t>
  </si>
  <si>
    <t>Kumulatif</t>
  </si>
  <si>
    <t>Emisi Setelah Pelaksanaan Aksi Mitigasi</t>
  </si>
  <si>
    <t>Penurunan Konsentrasi Emisi GRK</t>
  </si>
  <si>
    <t>Jam Operasional per tahun</t>
  </si>
  <si>
    <t>PLTA (on grid)</t>
  </si>
  <si>
    <t>PLTMH (offgrid)</t>
  </si>
  <si>
    <t>PLT Pumpstorage (on grid)</t>
  </si>
  <si>
    <t>PLTS (on grid)</t>
  </si>
  <si>
    <t>PLT Biomassa (on grid)</t>
  </si>
  <si>
    <t>PLTB (on grid)</t>
  </si>
  <si>
    <t>PLTMH (ongrid)</t>
  </si>
  <si>
    <t>SUBSTITUSI BAHAN BAKAR FOSIL KE BIOGAS</t>
  </si>
  <si>
    <t>Substitusi Bahan Bakar Fosil ke Biogas</t>
  </si>
  <si>
    <t>APBN/ APBD Provinsi</t>
  </si>
  <si>
    <t>PJU SOLARCELL</t>
  </si>
  <si>
    <t>Besaran (unit)</t>
  </si>
  <si>
    <t xml:space="preserve">Data Aktivitas </t>
  </si>
  <si>
    <t>Energi Baseline (MWh)</t>
  </si>
  <si>
    <t>Faktor Emisi*  (tCO2e/MWh)</t>
  </si>
  <si>
    <t>Energi Setelah Pemasangan Sistem PJU (MWh)</t>
  </si>
  <si>
    <t>Efisiensi Energi untuk Sistem PJU</t>
  </si>
  <si>
    <t>Jumlah PJU (unit)</t>
  </si>
  <si>
    <t>No</t>
  </si>
  <si>
    <t>Wilayah Pembangunan</t>
  </si>
  <si>
    <t>Ruas Jalan</t>
  </si>
  <si>
    <t>Tahun Anggaran</t>
  </si>
  <si>
    <t>Sollar Cell</t>
  </si>
  <si>
    <t>WP I</t>
  </si>
  <si>
    <t>Kota Bogor, Kab. Bogor, Kota Sukabumi, Kab, Sukabumi, Kab. Cianjur, Kota Depok</t>
  </si>
  <si>
    <t>Kab. Sukabumi - Jl. Lingkar Sekatan Sukabumi</t>
  </si>
  <si>
    <t>Kota Bogor - Jl. Abdullah bin Nuh dan Jl. Dramaga</t>
  </si>
  <si>
    <t>Cianjur - Cariu - Jonggol</t>
  </si>
  <si>
    <t>WP II</t>
  </si>
  <si>
    <t>Kab. Subang, Kab. Karawang, Kab. Purwakarta, Kab. Bekasi, Kota Bekasi</t>
  </si>
  <si>
    <t>Kab. Karawang - Jl. Lingkar Karawang</t>
  </si>
  <si>
    <t>Kab. Purwakarta, Jl. Sadang - Subang (Cibatu)</t>
  </si>
  <si>
    <t>Kab. Subang, Jl. Lembang - Subang (Cijambe)</t>
  </si>
  <si>
    <t>Ruas Jalan Subang - Sumedang dan Sadang - Subang - Cikamurang</t>
  </si>
  <si>
    <t>WP III</t>
  </si>
  <si>
    <t>Kota Cirebon, Kab. Cirebon, Kab. Majalengka, Kab. Indramayu, Kab. Kuningan</t>
  </si>
  <si>
    <t>Kab. Indramayu, Jl. Karang Ampel - jatibarang</t>
  </si>
  <si>
    <t>Kab. Kuningan, Jl. Kuningan - Ciledug &amp; Kuningan - Cikijing</t>
  </si>
  <si>
    <t>Ruas Jalan Jatibarang - Jati Tujuh</t>
  </si>
  <si>
    <t>WP IV</t>
  </si>
  <si>
    <t>Bagian Timur : Kab. Garut, Kab. Tasikmalaya, Kab. Ciamis, Kota Tasikmlaya, Kota Banjar, Kab. Pangandaran</t>
  </si>
  <si>
    <t>Ruas Jalan Provinsi Garut - Singaparna</t>
  </si>
  <si>
    <t>Singaparna - Tasikmalaya</t>
  </si>
  <si>
    <t>Tasikmalaya - Manonjaya</t>
  </si>
  <si>
    <t>Kadipaten Majalengka</t>
  </si>
  <si>
    <t>Kota Tasikmalaya, Jl. Manonjaya</t>
  </si>
  <si>
    <t>Kabupaten Tasikmalaya, Jl. Singaparna - Garut (Kp. Naga)</t>
  </si>
  <si>
    <t>Kabupaten Ciamis, Jl. Ciamis - Kawali</t>
  </si>
  <si>
    <t>Ruas Jalan Sasak Beusi - Cibatu - Leuwi Goong - Leles dan Ruas Jalan Sumedang - Wado</t>
  </si>
  <si>
    <t>Bagian Tengah : Kab. Bandung, Kab. Bandung Barat, Kab. Sumedang, Kota Bandung, Kota Cimahi</t>
  </si>
  <si>
    <t>Kota Bandung, Jl. Pajajaran</t>
  </si>
  <si>
    <t>Kab. Bandung Barat, Jl. Kolonel Masturi</t>
  </si>
  <si>
    <t>Ruas Jalan tasikmalaya - Manonjaya dan Ruas Jalan Ciamis - Kawali (Ciamis - Baregbeg)</t>
  </si>
  <si>
    <t>Ruas Jalan Kopo - Soreang</t>
  </si>
  <si>
    <t>Ruas Jalan Soreang - Batujajar - Cimareme</t>
  </si>
  <si>
    <t>Ruas Jalan Cimahi - Cisarua - Lembang/Jl. Kolonel Masturi</t>
  </si>
  <si>
    <t>Sumber : File Data PJU</t>
  </si>
  <si>
    <t>Data Aktivitas</t>
  </si>
  <si>
    <t>Penurunan Emisi</t>
  </si>
  <si>
    <t>Sumber : Draft Dokumen RUKD Jawa Barat</t>
  </si>
  <si>
    <t>KEGIATAN</t>
  </si>
  <si>
    <t>TAHUN PERENCANAAN</t>
  </si>
  <si>
    <t>BESARAN</t>
  </si>
  <si>
    <t>SATUAN</t>
  </si>
  <si>
    <t>Draft Dokumen RUKD Jawa Barat</t>
  </si>
  <si>
    <t>A</t>
  </si>
  <si>
    <t>Pembangunan PLTM / OFF GRID</t>
  </si>
  <si>
    <t>ANGKA LAMA</t>
  </si>
  <si>
    <t>NO</t>
  </si>
  <si>
    <t xml:space="preserve">Rencana Aksi </t>
  </si>
  <si>
    <t>Daya terpasang (MW)</t>
  </si>
  <si>
    <r>
      <rPr>
        <i/>
        <sz val="11"/>
        <color rgb="FF000000"/>
        <rFont val="Candara"/>
        <family val="2"/>
      </rPr>
      <t>Operating Hours</t>
    </r>
    <r>
      <rPr>
        <sz val="11"/>
        <color rgb="FF000000"/>
        <rFont val="Candara"/>
        <family val="2"/>
      </rPr>
      <t xml:space="preserve">
(Jam)</t>
    </r>
  </si>
  <si>
    <t>Data Aktivitas (MWh)</t>
  </si>
  <si>
    <r>
      <t xml:space="preserve">Faktor Emisi PLTD </t>
    </r>
    <r>
      <rPr>
        <sz val="10"/>
        <color rgb="FF000000"/>
        <rFont val="Candara"/>
        <family val="2"/>
      </rPr>
      <t>(tCO2e/MWh)</t>
    </r>
  </si>
  <si>
    <t>Cianten 1</t>
  </si>
  <si>
    <t>MW</t>
  </si>
  <si>
    <t xml:space="preserve">Pembangunan PLTM </t>
  </si>
  <si>
    <t xml:space="preserve">MWh </t>
  </si>
  <si>
    <t>Daya terpasang &amp; Waktu Beroperasi (70%X8760)</t>
  </si>
  <si>
    <t>Cianten 2</t>
  </si>
  <si>
    <t>Cisanggiri</t>
  </si>
  <si>
    <t>Cianten 1B</t>
  </si>
  <si>
    <t>Cianten 3</t>
  </si>
  <si>
    <t>Cibalapulang</t>
  </si>
  <si>
    <t>Cibalapulang-2</t>
  </si>
  <si>
    <t>Cibalapulang-3</t>
  </si>
  <si>
    <t>Cilaki 1B</t>
  </si>
  <si>
    <t>Pusaka-1</t>
  </si>
  <si>
    <t>Pusaka-3</t>
  </si>
  <si>
    <t>Cimandiri</t>
  </si>
  <si>
    <t>Cicatih</t>
  </si>
  <si>
    <t>Cikopo-2</t>
  </si>
  <si>
    <t>Cileunca</t>
  </si>
  <si>
    <t>Kalapa Nunggal</t>
  </si>
  <si>
    <t>Ciarinem</t>
  </si>
  <si>
    <t>Cikaengan-2</t>
  </si>
  <si>
    <t>Kertamukti</t>
  </si>
  <si>
    <t>Cibatarua Panyairan</t>
  </si>
  <si>
    <t>Pesantren-1</t>
  </si>
  <si>
    <t>Toblong</t>
  </si>
  <si>
    <t>Cibanteng</t>
  </si>
  <si>
    <t>Cisomang</t>
  </si>
  <si>
    <t>Cikandang</t>
  </si>
  <si>
    <t>Cikaengan</t>
  </si>
  <si>
    <t>Cibuni</t>
  </si>
  <si>
    <t>Cibuni Mandiri</t>
  </si>
  <si>
    <t>Ciherang</t>
  </si>
  <si>
    <t>Cikaengan Najaten</t>
  </si>
  <si>
    <t>Cileat</t>
  </si>
  <si>
    <t>Cimaja</t>
  </si>
  <si>
    <t>Cirompang Mekarmukti</t>
  </si>
  <si>
    <t>Jatisari</t>
  </si>
  <si>
    <t>Cilayu Kulon</t>
  </si>
  <si>
    <t>Kanzy-5</t>
  </si>
  <si>
    <t>Sukamaju</t>
  </si>
  <si>
    <t>Citarik</t>
  </si>
  <si>
    <t>Ciasem</t>
  </si>
  <si>
    <t>Cilaki 1A</t>
  </si>
  <si>
    <t>Caringin</t>
  </si>
  <si>
    <t>Cikancana</t>
  </si>
  <si>
    <t>Cikaniki 2</t>
  </si>
  <si>
    <t>Pekanjeng Atas</t>
  </si>
  <si>
    <t>pekanjeng Bawah</t>
  </si>
  <si>
    <t>Cijampang 1</t>
  </si>
  <si>
    <t>Cikaniki 1</t>
  </si>
  <si>
    <t>Cikawung Bawah</t>
  </si>
  <si>
    <t>Cikawung Atas</t>
  </si>
  <si>
    <t>Pembangunan PLTA / ON GRID</t>
  </si>
  <si>
    <t>Jatigede (FTP2)</t>
  </si>
  <si>
    <t xml:space="preserve">Pembangunan PLTA </t>
  </si>
  <si>
    <t>tidak bisa diklaim di RAD GRK karena biasanya dana APBN</t>
  </si>
  <si>
    <t>Rajamandala</t>
  </si>
  <si>
    <t>Cimandiri-3</t>
  </si>
  <si>
    <t>Cikaso-3</t>
  </si>
  <si>
    <t>Cipasang</t>
  </si>
  <si>
    <t>Cibuni-3</t>
  </si>
  <si>
    <t>Cibuni-4</t>
  </si>
  <si>
    <t>Pembangunan PLTB</t>
  </si>
  <si>
    <t>Jabar</t>
  </si>
  <si>
    <t>Pembangunan PLTSa</t>
  </si>
  <si>
    <t>Tersebar</t>
  </si>
  <si>
    <t>Pembangunan PLT PumpStorage</t>
  </si>
  <si>
    <t>Upper Cisokan PumpStorage (FTP2)</t>
  </si>
  <si>
    <t>PJU</t>
  </si>
  <si>
    <t>Jumlah PJU</t>
  </si>
  <si>
    <t>PLTM</t>
  </si>
  <si>
    <t>EBT</t>
  </si>
  <si>
    <t>PLTB</t>
  </si>
  <si>
    <t>PLTSa</t>
  </si>
  <si>
    <t>PLT PS</t>
  </si>
  <si>
    <t>Penurunan tCO2 eq</t>
  </si>
  <si>
    <t>Jumlah MW</t>
  </si>
  <si>
    <t>PLTMH on</t>
  </si>
  <si>
    <t>PLTMH off</t>
  </si>
  <si>
    <t>PLTM off</t>
  </si>
  <si>
    <t>PLT Biomassa</t>
  </si>
  <si>
    <t>PLTS</t>
  </si>
  <si>
    <t>PLT PS on</t>
  </si>
  <si>
    <t>PLT PS off</t>
  </si>
  <si>
    <t>Pengembangan Energi Baru dan Terbaharukan : PLTMH OFF GRID</t>
  </si>
  <si>
    <t>Pengembangan Energi Baru dan Terbaharukan : PLTMH ON GRID</t>
  </si>
  <si>
    <t>Pengembangan Energi Baru dan Terbaharukan : PLTM OFF GRID</t>
  </si>
  <si>
    <t>Pengembangan Energi Baru dan Terbaharukan : PLTSa</t>
  </si>
  <si>
    <t>Pengembangan Energi Baru dan Terbaharukan : PLTB</t>
  </si>
  <si>
    <t>Pengembangan Energi Baru dan Terbaharukan : PLTS</t>
  </si>
  <si>
    <t>Pengembangan Energi Baru dan Terbaharukan : PLT Biomassa</t>
  </si>
  <si>
    <t>Pengembangan Energi Baru dan Terbaharukan : PLT Pump Storage OFF GRID</t>
  </si>
  <si>
    <t>Pengembangan Energi Baru dan Terbaharukan : PLT Pump Storage ON GRID</t>
  </si>
  <si>
    <t>Penurunan Emisi (t CO2 eq)</t>
  </si>
  <si>
    <r>
      <t>Penurunan Emisi (ton CO</t>
    </r>
    <r>
      <rPr>
        <vertAlign val="sub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eq)</t>
    </r>
  </si>
  <si>
    <t>Penurunan Emisi (Ton Co₂Eq)</t>
  </si>
  <si>
    <t xml:space="preserve">Jenis yang menggantkian </t>
  </si>
  <si>
    <t>Solar cell, tidak on grid</t>
  </si>
  <si>
    <t>Penurunan Energi terkoneksi on grid (MWh)</t>
  </si>
  <si>
    <t>Faktor Emisi ketenagalistrikan (tCO2e/MWh)</t>
  </si>
  <si>
    <t xml:space="preserve">Jenis yang digantikan </t>
  </si>
  <si>
    <t>RENCANA AKSI MITIGASI PJU (tidak akumulatif)</t>
  </si>
  <si>
    <t>Energi Baseline (MWh) on grid</t>
  </si>
  <si>
    <t>Energi off grid yang menggantikan on grid (MWh)</t>
  </si>
  <si>
    <t>watt</t>
  </si>
  <si>
    <t xml:space="preserve">jam </t>
  </si>
  <si>
    <t>Wh</t>
  </si>
  <si>
    <t>MWH</t>
  </si>
  <si>
    <t xml:space="preserve">Masing2 konsumsi listrik yang dikurang (kWh/hari) untuk penggunaan  12 jam per hari </t>
  </si>
  <si>
    <t>lampu pijar 250 watt</t>
  </si>
  <si>
    <r>
      <t xml:space="preserve">Apabila lampu PJU konvensional yang digunakan tipe SON-T 150 Watt, maka konsumsi listriknya sebagai energi BaU </t>
    </r>
    <r>
      <rPr>
        <i/>
        <sz val="11"/>
        <color rgb="FFFFC000"/>
        <rFont val="Cambria"/>
        <family val="1"/>
      </rPr>
      <t xml:space="preserve">baseline </t>
    </r>
    <r>
      <rPr>
        <sz val="11"/>
        <color rgb="FFFFC000"/>
        <rFont val="Cambria"/>
        <family val="1"/>
      </rPr>
      <t>dengan penggunaan selama 11-12 jam per hari sebesar 2,38 kWh/hari</t>
    </r>
  </si>
  <si>
    <t>INDIKASI PEMBIAYAAN</t>
  </si>
  <si>
    <t>Akumulasi Penurunan Emisi (ton CO2 eq)</t>
  </si>
  <si>
    <t>Total</t>
  </si>
  <si>
    <t>Indikasi Pembiayaan (USD)</t>
  </si>
  <si>
    <t>Biaya Penurunan Emisi (USD/ton CO2 eq)</t>
  </si>
  <si>
    <t>Biaya (Ribu Rp)</t>
  </si>
  <si>
    <t>Biaya (Ribu USD)</t>
  </si>
  <si>
    <t>1 US$ = Rp 15.200.000,-</t>
  </si>
  <si>
    <t>crosscheck</t>
  </si>
  <si>
    <t>Biaya Penurunan Emisi (ribu USD/ton CO2 eq)</t>
  </si>
  <si>
    <t>Biaya Penurunan Emisi (Ribu Rp/ton CO2 eq)</t>
  </si>
  <si>
    <t>Volume biogas/ unit (m3/hari)*</t>
  </si>
  <si>
    <t>Rasio Substitusi (liter minyak tanah/ m3 biogas)</t>
  </si>
  <si>
    <r>
      <t xml:space="preserve">Faktor Emisi Minyak Tanah              </t>
    </r>
    <r>
      <rPr>
        <sz val="10"/>
        <color indexed="8"/>
        <rFont val="Calibri"/>
        <family val="2"/>
      </rPr>
      <t>(kg CO2e liter)</t>
    </r>
  </si>
  <si>
    <t>Pemba- ngunan Digester Biogas</t>
  </si>
  <si>
    <t>Data Aktivitas (liter tergantikan/ tahun)</t>
  </si>
  <si>
    <t>Volume Digester (jumlah unit x ukuran unit) (m3)</t>
  </si>
  <si>
    <t xml:space="preserve">Rasio Substitusi </t>
  </si>
  <si>
    <t>Data Aktivitas (liter tergantikan)</t>
  </si>
  <si>
    <r>
      <t xml:space="preserve">Faktor Emisi Minyak Tanah              </t>
    </r>
    <r>
      <rPr>
        <sz val="10"/>
        <color rgb="FF000000"/>
        <rFont val="Candara"/>
        <family val="2"/>
      </rPr>
      <t>(kg CO2e/liter)</t>
    </r>
  </si>
  <si>
    <t>Volume minyak tanah</t>
  </si>
  <si>
    <t xml:space="preserve">Volume digester dan rasio substitusi </t>
  </si>
  <si>
    <t>Volume gas metana</t>
  </si>
  <si>
    <t>Volume gas metana yang tidak terlepas ke atmosfer</t>
  </si>
  <si>
    <r>
      <t>Jumlah gr CH4/m</t>
    </r>
    <r>
      <rPr>
        <vertAlign val="superscript"/>
        <sz val="11"/>
        <color rgb="FF000000"/>
        <rFont val="Candara"/>
        <family val="2"/>
      </rPr>
      <t>3</t>
    </r>
  </si>
  <si>
    <t>Data Aktivitas (kg CH4)</t>
  </si>
  <si>
    <t>GWP</t>
  </si>
  <si>
    <t xml:space="preserve">Jumlah digester </t>
  </si>
  <si>
    <t xml:space="preserve">Jumlah Digester </t>
  </si>
  <si>
    <t>Penurunan Emisi (tCO2 eq)</t>
  </si>
  <si>
    <t>Jumlah Sollar Cell</t>
  </si>
  <si>
    <t>SOLAR CELL</t>
  </si>
  <si>
    <t>Total PJU Solar Cell</t>
  </si>
  <si>
    <t>DATA ASLI DARI BU TEVI</t>
  </si>
  <si>
    <t xml:space="preserve">DIRITKAN PER TAHUN </t>
  </si>
  <si>
    <t>DATA BANGKITAN</t>
  </si>
  <si>
    <t>DATA ASLI</t>
  </si>
  <si>
    <t xml:space="preserve">Jumlah PJU dengan Sistem Solar Cell </t>
  </si>
  <si>
    <t xml:space="preserve">PLTSurya  </t>
  </si>
  <si>
    <t>PLT Hybrif rooftop</t>
  </si>
  <si>
    <t>Menghitung penurunan emisi dari biodigester</t>
  </si>
  <si>
    <t>Jumlah PJU dengan lampu LED (JALAN UMUM)</t>
  </si>
  <si>
    <t>Lampu terpasang sampai dengan 2018</t>
  </si>
  <si>
    <t xml:space="preserve">jumlah </t>
  </si>
  <si>
    <t xml:space="preserve">keterangan daya </t>
  </si>
  <si>
    <t>Kota Sukabumi</t>
  </si>
  <si>
    <t>474 x 40% = 189</t>
  </si>
  <si>
    <t>Asumsi lampu SON-T 150 watt digantikan oleh LED 90 watt</t>
  </si>
  <si>
    <t>Kabupaten Cianjur</t>
  </si>
  <si>
    <t>Kota Cimahi</t>
  </si>
  <si>
    <t>863 jalan umum</t>
  </si>
  <si>
    <t>291 jalan lingkungan</t>
  </si>
  <si>
    <t>Asumsi lampu SON-T 100 watt digantikan oleh LED 60 watt</t>
  </si>
  <si>
    <t>5836 gang</t>
  </si>
  <si>
    <t>TAHUN</t>
  </si>
  <si>
    <t>JALAN UMUM  (S0N-T 150 WATT --&gt;  90 WATT)</t>
  </si>
  <si>
    <t>SUB TOTAL JALAN UTAMA</t>
  </si>
  <si>
    <t>DATA DARI PAK TATA DISHUB HASIL KOORDINASI DENGAN DINAS DI KAB/KOTA, 2018</t>
  </si>
  <si>
    <t>LOKASI</t>
  </si>
  <si>
    <t xml:space="preserve">DATA OLAHAN PJU LED, didistribusikan per tahun </t>
  </si>
  <si>
    <t>Jumlah PJU dengan lampu LED (JALAN LINGKUNGAN)</t>
  </si>
  <si>
    <r>
      <t xml:space="preserve">Faktor Emisi*  </t>
    </r>
    <r>
      <rPr>
        <sz val="10"/>
        <color rgb="FF000000"/>
        <rFont val="Candara"/>
        <family val="2"/>
      </rPr>
      <t>(tCO2e/MWh)</t>
    </r>
  </si>
  <si>
    <t>MWh</t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</si>
  <si>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(MWh)</t>
    </r>
  </si>
  <si>
    <t>Energi Setelah Pemasangan Sistem PJU
(MWh)</t>
  </si>
  <si>
    <t>Data Aktivitas (Penghematan) MWh</t>
  </si>
  <si>
    <t>Penurunan Emisi (tCO2e) Per titik lampu</t>
  </si>
  <si>
    <t>JUMLAH LAMPU (buah)</t>
  </si>
  <si>
    <t>Penurunan Emisi (tCO2e) Total</t>
  </si>
  <si>
    <t>Besarnya penghematan</t>
  </si>
  <si>
    <t>tahun</t>
  </si>
  <si>
    <t>Efisiensi energi sistem PJU untuk kelompok jalan umum</t>
  </si>
  <si>
    <t>Efisiensi energi sistem PJU untuk kelompok jalan Lingkungan</t>
  </si>
  <si>
    <t>PJU solar cel</t>
  </si>
  <si>
    <t>PJU LED JALAN UMUM</t>
  </si>
  <si>
    <t>PJU LED JALAN LINGKUNGAN</t>
  </si>
  <si>
    <t>USD</t>
  </si>
  <si>
    <t>Rp</t>
  </si>
  <si>
    <t>Ribu Rp</t>
  </si>
  <si>
    <t>TOTAL</t>
  </si>
  <si>
    <t>PLTMH off grid</t>
  </si>
  <si>
    <t xml:space="preserve">Legoknangka </t>
  </si>
  <si>
    <t>Lulut Nambo</t>
  </si>
  <si>
    <t>Ciayumajakuning</t>
  </si>
  <si>
    <t xml:space="preserve">Bekarpur </t>
  </si>
  <si>
    <t>PLTMH off grid (MW)</t>
  </si>
  <si>
    <t>PLTSurya   (MW)</t>
  </si>
  <si>
    <t>PLT Hybrif rooftop (KWp)</t>
  </si>
  <si>
    <t>Biogas (unit)</t>
  </si>
  <si>
    <t>JALAN LINGKUNGAN(S0N-T 100 WATT --&gt;  60 WATT)</t>
  </si>
  <si>
    <t xml:space="preserve">Jumlah PJU dengan lampu LED </t>
  </si>
  <si>
    <t>Berikut ini penjelasan mengenai PJU jalan umum dan jalan lingkungan</t>
  </si>
  <si>
    <t xml:space="preserve">JUMLAH </t>
  </si>
  <si>
    <t>Jumlah PJU dengan lampu LED</t>
  </si>
  <si>
    <t>merah : data bangkitan</t>
  </si>
  <si>
    <t>BAU BASELINE (Ton CO2 eq)</t>
  </si>
  <si>
    <t>PENURUNAN  GRK (TON CO2)</t>
  </si>
  <si>
    <t>PENURUNAN  GRK (RIBU TON CO2)</t>
  </si>
  <si>
    <t>AKUMULASI PENURUNAN  GRK (TON CO2)</t>
  </si>
  <si>
    <t>jumlah</t>
  </si>
  <si>
    <t>% PENURUNAN DI TH 2030</t>
  </si>
  <si>
    <t>SELISIH (ton CO2 eq) buat bikin grafik</t>
  </si>
  <si>
    <t>EMISI GRK BILA AKSI MITIGASI DILAKSANAKAN (ton CO2 eq)</t>
  </si>
  <si>
    <t>Akumu-lasi Penu-runan Emisi (ton CO2 eq)</t>
  </si>
  <si>
    <t>PJU LED TOTAL</t>
  </si>
  <si>
    <t>[PEMBIAYAAN (SEMUA SATUAN DALAM RIBU RUPIAH)</t>
  </si>
  <si>
    <t>Biaya Penurunan Emisi (Rp/ton CO2 eq)</t>
  </si>
  <si>
    <t>Nama Pembangkit</t>
  </si>
  <si>
    <t>Lokasi</t>
  </si>
  <si>
    <t>Kapasitas (kW)</t>
  </si>
  <si>
    <t>Awal operasi</t>
  </si>
  <si>
    <t>Lembaga/ Pihak Pengembang</t>
  </si>
  <si>
    <t>Investasi (Biaya konstruksi)</t>
  </si>
  <si>
    <t>Sumber informasi</t>
  </si>
  <si>
    <t>Area</t>
  </si>
  <si>
    <t>Rayon</t>
  </si>
  <si>
    <t>PLTM Cianten 1</t>
  </si>
  <si>
    <t>Bogor</t>
  </si>
  <si>
    <t>Leuwiliang</t>
  </si>
  <si>
    <t>PT JAYA DINAMIKA GEOHIDROENERGI</t>
  </si>
  <si>
    <t>EBT RAPBN 2017 (detik finance)</t>
  </si>
  <si>
    <t>PLTM Cianten 1B</t>
  </si>
  <si>
    <t>PLTM Cianten 2</t>
  </si>
  <si>
    <t>PLTM Cianten 3</t>
  </si>
  <si>
    <t>PLTM Cipayung</t>
  </si>
  <si>
    <t>Cipayung</t>
  </si>
  <si>
    <t>PT PLN (Persero) PUSLITBANG</t>
  </si>
  <si>
    <t>PLTM Cibaratua</t>
  </si>
  <si>
    <t>Garut</t>
  </si>
  <si>
    <t xml:space="preserve"> Cikajang</t>
  </si>
  <si>
    <t>PT BAHTERA BAYU PERSADA</t>
  </si>
  <si>
    <t>PLTM Cilaki</t>
  </si>
  <si>
    <t xml:space="preserve"> Pameungpeuk</t>
  </si>
  <si>
    <t>PT INTI CIPTA ENERGI</t>
  </si>
  <si>
    <t>PLTM Cirompang</t>
  </si>
  <si>
    <t>Cikajang</t>
  </si>
  <si>
    <t>PT TIRTA GEMAH RIPAH</t>
  </si>
  <si>
    <t>PLTM Cisanggiri</t>
  </si>
  <si>
    <t>Pameungpeuk</t>
  </si>
  <si>
    <t>PT CISANGGIRI HYDRO</t>
  </si>
  <si>
    <t>PLTM Cijampang 2A</t>
  </si>
  <si>
    <t>Cianjur</t>
  </si>
  <si>
    <t>Sukanagara</t>
  </si>
  <si>
    <t xml:space="preserve">PT BUMILOKA BUNIJAYA ENERGI </t>
  </si>
  <si>
    <t>PLTM Cijedil</t>
  </si>
  <si>
    <t>PT PLN (Persero) PUSHARLIS</t>
  </si>
  <si>
    <t>PLTM Cintamekar</t>
  </si>
  <si>
    <t>Purwakarta</t>
  </si>
  <si>
    <t>Subang</t>
  </si>
  <si>
    <t>PT HIDROPIRANTI INTI BAKTI SWADAYA &amp; KOPERASI MEKARSARI</t>
  </si>
  <si>
    <t>PTLM Jambelaer</t>
  </si>
  <si>
    <t>KOPERASI PEGAWAI P3TEK ENERGIKA</t>
  </si>
  <si>
    <t>PLTM Sindangcai</t>
  </si>
  <si>
    <t>PT SAKSAMA CIPTA DAYA</t>
  </si>
  <si>
    <t>PLTM Cikaso</t>
  </si>
  <si>
    <t>Sukabumi</t>
  </si>
  <si>
    <t>Cikembar</t>
  </si>
  <si>
    <t>PT BUMILOKA CIKASO ENERGI</t>
  </si>
  <si>
    <t>PLTSa Bantar Gebang</t>
  </si>
  <si>
    <t>Bekasi</t>
  </si>
  <si>
    <t>PT NAVIGAT ORGANIC ENERGY INDONESIA</t>
  </si>
  <si>
    <t>artikel online www.alpensteel.com</t>
  </si>
  <si>
    <t>Kw</t>
  </si>
  <si>
    <t>KW</t>
  </si>
  <si>
    <t>milyar</t>
  </si>
  <si>
    <t xml:space="preserve">juta </t>
  </si>
  <si>
    <t>daya</t>
  </si>
  <si>
    <t xml:space="preserve">DATA PLTM YANG SUDAH DIBANGUN </t>
  </si>
  <si>
    <t>DATA INI DARI [PAK DADANG ESDM</t>
  </si>
  <si>
    <t xml:space="preserve">PLTM on grid   </t>
  </si>
  <si>
    <t xml:space="preserve">PLTM off grid    </t>
  </si>
  <si>
    <t>penurunan emisi GRK (ton CO2 eq)</t>
  </si>
  <si>
    <t>OFF GRID</t>
  </si>
  <si>
    <t>PT. Akora Hidro</t>
  </si>
  <si>
    <t>Garut (Cikopo)</t>
  </si>
  <si>
    <t>Pamulihan</t>
  </si>
  <si>
    <t>PT. Metco Power Indonesia</t>
  </si>
  <si>
    <t>Cianjur (Cibalapulang)</t>
  </si>
  <si>
    <t>Waringinsari</t>
  </si>
  <si>
    <t>(2010)</t>
  </si>
  <si>
    <t>2004 (2010)</t>
  </si>
  <si>
    <t>2009 (2010)</t>
  </si>
  <si>
    <t>Subang (Cinta Mekar)</t>
  </si>
  <si>
    <t>Subang (Jambelaer)</t>
  </si>
  <si>
    <t>Dawuan</t>
  </si>
  <si>
    <t>jambelaer</t>
  </si>
  <si>
    <t>juta</t>
  </si>
  <si>
    <t>Milyar</t>
  </si>
  <si>
    <t>BIAYA PENURUNAN EMISI (RIBU RUPIAH / TON CO2 eq)</t>
  </si>
  <si>
    <t>[PEMBIAYAAN (SEMUA SATUAN DALAM USD)</t>
  </si>
  <si>
    <t xml:space="preserve">Bantar Gebang </t>
  </si>
  <si>
    <t>PLTSa off grid  (MW)</t>
  </si>
  <si>
    <t xml:space="preserve">PLTSa off grid </t>
  </si>
  <si>
    <t>PJU LED JALAN UMUM (unit)</t>
  </si>
  <si>
    <t>PJU LED JALAN LINGKUNGAN (unit)</t>
  </si>
  <si>
    <t>daya lama (lampu pijar, watt)</t>
  </si>
  <si>
    <t>Daya baru (lampu LED, watt)</t>
  </si>
  <si>
    <t>Keterangan referensi jumlah lampu</t>
  </si>
  <si>
    <t>Indikasi Pembiayaan ( ribu Rp )</t>
  </si>
  <si>
    <r>
      <t xml:space="preserve">Pembangunan Energi Terbarukan </t>
    </r>
    <r>
      <rPr>
        <i/>
        <sz val="11"/>
        <color rgb="FF000000"/>
        <rFont val="Candara"/>
        <family val="2"/>
      </rPr>
      <t>Off Grid</t>
    </r>
  </si>
  <si>
    <t>Daya terpasang &amp; Waktu beroperasi (20%X8760)</t>
  </si>
  <si>
    <t>Pembangunan PLTS PJU/
Lampu Pengatur Lalu Lintas</t>
  </si>
  <si>
    <t>watt ?</t>
  </si>
  <si>
    <t xml:space="preserve">Jumlah Lampu </t>
  </si>
  <si>
    <r>
      <t xml:space="preserve">Faktor Emisi JAMALI </t>
    </r>
    <r>
      <rPr>
        <sz val="10"/>
        <color rgb="FF000000"/>
        <rFont val="Candara"/>
        <family val="2"/>
      </rPr>
      <t>(tCO2e/MWh)</t>
    </r>
  </si>
  <si>
    <t>PERHITUNGAN PENURUNAN EMISI DARI PEMBANGKKIT LISTRIK TERPISAH DENGAN KETENAGALISTRIKAN JAMALI</t>
  </si>
  <si>
    <t>ASUMSI 1 LAMPU PJU BERDAYA 90 WATT</t>
  </si>
  <si>
    <t xml:space="preserve">biaya </t>
  </si>
  <si>
    <t>ribu rupiah</t>
  </si>
  <si>
    <t>DATA DARI BU TEVI MENGENAI PJU 2010 - 2015</t>
  </si>
  <si>
    <t>PLTM off grid (MW)</t>
  </si>
  <si>
    <t>PLTM off grid</t>
  </si>
  <si>
    <t xml:space="preserve">PLTM yang telah dilaporkan di PEP RAD GRK </t>
  </si>
  <si>
    <t>PLTM yang direncanakan di RUKD</t>
  </si>
  <si>
    <t>Asumsi % realisasi</t>
  </si>
  <si>
    <t>PERHITUNGAN PLTM off grid</t>
  </si>
  <si>
    <t>PERHITUNGAN PLTMh off grid</t>
  </si>
  <si>
    <t>PLTB off grid (MW)</t>
  </si>
  <si>
    <t>PLTB off grid</t>
  </si>
  <si>
    <t>HITUNGAN PLTB</t>
  </si>
  <si>
    <t>PLT Pump Storage</t>
  </si>
  <si>
    <t>PLT Pump Storage (MW)</t>
  </si>
  <si>
    <t>Faktor Emisi</t>
  </si>
  <si>
    <r>
      <t xml:space="preserve">Pembangunan Energi Terbarukan </t>
    </r>
    <r>
      <rPr>
        <i/>
        <sz val="11"/>
        <color rgb="FF000000"/>
        <rFont val="Candara"/>
        <family val="2"/>
      </rPr>
      <t>On Grid</t>
    </r>
  </si>
  <si>
    <t>Energi yg dihasilkan setahun (MWh)</t>
  </si>
  <si>
    <t>Daya terpasang &amp; Energi yg dihasilkan</t>
  </si>
  <si>
    <t>Pembangunan PLT Pump Storage</t>
  </si>
  <si>
    <t>PLT PS  yang direncanakan di RUKD</t>
  </si>
  <si>
    <t xml:space="preserve">Pembangunan PLT PUMP STORAGE </t>
  </si>
  <si>
    <t>ASUMSI % REALISASI PEMBANGUNAN</t>
  </si>
  <si>
    <t>Besaran (MWh)</t>
  </si>
  <si>
    <t>jadinya untuk RAD GRK dibuat 3, tpa Legok Nangka, TPA Ciayumajakuning, TPA Bodebekkarpur, berdasarkan RAD GRK sektor limbah</t>
  </si>
  <si>
    <r>
      <t xml:space="preserve">Pembangunan PLT </t>
    </r>
    <r>
      <rPr>
        <i/>
        <sz val="11"/>
        <color rgb="FF000000"/>
        <rFont val="Candara"/>
        <family val="2"/>
      </rPr>
      <t>Hybrid</t>
    </r>
    <r>
      <rPr>
        <sz val="11"/>
        <color rgb="FF000000"/>
        <rFont val="Candara"/>
        <family val="2"/>
      </rPr>
      <t xml:space="preserve"> (Bayu dan Surya)</t>
    </r>
  </si>
  <si>
    <t>Daya terpasang (KWp)</t>
  </si>
  <si>
    <r>
      <t>Penurunan Emisi (ton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eq)</t>
    </r>
  </si>
  <si>
    <t>PLTSa (MW  )</t>
  </si>
  <si>
    <t>Indikasi Pembiayaan ( ribu Rp)</t>
  </si>
  <si>
    <t>non APBN</t>
  </si>
  <si>
    <r>
      <t xml:space="preserve">Faktor Emisi Minyak Tanah              </t>
    </r>
    <r>
      <rPr>
        <sz val="10"/>
        <color theme="1"/>
        <rFont val="Calibri"/>
        <family val="2"/>
      </rPr>
      <t>(kg CO2e liter)</t>
    </r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</si>
  <si>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(MW)</t>
    </r>
  </si>
  <si>
    <t>Energi Setelah Pemasangan Sistem PJU
(MW)</t>
  </si>
  <si>
    <t>Data Aktivitas (Penghematan)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</si>
</sst>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0.0"/>
    <numFmt numFmtId="167" formatCode="#,##0.0"/>
    <numFmt numFmtId="168" formatCode="#,##0.000"/>
    <numFmt numFmtId="169" formatCode="_(* #,##0.00_);_(* \(#,##0.00\);_(* &quot;-&quot;_);_(@_)"/>
    <numFmt numFmtId="170" formatCode="0.00000"/>
    <numFmt numFmtId="171" formatCode="#,##0.00000"/>
    <numFmt numFmtId="173" formatCode="#,##0.0000_);\(#,##0.0000\)"/>
    <numFmt numFmtId="174" formatCode="0.000"/>
    <numFmt numFmtId="175" formatCode="#,##0.0000"/>
    <numFmt numFmtId="176" formatCode="0.000000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ndara"/>
      <family val="2"/>
    </font>
    <font>
      <i/>
      <sz val="11"/>
      <color rgb="FF000000"/>
      <name val="Candara"/>
      <family val="2"/>
    </font>
    <font>
      <sz val="10"/>
      <color rgb="FF000000"/>
      <name val="Candara"/>
      <family val="2"/>
    </font>
    <font>
      <sz val="11"/>
      <color rgb="FFFF0000"/>
      <name val="Candara"/>
      <family val="2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2"/>
      <color theme="1"/>
      <name val="Candara"/>
      <family val="2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ndara"/>
      <family val="2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"/>
      <scheme val="minor"/>
    </font>
    <font>
      <b/>
      <sz val="22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sz val="11"/>
      <color rgb="FF7030A0"/>
      <name val="Calibri"/>
      <family val="2"/>
      <charset val="1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color rgb="FFFFC000"/>
      <name val="Cambria"/>
      <family val="1"/>
    </font>
    <font>
      <i/>
      <sz val="11"/>
      <color rgb="FFFFC000"/>
      <name val="Cambria"/>
      <family val="1"/>
    </font>
    <font>
      <sz val="11"/>
      <name val="Cambria"/>
      <family val="1"/>
      <scheme val="major"/>
    </font>
    <font>
      <b/>
      <sz val="8"/>
      <color rgb="FF000000"/>
      <name val="Cambria"/>
      <family val="1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rgb="FF000000"/>
      <name val="Candara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2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mbria"/>
      <family val="1"/>
    </font>
    <font>
      <sz val="9.5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1"/>
      <color theme="9" tint="0.39997558519241921"/>
      <name val="Calibri"/>
      <family val="2"/>
      <charset val="1"/>
      <scheme val="minor"/>
    </font>
    <font>
      <sz val="9"/>
      <color theme="9" tint="0.39997558519241921"/>
      <name val="Arial"/>
      <family val="2"/>
    </font>
    <font>
      <b/>
      <sz val="11"/>
      <name val="Calibri"/>
      <family val="2"/>
      <charset val="1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4"/>
      <name val="Candara"/>
      <family val="2"/>
    </font>
    <font>
      <b/>
      <sz val="11"/>
      <color rgb="FFFF0000"/>
      <name val="Calibri"/>
      <family val="2"/>
      <charset val="1"/>
      <scheme val="minor"/>
    </font>
    <font>
      <b/>
      <sz val="12"/>
      <color rgb="FF222222"/>
      <name val="Arial"/>
      <family val="2"/>
    </font>
    <font>
      <b/>
      <sz val="9"/>
      <color rgb="FFFFC000"/>
      <name val="Arial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5A1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1" fontId="8" fillId="0" borderId="0" applyFont="0" applyFill="0" applyBorder="0" applyAlignment="0" applyProtection="0"/>
    <xf numFmtId="0" fontId="1" fillId="0" borderId="0"/>
    <xf numFmtId="41" fontId="5" fillId="0" borderId="0" applyFont="0" applyFill="0" applyBorder="0" applyAlignment="0" applyProtection="0"/>
  </cellStyleXfs>
  <cellXfs count="750">
    <xf numFmtId="0" fontId="0" fillId="0" borderId="0" xfId="0"/>
    <xf numFmtId="3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9" fillId="3" borderId="1" xfId="45" applyFont="1" applyFill="1" applyBorder="1" applyAlignment="1">
      <alignment horizontal="center" vertical="center" wrapText="1"/>
    </xf>
    <xf numFmtId="0" fontId="8" fillId="2" borderId="1" xfId="45" applyFill="1" applyBorder="1" applyAlignment="1">
      <alignment horizontal="center" vertical="center" wrapText="1"/>
    </xf>
    <xf numFmtId="0" fontId="9" fillId="4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8" fillId="0" borderId="1" xfId="45" applyFill="1" applyBorder="1" applyAlignment="1">
      <alignment horizontal="center" vertical="center" wrapText="1"/>
    </xf>
    <xf numFmtId="0" fontId="8" fillId="4" borderId="1" xfId="45" applyFill="1" applyBorder="1" applyAlignment="1">
      <alignment horizontal="center" vertical="center" wrapText="1"/>
    </xf>
    <xf numFmtId="0" fontId="8" fillId="6" borderId="1" xfId="45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4" fillId="8" borderId="1" xfId="0" applyFont="1" applyFill="1" applyBorder="1"/>
    <xf numFmtId="0" fontId="4" fillId="8" borderId="0" xfId="0" applyFont="1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4" fillId="9" borderId="0" xfId="0" applyFont="1" applyFill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/>
    <xf numFmtId="0" fontId="9" fillId="0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vertical="center" wrapText="1"/>
    </xf>
    <xf numFmtId="2" fontId="9" fillId="0" borderId="1" xfId="45" applyNumberFormat="1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right" vertical="center"/>
    </xf>
    <xf numFmtId="0" fontId="4" fillId="8" borderId="5" xfId="0" applyFont="1" applyFill="1" applyBorder="1"/>
    <xf numFmtId="0" fontId="4" fillId="8" borderId="6" xfId="0" applyFont="1" applyFill="1" applyBorder="1"/>
    <xf numFmtId="3" fontId="4" fillId="8" borderId="6" xfId="0" applyNumberFormat="1" applyFont="1" applyFill="1" applyBorder="1"/>
    <xf numFmtId="3" fontId="4" fillId="8" borderId="7" xfId="0" applyNumberFormat="1" applyFont="1" applyFill="1" applyBorder="1"/>
    <xf numFmtId="3" fontId="0" fillId="9" borderId="0" xfId="0" applyNumberFormat="1" applyFill="1"/>
    <xf numFmtId="4" fontId="0" fillId="0" borderId="1" xfId="0" applyNumberFormat="1" applyBorder="1"/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2" fontId="2" fillId="8" borderId="0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2" fontId="0" fillId="9" borderId="1" xfId="0" applyNumberForma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3" fontId="4" fillId="0" borderId="6" xfId="0" applyNumberFormat="1" applyFont="1" applyFill="1" applyBorder="1"/>
    <xf numFmtId="3" fontId="4" fillId="0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8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4" fontId="0" fillId="10" borderId="1" xfId="0" applyNumberFormat="1" applyFill="1" applyBorder="1"/>
    <xf numFmtId="4" fontId="0" fillId="10" borderId="1" xfId="0" applyNumberFormat="1" applyFill="1" applyBorder="1" applyAlignment="1">
      <alignment vertical="top"/>
    </xf>
    <xf numFmtId="4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43" fontId="19" fillId="0" borderId="1" xfId="25" applyNumberFormat="1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165" fontId="19" fillId="0" borderId="1" xfId="25" applyNumberFormat="1" applyFont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4" borderId="7" xfId="7" applyFont="1" applyFill="1" applyBorder="1" applyAlignment="1">
      <alignment horizontal="center" vertical="center" wrapText="1"/>
    </xf>
    <xf numFmtId="0" fontId="19" fillId="12" borderId="7" xfId="7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14" borderId="1" xfId="0" applyFont="1" applyFill="1" applyBorder="1" applyAlignment="1">
      <alignment horizontal="center" vertical="top" wrapText="1"/>
    </xf>
    <xf numFmtId="0" fontId="19" fillId="0" borderId="13" xfId="7" applyFont="1" applyBorder="1" applyAlignment="1">
      <alignment horizontal="center" vertical="center" wrapText="1"/>
    </xf>
    <xf numFmtId="0" fontId="0" fillId="14" borderId="4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19" fillId="3" borderId="6" xfId="7" applyFont="1" applyFill="1" applyBorder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19" fillId="0" borderId="4" xfId="7" applyFont="1" applyBorder="1" applyAlignment="1">
      <alignment horizontal="center" vertical="center" wrapText="1"/>
    </xf>
    <xf numFmtId="0" fontId="19" fillId="0" borderId="13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center" vertical="center" wrapText="1"/>
    </xf>
    <xf numFmtId="0" fontId="25" fillId="0" borderId="1" xfId="7" applyFont="1" applyFill="1" applyBorder="1" applyAlignment="1">
      <alignment vertical="center" wrapText="1"/>
    </xf>
    <xf numFmtId="0" fontId="22" fillId="0" borderId="13" xfId="7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0" fontId="25" fillId="0" borderId="4" xfId="7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3" fontId="19" fillId="4" borderId="7" xfId="7" applyNumberFormat="1" applyFont="1" applyFill="1" applyBorder="1" applyAlignment="1">
      <alignment horizontal="center" vertical="center" wrapText="1"/>
    </xf>
    <xf numFmtId="3" fontId="19" fillId="0" borderId="13" xfId="7" applyNumberFormat="1" applyFont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top" wrapText="1"/>
    </xf>
    <xf numFmtId="0" fontId="23" fillId="18" borderId="1" xfId="0" applyFont="1" applyFill="1" applyBorder="1" applyAlignment="1">
      <alignment vertical="top" wrapText="1"/>
    </xf>
    <xf numFmtId="0" fontId="23" fillId="18" borderId="2" xfId="0" applyFont="1" applyFill="1" applyBorder="1" applyAlignment="1">
      <alignment vertical="top" wrapText="1"/>
    </xf>
    <xf numFmtId="0" fontId="28" fillId="18" borderId="1" xfId="0" applyFont="1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2" fillId="18" borderId="1" xfId="0" applyFont="1" applyFill="1" applyBorder="1" applyAlignment="1">
      <alignment horizontal="center" vertical="top" wrapText="1"/>
    </xf>
    <xf numFmtId="0" fontId="0" fillId="18" borderId="4" xfId="0" applyFill="1" applyBorder="1" applyAlignment="1">
      <alignment vertical="top" wrapText="1"/>
    </xf>
    <xf numFmtId="0" fontId="0" fillId="18" borderId="2" xfId="0" applyFill="1" applyBorder="1" applyAlignment="1">
      <alignment vertical="top" wrapText="1"/>
    </xf>
    <xf numFmtId="3" fontId="2" fillId="18" borderId="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0" fontId="0" fillId="10" borderId="1" xfId="0" applyFill="1" applyBorder="1" applyAlignment="1">
      <alignment wrapText="1"/>
    </xf>
    <xf numFmtId="4" fontId="0" fillId="10" borderId="1" xfId="0" applyNumberFormat="1" applyFill="1" applyBorder="1" applyAlignment="1">
      <alignment wrapText="1"/>
    </xf>
    <xf numFmtId="0" fontId="0" fillId="19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wrapText="1"/>
    </xf>
    <xf numFmtId="3" fontId="37" fillId="0" borderId="1" xfId="0" quotePrefix="1" applyNumberFormat="1" applyFont="1" applyFill="1" applyBorder="1"/>
    <xf numFmtId="3" fontId="37" fillId="0" borderId="1" xfId="0" applyNumberFormat="1" applyFont="1" applyFill="1" applyBorder="1"/>
    <xf numFmtId="4" fontId="37" fillId="0" borderId="1" xfId="0" applyNumberFormat="1" applyFont="1" applyFill="1" applyBorder="1"/>
    <xf numFmtId="4" fontId="37" fillId="0" borderId="1" xfId="0" quotePrefix="1" applyNumberFormat="1" applyFont="1" applyFill="1" applyBorder="1"/>
    <xf numFmtId="0" fontId="37" fillId="0" borderId="1" xfId="0" applyFont="1" applyFill="1" applyBorder="1"/>
    <xf numFmtId="3" fontId="37" fillId="0" borderId="0" xfId="0" applyNumberFormat="1" applyFont="1"/>
    <xf numFmtId="1" fontId="0" fillId="0" borderId="0" xfId="0" applyNumberFormat="1"/>
    <xf numFmtId="0" fontId="39" fillId="0" borderId="0" xfId="0" applyFont="1"/>
    <xf numFmtId="0" fontId="39" fillId="0" borderId="1" xfId="0" applyFont="1" applyBorder="1"/>
    <xf numFmtId="4" fontId="39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40" fillId="8" borderId="0" xfId="0" applyFont="1" applyFill="1" applyBorder="1"/>
    <xf numFmtId="0" fontId="41" fillId="8" borderId="0" xfId="0" applyFont="1" applyFill="1"/>
    <xf numFmtId="0" fontId="41" fillId="8" borderId="1" xfId="0" applyFont="1" applyFill="1" applyBorder="1"/>
    <xf numFmtId="0" fontId="41" fillId="8" borderId="1" xfId="7" applyFont="1" applyFill="1" applyBorder="1" applyAlignment="1">
      <alignment horizontal="left" vertical="center" wrapText="1"/>
    </xf>
    <xf numFmtId="0" fontId="40" fillId="8" borderId="1" xfId="7" applyFont="1" applyFill="1" applyBorder="1" applyAlignment="1">
      <alignment horizontal="left" vertical="center" wrapText="1"/>
    </xf>
    <xf numFmtId="0" fontId="40" fillId="8" borderId="1" xfId="0" applyFont="1" applyFill="1" applyBorder="1"/>
    <xf numFmtId="0" fontId="40" fillId="8" borderId="0" xfId="0" applyFont="1" applyFill="1"/>
    <xf numFmtId="0" fontId="4" fillId="8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vertical="top"/>
    </xf>
    <xf numFmtId="166" fontId="0" fillId="0" borderId="1" xfId="0" applyNumberFormat="1" applyFont="1" applyBorder="1" applyAlignment="1">
      <alignment horizontal="center" vertical="center"/>
    </xf>
    <xf numFmtId="166" fontId="11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2" fontId="0" fillId="20" borderId="1" xfId="0" applyNumberFormat="1" applyFill="1" applyBorder="1"/>
    <xf numFmtId="167" fontId="0" fillId="0" borderId="1" xfId="0" applyNumberFormat="1" applyFont="1" applyBorder="1" applyAlignment="1">
      <alignment horizontal="center" vertical="center"/>
    </xf>
    <xf numFmtId="0" fontId="45" fillId="0" borderId="1" xfId="0" applyFont="1" applyFill="1" applyBorder="1"/>
    <xf numFmtId="4" fontId="45" fillId="0" borderId="1" xfId="0" applyNumberFormat="1" applyFont="1" applyFill="1" applyBorder="1"/>
    <xf numFmtId="0" fontId="45" fillId="2" borderId="1" xfId="0" applyFont="1" applyFill="1" applyBorder="1"/>
    <xf numFmtId="3" fontId="45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4" fontId="0" fillId="20" borderId="1" xfId="0" applyNumberFormat="1" applyFill="1" applyBorder="1"/>
    <xf numFmtId="0" fontId="4" fillId="0" borderId="2" xfId="0" applyFont="1" applyBorder="1" applyAlignment="1">
      <alignment horizontal="left" vertical="center" wrapText="1"/>
    </xf>
    <xf numFmtId="4" fontId="0" fillId="0" borderId="2" xfId="0" applyNumberFormat="1" applyBorder="1"/>
    <xf numFmtId="4" fontId="46" fillId="0" borderId="1" xfId="0" applyNumberFormat="1" applyFont="1" applyBorder="1" applyAlignment="1">
      <alignment horizontal="right" vertical="center"/>
    </xf>
    <xf numFmtId="2" fontId="46" fillId="0" borderId="1" xfId="0" applyNumberFormat="1" applyFont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" fontId="0" fillId="21" borderId="0" xfId="0" applyNumberFormat="1" applyFill="1"/>
    <xf numFmtId="3" fontId="0" fillId="0" borderId="1" xfId="0" applyNumberFormat="1" applyBorder="1" applyAlignment="1">
      <alignment horizontal="center"/>
    </xf>
    <xf numFmtId="0" fontId="47" fillId="0" borderId="1" xfId="0" applyFont="1" applyBorder="1" applyAlignment="1">
      <alignment vertical="top" wrapText="1"/>
    </xf>
    <xf numFmtId="3" fontId="47" fillId="0" borderId="1" xfId="0" applyNumberFormat="1" applyFont="1" applyBorder="1" applyAlignment="1">
      <alignment vertical="top" wrapText="1"/>
    </xf>
    <xf numFmtId="3" fontId="48" fillId="0" borderId="1" xfId="0" applyNumberFormat="1" applyFont="1" applyBorder="1" applyAlignment="1">
      <alignment horizontal="center" vertical="top" wrapText="1"/>
    </xf>
    <xf numFmtId="3" fontId="0" fillId="2" borderId="1" xfId="0" quotePrefix="1" applyNumberFormat="1" applyFill="1" applyBorder="1"/>
    <xf numFmtId="0" fontId="0" fillId="0" borderId="0" xfId="0" applyFill="1"/>
    <xf numFmtId="2" fontId="9" fillId="0" borderId="1" xfId="45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 wrapText="1"/>
    </xf>
    <xf numFmtId="0" fontId="19" fillId="3" borderId="7" xfId="45" applyFont="1" applyFill="1" applyBorder="1" applyAlignment="1">
      <alignment horizontal="center" vertical="center" wrapText="1"/>
    </xf>
    <xf numFmtId="0" fontId="25" fillId="2" borderId="1" xfId="45" applyFont="1" applyFill="1" applyBorder="1" applyAlignment="1">
      <alignment horizontal="center" vertical="center" wrapText="1"/>
    </xf>
    <xf numFmtId="0" fontId="19" fillId="12" borderId="7" xfId="45" applyFont="1" applyFill="1" applyBorder="1" applyAlignment="1">
      <alignment horizontal="center" vertical="center" wrapText="1"/>
    </xf>
    <xf numFmtId="0" fontId="19" fillId="4" borderId="7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wrapText="1"/>
    </xf>
    <xf numFmtId="0" fontId="19" fillId="24" borderId="7" xfId="45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wrapText="1"/>
    </xf>
    <xf numFmtId="0" fontId="19" fillId="3" borderId="5" xfId="45" applyFont="1" applyFill="1" applyBorder="1" applyAlignment="1">
      <alignment horizontal="center" vertical="center" wrapText="1"/>
    </xf>
    <xf numFmtId="0" fontId="19" fillId="0" borderId="5" xfId="45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0" fillId="25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52" fillId="0" borderId="0" xfId="0" applyFont="1"/>
    <xf numFmtId="0" fontId="9" fillId="0" borderId="0" xfId="45" applyFont="1" applyFill="1" applyBorder="1" applyAlignment="1">
      <alignment horizontal="center" vertical="center" wrapText="1"/>
    </xf>
    <xf numFmtId="0" fontId="9" fillId="0" borderId="0" xfId="45" applyFont="1" applyBorder="1" applyAlignment="1">
      <alignment horizontal="center" vertical="center" wrapText="1"/>
    </xf>
    <xf numFmtId="3" fontId="0" fillId="0" borderId="0" xfId="0" applyNumberFormat="1" applyBorder="1"/>
    <xf numFmtId="0" fontId="8" fillId="0" borderId="0" xfId="45" applyFill="1" applyBorder="1" applyAlignment="1">
      <alignment horizontal="center" vertical="center" wrapText="1"/>
    </xf>
    <xf numFmtId="0" fontId="9" fillId="0" borderId="0" xfId="45" applyFont="1" applyBorder="1" applyAlignment="1">
      <alignment vertical="center" wrapText="1"/>
    </xf>
    <xf numFmtId="2" fontId="9" fillId="0" borderId="0" xfId="45" applyNumberFormat="1" applyFont="1" applyBorder="1" applyAlignment="1">
      <alignment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9" borderId="16" xfId="0" applyFont="1" applyFill="1" applyBorder="1" applyAlignment="1">
      <alignment horizontal="center" vertical="center" wrapText="1"/>
    </xf>
    <xf numFmtId="0" fontId="51" fillId="9" borderId="14" xfId="0" applyFont="1" applyFill="1" applyBorder="1" applyAlignment="1">
      <alignment vertical="center" wrapText="1"/>
    </xf>
    <xf numFmtId="0" fontId="51" fillId="9" borderId="14" xfId="0" applyFont="1" applyFill="1" applyBorder="1" applyAlignment="1">
      <alignment vertical="center"/>
    </xf>
    <xf numFmtId="0" fontId="5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vertical="top"/>
    </xf>
    <xf numFmtId="0" fontId="50" fillId="9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9" fillId="3" borderId="6" xfId="45" applyFont="1" applyFill="1" applyBorder="1" applyAlignment="1">
      <alignment horizontal="center" vertical="center" wrapText="1"/>
    </xf>
    <xf numFmtId="0" fontId="19" fillId="22" borderId="4" xfId="45" applyFont="1" applyFill="1" applyBorder="1" applyAlignment="1">
      <alignment horizontal="center" vertical="center" wrapText="1"/>
    </xf>
    <xf numFmtId="0" fontId="19" fillId="22" borderId="13" xfId="45" applyFont="1" applyFill="1" applyBorder="1" applyAlignment="1">
      <alignment horizontal="center" vertical="center" wrapText="1"/>
    </xf>
    <xf numFmtId="0" fontId="19" fillId="22" borderId="9" xfId="45" applyFont="1" applyFill="1" applyBorder="1" applyAlignment="1">
      <alignment horizontal="center" vertical="center" wrapText="1"/>
    </xf>
    <xf numFmtId="0" fontId="30" fillId="0" borderId="13" xfId="45" applyFont="1" applyFill="1" applyBorder="1" applyAlignment="1">
      <alignment horizontal="center" vertical="center" wrapText="1"/>
    </xf>
    <xf numFmtId="0" fontId="19" fillId="22" borderId="1" xfId="45" applyFont="1" applyFill="1" applyBorder="1" applyAlignment="1">
      <alignment horizontal="center" vertical="center" wrapText="1"/>
    </xf>
    <xf numFmtId="0" fontId="25" fillId="4" borderId="7" xfId="45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9" fillId="4" borderId="1" xfId="45" applyFont="1" applyFill="1" applyBorder="1" applyAlignment="1">
      <alignment horizontal="center" vertical="center" wrapText="1"/>
    </xf>
    <xf numFmtId="0" fontId="22" fillId="22" borderId="13" xfId="45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8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wrapText="1"/>
    </xf>
    <xf numFmtId="0" fontId="53" fillId="20" borderId="1" xfId="0" applyFont="1" applyFill="1" applyBorder="1" applyAlignment="1">
      <alignment horizontal="center" wrapText="1"/>
    </xf>
    <xf numFmtId="0" fontId="19" fillId="0" borderId="9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4" fontId="9" fillId="0" borderId="0" xfId="45" applyNumberFormat="1" applyFon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horizontal="center" vertical="center" wrapText="1"/>
    </xf>
    <xf numFmtId="4" fontId="8" fillId="0" borderId="0" xfId="45" applyNumberForma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Fill="1" applyBorder="1" applyAlignment="1">
      <alignment horizontal="right"/>
    </xf>
    <xf numFmtId="3" fontId="56" fillId="0" borderId="1" xfId="0" applyNumberFormat="1" applyFont="1" applyFill="1" applyBorder="1" applyAlignment="1">
      <alignment horizontal="right"/>
    </xf>
    <xf numFmtId="0" fontId="56" fillId="19" borderId="1" xfId="0" applyFont="1" applyFill="1" applyBorder="1" applyAlignment="1">
      <alignment horizontal="right"/>
    </xf>
    <xf numFmtId="3" fontId="56" fillId="0" borderId="1" xfId="0" applyNumberFormat="1" applyFont="1" applyBorder="1" applyAlignment="1">
      <alignment horizontal="right" wrapText="1"/>
    </xf>
    <xf numFmtId="4" fontId="57" fillId="0" borderId="1" xfId="45" applyNumberFormat="1" applyFont="1" applyBorder="1" applyAlignment="1">
      <alignment horizontal="right" vertical="center" wrapText="1"/>
    </xf>
    <xf numFmtId="4" fontId="56" fillId="0" borderId="1" xfId="0" applyNumberFormat="1" applyFont="1" applyBorder="1" applyAlignment="1">
      <alignment horizontal="right"/>
    </xf>
    <xf numFmtId="4" fontId="56" fillId="0" borderId="1" xfId="45" applyNumberFormat="1" applyFont="1" applyFill="1" applyBorder="1" applyAlignment="1">
      <alignment horizontal="right" vertical="center" wrapText="1"/>
    </xf>
    <xf numFmtId="4" fontId="0" fillId="9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5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59" fillId="0" borderId="0" xfId="0" applyFont="1"/>
    <xf numFmtId="0" fontId="59" fillId="11" borderId="1" xfId="0" applyFont="1" applyFill="1" applyBorder="1"/>
    <xf numFmtId="3" fontId="0" fillId="27" borderId="1" xfId="50" applyNumberFormat="1" applyFont="1" applyFill="1" applyBorder="1" applyAlignment="1">
      <alignment horizontal="right" vertical="top" wrapText="1"/>
    </xf>
    <xf numFmtId="3" fontId="0" fillId="27" borderId="1" xfId="0" applyNumberFormat="1" applyFill="1" applyBorder="1"/>
    <xf numFmtId="4" fontId="0" fillId="1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9" fillId="26" borderId="1" xfId="0" applyFont="1" applyFill="1" applyBorder="1" applyAlignment="1">
      <alignment wrapText="1"/>
    </xf>
    <xf numFmtId="0" fontId="59" fillId="26" borderId="1" xfId="0" applyFont="1" applyFill="1" applyBorder="1"/>
    <xf numFmtId="3" fontId="4" fillId="27" borderId="1" xfId="0" applyNumberFormat="1" applyFont="1" applyFill="1" applyBorder="1" applyAlignment="1">
      <alignment wrapText="1"/>
    </xf>
    <xf numFmtId="4" fontId="0" fillId="23" borderId="1" xfId="0" applyNumberFormat="1" applyFill="1" applyBorder="1"/>
    <xf numFmtId="0" fontId="29" fillId="30" borderId="1" xfId="0" applyFont="1" applyFill="1" applyBorder="1" applyAlignment="1">
      <alignment horizontal="center" vertical="center" wrapText="1"/>
    </xf>
    <xf numFmtId="4" fontId="24" fillId="30" borderId="1" xfId="0" applyNumberFormat="1" applyFont="1" applyFill="1" applyBorder="1"/>
    <xf numFmtId="0" fontId="58" fillId="11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Border="1"/>
    <xf numFmtId="0" fontId="0" fillId="22" borderId="0" xfId="0" applyFill="1" applyBorder="1" applyAlignment="1">
      <alignment horizontal="left" vertical="top" wrapText="1"/>
    </xf>
    <xf numFmtId="0" fontId="9" fillId="22" borderId="0" xfId="45" applyFont="1" applyFill="1" applyBorder="1" applyAlignment="1">
      <alignment horizontal="center" vertical="center" wrapText="1"/>
    </xf>
    <xf numFmtId="3" fontId="0" fillId="22" borderId="0" xfId="0" applyNumberFormat="1" applyFill="1" applyBorder="1"/>
    <xf numFmtId="0" fontId="8" fillId="22" borderId="0" xfId="45" applyFill="1" applyBorder="1" applyAlignment="1">
      <alignment horizontal="center" vertical="center" wrapText="1"/>
    </xf>
    <xf numFmtId="0" fontId="9" fillId="22" borderId="0" xfId="45" applyFont="1" applyFill="1" applyBorder="1" applyAlignment="1">
      <alignment vertical="center" wrapText="1"/>
    </xf>
    <xf numFmtId="2" fontId="9" fillId="22" borderId="0" xfId="45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29" borderId="0" xfId="0" applyFont="1" applyFill="1"/>
    <xf numFmtId="4" fontId="0" fillId="29" borderId="0" xfId="0" applyNumberFormat="1" applyFont="1" applyFill="1"/>
    <xf numFmtId="0" fontId="0" fillId="0" borderId="0" xfId="0" applyAlignment="1">
      <alignment horizontal="right"/>
    </xf>
    <xf numFmtId="0" fontId="29" fillId="30" borderId="5" xfId="0" applyFont="1" applyFill="1" applyBorder="1" applyAlignment="1">
      <alignment horizontal="center" vertical="center" wrapText="1"/>
    </xf>
    <xf numFmtId="4" fontId="28" fillId="29" borderId="25" xfId="0" applyNumberFormat="1" applyFont="1" applyFill="1" applyBorder="1"/>
    <xf numFmtId="3" fontId="2" fillId="29" borderId="26" xfId="0" applyNumberFormat="1" applyFont="1" applyFill="1" applyBorder="1" applyAlignment="1">
      <alignment horizontal="center" vertical="center"/>
    </xf>
    <xf numFmtId="3" fontId="4" fillId="29" borderId="26" xfId="0" applyNumberFormat="1" applyFont="1" applyFill="1" applyBorder="1" applyAlignment="1">
      <alignment horizontal="center" vertical="center"/>
    </xf>
    <xf numFmtId="4" fontId="28" fillId="29" borderId="27" xfId="0" applyNumberFormat="1" applyFont="1" applyFill="1" applyBorder="1"/>
    <xf numFmtId="3" fontId="4" fillId="29" borderId="28" xfId="0" applyNumberFormat="1" applyFont="1" applyFill="1" applyBorder="1" applyAlignment="1">
      <alignment horizontal="center" vertical="center"/>
    </xf>
    <xf numFmtId="2" fontId="24" fillId="30" borderId="5" xfId="0" applyNumberFormat="1" applyFont="1" applyFill="1" applyBorder="1"/>
    <xf numFmtId="4" fontId="28" fillId="29" borderId="30" xfId="0" applyNumberFormat="1" applyFont="1" applyFill="1" applyBorder="1"/>
    <xf numFmtId="3" fontId="2" fillId="29" borderId="31" xfId="0" applyNumberFormat="1" applyFont="1" applyFill="1" applyBorder="1" applyAlignment="1">
      <alignment horizontal="center" vertical="center"/>
    </xf>
    <xf numFmtId="0" fontId="60" fillId="29" borderId="29" xfId="0" applyFont="1" applyFill="1" applyBorder="1" applyAlignment="1">
      <alignment horizontal="center" vertical="center" wrapText="1"/>
    </xf>
    <xf numFmtId="0" fontId="4" fillId="29" borderId="16" xfId="0" applyFont="1" applyFill="1" applyBorder="1" applyAlignment="1">
      <alignment wrapText="1"/>
    </xf>
    <xf numFmtId="0" fontId="0" fillId="29" borderId="16" xfId="0" applyFill="1" applyBorder="1" applyAlignment="1">
      <alignment wrapText="1"/>
    </xf>
    <xf numFmtId="0" fontId="0" fillId="0" borderId="32" xfId="0" applyBorder="1" applyAlignment="1">
      <alignment wrapText="1"/>
    </xf>
    <xf numFmtId="4" fontId="0" fillId="29" borderId="34" xfId="0" applyNumberFormat="1" applyFill="1" applyBorder="1"/>
    <xf numFmtId="4" fontId="0" fillId="29" borderId="14" xfId="0" applyNumberFormat="1" applyFill="1" applyBorder="1"/>
    <xf numFmtId="0" fontId="23" fillId="0" borderId="0" xfId="0" applyFont="1"/>
    <xf numFmtId="0" fontId="62" fillId="0" borderId="1" xfId="0" applyFont="1" applyFill="1" applyBorder="1" applyAlignment="1">
      <alignment horizontal="center" vertical="center" wrapText="1"/>
    </xf>
    <xf numFmtId="3" fontId="0" fillId="23" borderId="1" xfId="0" applyNumberFormat="1" applyFill="1" applyBorder="1"/>
    <xf numFmtId="0" fontId="59" fillId="28" borderId="1" xfId="0" applyFont="1" applyFill="1" applyBorder="1"/>
    <xf numFmtId="0" fontId="64" fillId="28" borderId="1" xfId="0" applyFont="1" applyFill="1" applyBorder="1" applyAlignment="1">
      <alignment horizontal="center" vertical="center" wrapText="1"/>
    </xf>
    <xf numFmtId="1" fontId="29" fillId="28" borderId="1" xfId="0" applyNumberFormat="1" applyFont="1" applyFill="1" applyBorder="1" applyAlignment="1">
      <alignment wrapText="1"/>
    </xf>
    <xf numFmtId="4" fontId="59" fillId="30" borderId="1" xfId="0" applyNumberFormat="1" applyFont="1" applyFill="1" applyBorder="1"/>
    <xf numFmtId="3" fontId="59" fillId="3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165" fontId="0" fillId="0" borderId="1" xfId="2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3" fontId="66" fillId="0" borderId="0" xfId="0" applyNumberFormat="1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165" fontId="68" fillId="0" borderId="0" xfId="0" applyNumberFormat="1" applyFont="1" applyBorder="1"/>
    <xf numFmtId="0" fontId="68" fillId="0" borderId="0" xfId="0" applyFont="1" applyBorder="1"/>
    <xf numFmtId="0" fontId="68" fillId="0" borderId="0" xfId="0" applyFont="1" applyFill="1" applyBorder="1"/>
    <xf numFmtId="165" fontId="68" fillId="0" borderId="0" xfId="0" applyNumberFormat="1" applyFont="1" applyFill="1" applyBorder="1"/>
    <xf numFmtId="165" fontId="67" fillId="0" borderId="1" xfId="0" applyNumberFormat="1" applyFont="1" applyFill="1" applyBorder="1" applyAlignment="1">
      <alignment horizontal="center" vertical="center" wrapText="1"/>
    </xf>
    <xf numFmtId="165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43" fontId="67" fillId="0" borderId="1" xfId="0" applyNumberFormat="1" applyFont="1" applyFill="1" applyBorder="1" applyAlignment="1">
      <alignment horizontal="right" vertical="center" wrapText="1"/>
    </xf>
    <xf numFmtId="0" fontId="67" fillId="0" borderId="1" xfId="0" applyFont="1" applyFill="1" applyBorder="1" applyAlignment="1">
      <alignment horizontal="right" vertical="center" wrapText="1"/>
    </xf>
    <xf numFmtId="0" fontId="66" fillId="0" borderId="1" xfId="0" applyFont="1" applyFill="1" applyBorder="1" applyAlignment="1">
      <alignment horizontal="right" vertical="center" wrapText="1"/>
    </xf>
    <xf numFmtId="3" fontId="0" fillId="31" borderId="1" xfId="0" applyNumberFormat="1" applyFill="1" applyBorder="1"/>
    <xf numFmtId="3" fontId="0" fillId="32" borderId="1" xfId="0" applyNumberFormat="1" applyFill="1" applyBorder="1" applyAlignment="1">
      <alignment wrapText="1"/>
    </xf>
    <xf numFmtId="3" fontId="0" fillId="32" borderId="1" xfId="0" applyNumberFormat="1" applyFill="1" applyBorder="1"/>
    <xf numFmtId="3" fontId="0" fillId="32" borderId="0" xfId="0" applyNumberFormat="1" applyFill="1" applyBorder="1" applyAlignment="1">
      <alignment horizontal="center"/>
    </xf>
    <xf numFmtId="3" fontId="0" fillId="32" borderId="0" xfId="0" applyNumberFormat="1" applyFill="1" applyBorder="1" applyAlignment="1">
      <alignment wrapText="1"/>
    </xf>
    <xf numFmtId="3" fontId="0" fillId="32" borderId="0" xfId="0" applyNumberFormat="1" applyFill="1" applyBorder="1"/>
    <xf numFmtId="0" fontId="0" fillId="9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 wrapText="1"/>
    </xf>
    <xf numFmtId="0" fontId="62" fillId="9" borderId="7" xfId="0" applyFont="1" applyFill="1" applyBorder="1" applyAlignment="1">
      <alignment horizontal="center" vertical="center" wrapText="1"/>
    </xf>
    <xf numFmtId="3" fontId="4" fillId="31" borderId="1" xfId="0" applyNumberFormat="1" applyFont="1" applyFill="1" applyBorder="1" applyAlignment="1">
      <alignment wrapText="1"/>
    </xf>
    <xf numFmtId="3" fontId="62" fillId="31" borderId="1" xfId="0" applyNumberFormat="1" applyFont="1" applyFill="1" applyBorder="1" applyAlignment="1">
      <alignment wrapText="1"/>
    </xf>
    <xf numFmtId="0" fontId="4" fillId="31" borderId="1" xfId="0" applyFont="1" applyFill="1" applyBorder="1" applyAlignment="1">
      <alignment horizontal="center"/>
    </xf>
    <xf numFmtId="3" fontId="24" fillId="31" borderId="1" xfId="0" applyNumberFormat="1" applyFont="1" applyFill="1" applyBorder="1" applyAlignment="1">
      <alignment wrapText="1"/>
    </xf>
    <xf numFmtId="3" fontId="63" fillId="31" borderId="1" xfId="0" applyNumberFormat="1" applyFont="1" applyFill="1" applyBorder="1"/>
    <xf numFmtId="3" fontId="24" fillId="31" borderId="1" xfId="0" applyNumberFormat="1" applyFont="1" applyFill="1" applyBorder="1"/>
    <xf numFmtId="165" fontId="53" fillId="27" borderId="0" xfId="0" applyNumberFormat="1" applyFont="1" applyFill="1"/>
    <xf numFmtId="39" fontId="0" fillId="0" borderId="1" xfId="0" applyNumberFormat="1" applyBorder="1"/>
    <xf numFmtId="1" fontId="0" fillId="27" borderId="1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wrapText="1"/>
    </xf>
    <xf numFmtId="0" fontId="67" fillId="0" borderId="0" xfId="0" applyFont="1" applyFill="1" applyBorder="1" applyAlignment="1">
      <alignment horizontal="center" vertical="center" wrapText="1"/>
    </xf>
    <xf numFmtId="165" fontId="66" fillId="0" borderId="0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center" wrapText="1"/>
    </xf>
    <xf numFmtId="43" fontId="67" fillId="0" borderId="0" xfId="0" applyNumberFormat="1" applyFont="1" applyFill="1" applyBorder="1" applyAlignment="1">
      <alignment horizontal="right" vertical="center" wrapText="1"/>
    </xf>
    <xf numFmtId="165" fontId="0" fillId="2" borderId="1" xfId="2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65" fontId="0" fillId="2" borderId="0" xfId="25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39" fontId="0" fillId="0" borderId="1" xfId="0" applyNumberFormat="1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165" fontId="0" fillId="2" borderId="2" xfId="25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9" fillId="0" borderId="1" xfId="7" applyFont="1" applyBorder="1" applyAlignment="1">
      <alignment horizontal="center" vertical="center" wrapText="1"/>
    </xf>
    <xf numFmtId="39" fontId="0" fillId="10" borderId="1" xfId="0" applyNumberFormat="1" applyFill="1" applyBorder="1" applyAlignment="1">
      <alignment horizontal="center"/>
    </xf>
    <xf numFmtId="165" fontId="19" fillId="0" borderId="13" xfId="25" applyNumberFormat="1" applyFont="1" applyBorder="1" applyAlignment="1">
      <alignment horizontal="center" vertical="center" wrapText="1"/>
    </xf>
    <xf numFmtId="165" fontId="19" fillId="0" borderId="13" xfId="25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72" fillId="0" borderId="1" xfId="0" applyFont="1" applyFill="1" applyBorder="1" applyAlignment="1">
      <alignment horizontal="left" vertical="top" wrapText="1"/>
    </xf>
    <xf numFmtId="0" fontId="19" fillId="0" borderId="1" xfId="7" applyFont="1" applyFill="1" applyBorder="1" applyAlignment="1">
      <alignment horizontal="center" vertical="center" wrapText="1"/>
    </xf>
    <xf numFmtId="0" fontId="55" fillId="0" borderId="1" xfId="7" applyFont="1" applyFill="1" applyBorder="1" applyAlignment="1">
      <alignment vertical="center" wrapText="1"/>
    </xf>
    <xf numFmtId="0" fontId="22" fillId="0" borderId="1" xfId="7" applyFont="1" applyBorder="1" applyAlignment="1">
      <alignment horizontal="center" vertical="center" wrapText="1"/>
    </xf>
    <xf numFmtId="3" fontId="19" fillId="0" borderId="1" xfId="7" applyNumberFormat="1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0" fillId="0" borderId="5" xfId="0" applyBorder="1"/>
    <xf numFmtId="0" fontId="19" fillId="12" borderId="1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3" fontId="19" fillId="4" borderId="1" xfId="7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/>
    </xf>
    <xf numFmtId="0" fontId="53" fillId="0" borderId="0" xfId="0" applyFont="1" applyFill="1"/>
    <xf numFmtId="0" fontId="74" fillId="0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/>
    </xf>
    <xf numFmtId="0" fontId="53" fillId="0" borderId="0" xfId="0" applyFont="1" applyFill="1" applyAlignment="1">
      <alignment horizontal="right"/>
    </xf>
    <xf numFmtId="3" fontId="74" fillId="0" borderId="1" xfId="0" applyNumberFormat="1" applyFont="1" applyFill="1" applyBorder="1" applyAlignment="1">
      <alignment wrapText="1"/>
    </xf>
    <xf numFmtId="3" fontId="53" fillId="0" borderId="1" xfId="0" applyNumberFormat="1" applyFont="1" applyFill="1" applyBorder="1"/>
    <xf numFmtId="3" fontId="53" fillId="0" borderId="1" xfId="0" applyNumberFormat="1" applyFont="1" applyFill="1" applyBorder="1" applyAlignment="1">
      <alignment wrapText="1"/>
    </xf>
    <xf numFmtId="3" fontId="0" fillId="27" borderId="1" xfId="0" applyNumberFormat="1" applyFill="1" applyBorder="1" applyAlignment="1">
      <alignment horizontal="center"/>
    </xf>
    <xf numFmtId="3" fontId="0" fillId="29" borderId="0" xfId="0" applyNumberFormat="1" applyFont="1" applyFill="1"/>
    <xf numFmtId="3" fontId="4" fillId="31" borderId="1" xfId="0" applyNumberFormat="1" applyFont="1" applyFill="1" applyBorder="1" applyAlignment="1">
      <alignment horizontal="center" vertical="center" wrapText="1"/>
    </xf>
    <xf numFmtId="171" fontId="0" fillId="0" borderId="1" xfId="0" applyNumberFormat="1" applyFill="1" applyBorder="1" applyAlignment="1">
      <alignment vertical="center" wrapText="1"/>
    </xf>
    <xf numFmtId="171" fontId="0" fillId="0" borderId="1" xfId="0" applyNumberFormat="1" applyBorder="1" applyAlignment="1">
      <alignment vertical="center" wrapText="1"/>
    </xf>
    <xf numFmtId="170" fontId="0" fillId="9" borderId="1" xfId="0" applyNumberFormat="1" applyFill="1" applyBorder="1"/>
    <xf numFmtId="170" fontId="63" fillId="0" borderId="1" xfId="0" applyNumberFormat="1" applyFont="1" applyFill="1" applyBorder="1"/>
    <xf numFmtId="3" fontId="42" fillId="0" borderId="1" xfId="0" applyNumberFormat="1" applyFont="1" applyBorder="1" applyAlignment="1">
      <alignment wrapText="1"/>
    </xf>
    <xf numFmtId="0" fontId="19" fillId="0" borderId="4" xfId="45" applyFont="1" applyBorder="1" applyAlignment="1">
      <alignment horizontal="center" vertical="center" wrapText="1"/>
    </xf>
    <xf numFmtId="0" fontId="19" fillId="0" borderId="13" xfId="45" applyFont="1" applyBorder="1" applyAlignment="1">
      <alignment horizontal="left" vertical="center" wrapText="1"/>
    </xf>
    <xf numFmtId="0" fontId="19" fillId="0" borderId="13" xfId="45" applyFont="1" applyBorder="1" applyAlignment="1">
      <alignment horizontal="center" vertical="center" wrapText="1"/>
    </xf>
    <xf numFmtId="0" fontId="19" fillId="0" borderId="9" xfId="45" applyFont="1" applyBorder="1" applyAlignment="1">
      <alignment horizontal="center" vertical="center" wrapText="1"/>
    </xf>
    <xf numFmtId="0" fontId="25" fillId="0" borderId="1" xfId="45" applyFont="1" applyFill="1" applyBorder="1" applyAlignment="1">
      <alignment vertical="center" wrapText="1"/>
    </xf>
    <xf numFmtId="0" fontId="22" fillId="0" borderId="13" xfId="45" applyFont="1" applyBorder="1" applyAlignment="1">
      <alignment horizontal="center" vertical="center" wrapText="1"/>
    </xf>
    <xf numFmtId="0" fontId="22" fillId="0" borderId="13" xfId="45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" fontId="19" fillId="0" borderId="13" xfId="45" applyNumberFormat="1" applyFont="1" applyBorder="1" applyAlignment="1">
      <alignment horizontal="center" vertical="center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42" fontId="53" fillId="0" borderId="0" xfId="0" applyNumberFormat="1" applyFont="1" applyAlignment="1">
      <alignment wrapText="1"/>
    </xf>
    <xf numFmtId="0" fontId="24" fillId="13" borderId="1" xfId="0" applyFont="1" applyFill="1" applyBorder="1" applyAlignment="1">
      <alignment horizontal="center" vertical="top" wrapText="1"/>
    </xf>
    <xf numFmtId="39" fontId="0" fillId="0" borderId="0" xfId="0" applyNumberFormat="1"/>
    <xf numFmtId="165" fontId="19" fillId="0" borderId="1" xfId="7" applyNumberFormat="1" applyFont="1" applyBorder="1" applyAlignment="1">
      <alignment horizontal="center" vertical="center" wrapText="1"/>
    </xf>
    <xf numFmtId="4" fontId="19" fillId="0" borderId="1" xfId="7" applyNumberFormat="1" applyFont="1" applyBorder="1" applyAlignment="1">
      <alignment horizontal="center" vertical="center" wrapText="1"/>
    </xf>
    <xf numFmtId="39" fontId="25" fillId="0" borderId="1" xfId="7" applyNumberFormat="1" applyFont="1" applyFill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/>
    </xf>
    <xf numFmtId="0" fontId="19" fillId="3" borderId="2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25" fillId="2" borderId="2" xfId="7" applyFont="1" applyFill="1" applyBorder="1" applyAlignment="1">
      <alignment horizontal="center" vertical="center" wrapText="1"/>
    </xf>
    <xf numFmtId="173" fontId="25" fillId="0" borderId="1" xfId="7" applyNumberFormat="1" applyFont="1" applyFill="1" applyBorder="1" applyAlignment="1">
      <alignment horizontal="center" vertical="center" wrapText="1"/>
    </xf>
    <xf numFmtId="0" fontId="61" fillId="0" borderId="0" xfId="0" applyFont="1"/>
    <xf numFmtId="39" fontId="0" fillId="22" borderId="0" xfId="0" applyNumberFormat="1" applyFill="1" applyBorder="1"/>
    <xf numFmtId="39" fontId="71" fillId="22" borderId="0" xfId="0" applyNumberFormat="1" applyFont="1" applyFill="1" applyBorder="1" applyAlignment="1">
      <alignment vertical="center" wrapText="1"/>
    </xf>
    <xf numFmtId="0" fontId="67" fillId="22" borderId="0" xfId="0" applyFont="1" applyFill="1" applyBorder="1" applyAlignment="1">
      <alignment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67" fillId="22" borderId="1" xfId="0" applyNumberFormat="1" applyFont="1" applyFill="1" applyBorder="1" applyAlignment="1">
      <alignment horizontal="center" vertical="center" wrapText="1"/>
    </xf>
    <xf numFmtId="0" fontId="19" fillId="2" borderId="7" xfId="45" applyFont="1" applyFill="1" applyBorder="1" applyAlignment="1">
      <alignment horizontal="center" vertical="center" wrapText="1"/>
    </xf>
    <xf numFmtId="0" fontId="19" fillId="5" borderId="6" xfId="45" applyFont="1" applyFill="1" applyBorder="1" applyAlignment="1">
      <alignment wrapText="1"/>
    </xf>
    <xf numFmtId="0" fontId="19" fillId="5" borderId="7" xfId="45" applyFont="1" applyFill="1" applyBorder="1" applyAlignment="1">
      <alignment wrapText="1"/>
    </xf>
    <xf numFmtId="0" fontId="76" fillId="0" borderId="1" xfId="0" applyFont="1" applyFill="1" applyBorder="1" applyAlignment="1">
      <alignment horizontal="center" vertical="center" wrapText="1"/>
    </xf>
    <xf numFmtId="9" fontId="76" fillId="22" borderId="1" xfId="0" applyNumberFormat="1" applyFont="1" applyFill="1" applyBorder="1" applyAlignment="1">
      <alignment horizontal="center" vertical="center" wrapText="1"/>
    </xf>
    <xf numFmtId="0" fontId="76" fillId="2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9" fontId="0" fillId="0" borderId="1" xfId="0" applyNumberFormat="1" applyBorder="1"/>
    <xf numFmtId="41" fontId="73" fillId="27" borderId="1" xfId="50" quotePrefix="1" applyFont="1" applyFill="1" applyBorder="1" applyAlignment="1">
      <alignment horizontal="center" vertical="top" wrapText="1"/>
    </xf>
    <xf numFmtId="3" fontId="0" fillId="27" borderId="1" xfId="0" quotePrefix="1" applyNumberFormat="1" applyFill="1" applyBorder="1" applyAlignment="1">
      <alignment vertical="top"/>
    </xf>
    <xf numFmtId="174" fontId="0" fillId="10" borderId="1" xfId="0" applyNumberFormat="1" applyFill="1" applyBorder="1" applyAlignment="1">
      <alignment horizontal="center"/>
    </xf>
    <xf numFmtId="4" fontId="53" fillId="9" borderId="1" xfId="0" applyNumberFormat="1" applyFont="1" applyFill="1" applyBorder="1"/>
    <xf numFmtId="0" fontId="53" fillId="0" borderId="0" xfId="0" applyFont="1"/>
    <xf numFmtId="0" fontId="53" fillId="9" borderId="1" xfId="0" applyFont="1" applyFill="1" applyBorder="1"/>
    <xf numFmtId="43" fontId="53" fillId="9" borderId="1" xfId="0" applyNumberFormat="1" applyFont="1" applyFill="1" applyBorder="1"/>
    <xf numFmtId="2" fontId="19" fillId="0" borderId="13" xfId="7" applyNumberFormat="1" applyFont="1" applyBorder="1" applyAlignment="1">
      <alignment horizontal="center" vertical="center" wrapText="1"/>
    </xf>
    <xf numFmtId="176" fontId="25" fillId="0" borderId="1" xfId="7" applyNumberFormat="1" applyFont="1" applyFill="1" applyBorder="1" applyAlignment="1">
      <alignment vertical="center" wrapText="1"/>
    </xf>
    <xf numFmtId="4" fontId="19" fillId="0" borderId="9" xfId="7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3" fontId="0" fillId="0" borderId="1" xfId="0" quotePrefix="1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4" fontId="0" fillId="0" borderId="1" xfId="0" applyNumberFormat="1" applyFont="1" applyFill="1" applyBorder="1" applyAlignment="1">
      <alignment horizontal="center" vertical="top"/>
    </xf>
    <xf numFmtId="4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168" fontId="2" fillId="0" borderId="1" xfId="0" applyNumberFormat="1" applyFont="1" applyFill="1" applyBorder="1" applyAlignment="1">
      <alignment horizontal="center" vertical="top" wrapText="1"/>
    </xf>
    <xf numFmtId="3" fontId="0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horizontal="center" vertical="top" wrapText="1"/>
    </xf>
    <xf numFmtId="3" fontId="0" fillId="0" borderId="0" xfId="0" applyNumberFormat="1" applyFont="1" applyFill="1"/>
    <xf numFmtId="0" fontId="0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/>
    <xf numFmtId="175" fontId="2" fillId="0" borderId="1" xfId="0" applyNumberFormat="1" applyFont="1" applyFill="1" applyBorder="1" applyAlignment="1">
      <alignment horizontal="center" vertical="top" wrapText="1"/>
    </xf>
    <xf numFmtId="170" fontId="2" fillId="0" borderId="1" xfId="0" applyNumberFormat="1" applyFont="1" applyFill="1" applyBorder="1" applyAlignment="1">
      <alignment vertical="top"/>
    </xf>
    <xf numFmtId="170" fontId="2" fillId="0" borderId="1" xfId="0" applyNumberFormat="1" applyFont="1" applyFill="1" applyBorder="1" applyAlignment="1">
      <alignment horizontal="center" vertical="top" wrapText="1"/>
    </xf>
    <xf numFmtId="171" fontId="2" fillId="0" borderId="1" xfId="0" applyNumberFormat="1" applyFont="1" applyFill="1" applyBorder="1" applyAlignment="1">
      <alignment horizontal="center" vertical="top" wrapText="1"/>
    </xf>
    <xf numFmtId="41" fontId="25" fillId="0" borderId="2" xfId="50" quotePrefix="1" applyFont="1" applyFill="1" applyBorder="1" applyAlignment="1">
      <alignment horizontal="center" vertical="top"/>
    </xf>
    <xf numFmtId="3" fontId="56" fillId="0" borderId="1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4" fontId="0" fillId="0" borderId="1" xfId="0" quotePrefix="1" applyNumberFormat="1" applyFont="1" applyFill="1" applyBorder="1"/>
    <xf numFmtId="3" fontId="0" fillId="0" borderId="1" xfId="0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wrapText="1"/>
    </xf>
    <xf numFmtId="3" fontId="0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top"/>
    </xf>
    <xf numFmtId="0" fontId="2" fillId="0" borderId="1" xfId="45" applyFont="1" applyFill="1" applyBorder="1" applyAlignment="1">
      <alignment horizontal="center" vertical="center" wrapText="1"/>
    </xf>
    <xf numFmtId="0" fontId="8" fillId="0" borderId="1" xfId="45" applyFont="1" applyFill="1" applyBorder="1" applyAlignment="1">
      <alignment horizontal="center" vertical="center" wrapText="1"/>
    </xf>
    <xf numFmtId="0" fontId="2" fillId="0" borderId="1" xfId="45" applyFont="1" applyFill="1" applyBorder="1" applyAlignment="1">
      <alignment vertical="center" wrapText="1"/>
    </xf>
    <xf numFmtId="2" fontId="2" fillId="0" borderId="1" xfId="45" applyNumberFormat="1" applyFont="1" applyFill="1" applyBorder="1" applyAlignment="1">
      <alignment vertical="center" wrapText="1"/>
    </xf>
    <xf numFmtId="0" fontId="2" fillId="0" borderId="2" xfId="45" applyFont="1" applyFill="1" applyBorder="1" applyAlignment="1">
      <alignment horizontal="center" vertical="center" wrapText="1"/>
    </xf>
    <xf numFmtId="3" fontId="0" fillId="0" borderId="2" xfId="0" applyNumberFormat="1" applyFont="1" applyFill="1" applyBorder="1"/>
    <xf numFmtId="0" fontId="8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vertical="center" wrapText="1"/>
    </xf>
    <xf numFmtId="2" fontId="2" fillId="0" borderId="2" xfId="45" applyNumberFormat="1" applyFont="1" applyFill="1" applyBorder="1" applyAlignment="1">
      <alignment vertical="center" wrapText="1"/>
    </xf>
    <xf numFmtId="3" fontId="2" fillId="0" borderId="1" xfId="45" applyNumberFormat="1" applyFont="1" applyFill="1" applyBorder="1" applyAlignment="1">
      <alignment horizontal="center" vertical="center" wrapText="1"/>
    </xf>
    <xf numFmtId="4" fontId="2" fillId="0" borderId="1" xfId="45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/>
    </xf>
    <xf numFmtId="2" fontId="0" fillId="0" borderId="1" xfId="0" quotePrefix="1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horizontal="center" vertical="top" wrapText="1"/>
    </xf>
    <xf numFmtId="2" fontId="0" fillId="0" borderId="1" xfId="0" quotePrefix="1" applyNumberFormat="1" applyFont="1" applyFill="1" applyBorder="1"/>
    <xf numFmtId="2" fontId="0" fillId="0" borderId="0" xfId="0" applyNumberFormat="1" applyFont="1" applyFill="1"/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1" xfId="0" applyNumberFormat="1" applyFont="1" applyFill="1" applyBorder="1" applyAlignment="1">
      <alignment horizontal="left" vertical="top" wrapText="1"/>
    </xf>
    <xf numFmtId="2" fontId="56" fillId="0" borderId="1" xfId="0" applyNumberFormat="1" applyFont="1" applyFill="1" applyBorder="1" applyAlignment="1">
      <alignment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/>
    </xf>
    <xf numFmtId="4" fontId="0" fillId="0" borderId="1" xfId="0" quotePrefix="1" applyNumberFormat="1" applyFont="1" applyFill="1" applyBorder="1" applyAlignment="1">
      <alignment vertical="top"/>
    </xf>
    <xf numFmtId="4" fontId="0" fillId="0" borderId="0" xfId="0" applyNumberFormat="1" applyFont="1" applyFill="1" applyAlignment="1">
      <alignment vertical="top"/>
    </xf>
    <xf numFmtId="4" fontId="55" fillId="0" borderId="1" xfId="0" applyNumberFormat="1" applyFont="1" applyFill="1" applyBorder="1" applyAlignment="1">
      <alignment horizontal="right" vertical="top"/>
    </xf>
    <xf numFmtId="4" fontId="0" fillId="0" borderId="1" xfId="0" applyNumberFormat="1" applyFont="1" applyFill="1" applyBorder="1" applyAlignment="1">
      <alignment wrapText="1"/>
    </xf>
    <xf numFmtId="4" fontId="0" fillId="0" borderId="0" xfId="0" applyNumberFormat="1" applyFont="1" applyFill="1"/>
    <xf numFmtId="4" fontId="0" fillId="0" borderId="3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left" vertical="top" wrapText="1"/>
    </xf>
    <xf numFmtId="4" fontId="56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53" fillId="0" borderId="1" xfId="0" applyNumberFormat="1" applyFont="1" applyFill="1" applyBorder="1" applyAlignment="1">
      <alignment vertical="top" wrapText="1"/>
    </xf>
    <xf numFmtId="2" fontId="53" fillId="0" borderId="1" xfId="0" applyNumberFormat="1" applyFont="1" applyFill="1" applyBorder="1" applyAlignment="1">
      <alignment vertical="top"/>
    </xf>
    <xf numFmtId="2" fontId="53" fillId="0" borderId="1" xfId="0" quotePrefix="1" applyNumberFormat="1" applyFont="1" applyFill="1" applyBorder="1" applyAlignment="1">
      <alignment vertical="top"/>
    </xf>
    <xf numFmtId="2" fontId="53" fillId="0" borderId="1" xfId="0" applyNumberFormat="1" applyFont="1" applyFill="1" applyBorder="1" applyAlignment="1">
      <alignment horizontal="center" vertical="top"/>
    </xf>
    <xf numFmtId="3" fontId="53" fillId="0" borderId="0" xfId="0" applyNumberFormat="1" applyFont="1" applyFill="1" applyAlignment="1">
      <alignment vertical="top"/>
    </xf>
    <xf numFmtId="3" fontId="53" fillId="0" borderId="1" xfId="0" quotePrefix="1" applyNumberFormat="1" applyFont="1" applyFill="1" applyBorder="1" applyAlignment="1">
      <alignment vertical="top"/>
    </xf>
    <xf numFmtId="3" fontId="53" fillId="0" borderId="1" xfId="0" applyNumberFormat="1" applyFont="1" applyFill="1" applyBorder="1" applyAlignment="1">
      <alignment horizontal="center" vertical="top"/>
    </xf>
    <xf numFmtId="4" fontId="53" fillId="0" borderId="1" xfId="0" applyNumberFormat="1" applyFont="1" applyFill="1" applyBorder="1" applyAlignment="1">
      <alignment vertical="top" wrapText="1"/>
    </xf>
    <xf numFmtId="4" fontId="53" fillId="0" borderId="1" xfId="0" applyNumberFormat="1" applyFont="1" applyFill="1" applyBorder="1" applyAlignment="1">
      <alignment vertical="top"/>
    </xf>
    <xf numFmtId="4" fontId="53" fillId="0" borderId="1" xfId="50" applyNumberFormat="1" applyFont="1" applyFill="1" applyBorder="1" applyAlignment="1">
      <alignment horizontal="right" vertical="top" wrapText="1"/>
    </xf>
    <xf numFmtId="4" fontId="53" fillId="0" borderId="1" xfId="0" quotePrefix="1" applyNumberFormat="1" applyFont="1" applyFill="1" applyBorder="1" applyAlignment="1">
      <alignment vertical="top"/>
    </xf>
    <xf numFmtId="4" fontId="53" fillId="0" borderId="1" xfId="0" applyNumberFormat="1" applyFont="1" applyFill="1" applyBorder="1" applyAlignment="1">
      <alignment horizontal="center" vertical="top"/>
    </xf>
    <xf numFmtId="3" fontId="0" fillId="0" borderId="3" xfId="0" applyNumberFormat="1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9" fillId="0" borderId="2" xfId="45" applyFont="1" applyFill="1" applyBorder="1" applyAlignment="1">
      <alignment horizontal="center" vertical="center" wrapText="1"/>
    </xf>
    <xf numFmtId="0" fontId="19" fillId="0" borderId="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3" fontId="25" fillId="0" borderId="2" xfId="45" applyNumberFormat="1" applyFont="1" applyFill="1" applyBorder="1" applyAlignment="1">
      <alignment horizontal="center" vertical="center" wrapText="1"/>
    </xf>
    <xf numFmtId="0" fontId="25" fillId="0" borderId="3" xfId="45" applyFont="1" applyFill="1" applyBorder="1" applyAlignment="1">
      <alignment horizontal="center" vertical="center" wrapText="1"/>
    </xf>
    <xf numFmtId="0" fontId="25" fillId="0" borderId="4" xfId="45" applyFont="1" applyFill="1" applyBorder="1" applyAlignment="1">
      <alignment horizontal="center" vertical="center" wrapText="1"/>
    </xf>
    <xf numFmtId="169" fontId="22" fillId="0" borderId="2" xfId="50" applyNumberFormat="1" applyFont="1" applyFill="1" applyBorder="1" applyAlignment="1">
      <alignment horizontal="center" vertical="center" wrapText="1"/>
    </xf>
    <xf numFmtId="169" fontId="22" fillId="0" borderId="3" xfId="50" applyNumberFormat="1" applyFont="1" applyFill="1" applyBorder="1" applyAlignment="1">
      <alignment horizontal="center" vertical="center" wrapText="1"/>
    </xf>
    <xf numFmtId="169" fontId="22" fillId="0" borderId="4" xfId="50" applyNumberFormat="1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25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horizontal="center" vertical="center" wrapText="1"/>
    </xf>
    <xf numFmtId="0" fontId="2" fillId="0" borderId="3" xfId="45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top" wrapText="1"/>
    </xf>
    <xf numFmtId="2" fontId="0" fillId="0" borderId="2" xfId="0" applyNumberFormat="1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4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10" borderId="2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0" fillId="22" borderId="9" xfId="0" applyFill="1" applyBorder="1" applyAlignment="1">
      <alignment horizontal="left"/>
    </xf>
    <xf numFmtId="0" fontId="0" fillId="22" borderId="13" xfId="0" applyFill="1" applyBorder="1" applyAlignment="1">
      <alignment horizontal="left"/>
    </xf>
    <xf numFmtId="0" fontId="59" fillId="26" borderId="1" xfId="0" applyFont="1" applyFill="1" applyBorder="1" applyAlignment="1">
      <alignment horizontal="center" wrapText="1"/>
    </xf>
    <xf numFmtId="3" fontId="0" fillId="3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9" fillId="26" borderId="1" xfId="0" applyFont="1" applyFill="1" applyBorder="1" applyAlignment="1">
      <alignment horizontal="center" wrapText="1"/>
    </xf>
    <xf numFmtId="0" fontId="4" fillId="10" borderId="9" xfId="0" applyFont="1" applyFill="1" applyBorder="1" applyAlignment="1">
      <alignment horizontal="center" vertical="center"/>
    </xf>
    <xf numFmtId="3" fontId="4" fillId="27" borderId="6" xfId="0" applyNumberFormat="1" applyFont="1" applyFill="1" applyBorder="1" applyAlignment="1">
      <alignment horizontal="center"/>
    </xf>
    <xf numFmtId="3" fontId="4" fillId="27" borderId="7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 wrapText="1"/>
    </xf>
    <xf numFmtId="3" fontId="0" fillId="23" borderId="1" xfId="0" applyNumberFormat="1" applyFill="1" applyBorder="1" applyAlignment="1">
      <alignment horizontal="center"/>
    </xf>
    <xf numFmtId="3" fontId="59" fillId="30" borderId="1" xfId="0" applyNumberFormat="1" applyFont="1" applyFill="1" applyBorder="1" applyAlignment="1">
      <alignment horizontal="center"/>
    </xf>
    <xf numFmtId="0" fontId="19" fillId="5" borderId="5" xfId="7" applyFont="1" applyFill="1" applyBorder="1" applyAlignment="1">
      <alignment horizontal="left" wrapText="1"/>
    </xf>
    <xf numFmtId="0" fontId="19" fillId="5" borderId="6" xfId="7" applyFont="1" applyFill="1" applyBorder="1" applyAlignment="1">
      <alignment horizontal="left" wrapText="1"/>
    </xf>
    <xf numFmtId="0" fontId="19" fillId="5" borderId="7" xfId="7" applyFont="1" applyFill="1" applyBorder="1" applyAlignment="1">
      <alignment horizontal="left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6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9" fillId="0" borderId="1" xfId="7" applyFont="1" applyBorder="1" applyAlignment="1">
      <alignment horizontal="center" vertical="center" wrapText="1"/>
    </xf>
    <xf numFmtId="1" fontId="0" fillId="27" borderId="5" xfId="0" applyNumberFormat="1" applyFill="1" applyBorder="1" applyAlignment="1">
      <alignment horizontal="center" wrapText="1"/>
    </xf>
    <xf numFmtId="1" fontId="0" fillId="27" borderId="6" xfId="0" applyNumberFormat="1" applyFill="1" applyBorder="1" applyAlignment="1">
      <alignment horizontal="center" wrapText="1"/>
    </xf>
    <xf numFmtId="1" fontId="0" fillId="27" borderId="7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left" vertical="center" wrapText="1"/>
    </xf>
    <xf numFmtId="0" fontId="67" fillId="9" borderId="6" xfId="0" applyFont="1" applyFill="1" applyBorder="1" applyAlignment="1">
      <alignment horizontal="left" vertical="center" wrapText="1"/>
    </xf>
    <xf numFmtId="0" fontId="67" fillId="9" borderId="7" xfId="0" applyFont="1" applyFill="1" applyBorder="1" applyAlignment="1">
      <alignment horizontal="left" vertical="center" wrapText="1"/>
    </xf>
    <xf numFmtId="0" fontId="75" fillId="0" borderId="9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9" fillId="0" borderId="1" xfId="45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left" wrapText="1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center" vertical="top" wrapText="1"/>
    </xf>
    <xf numFmtId="0" fontId="31" fillId="16" borderId="6" xfId="0" applyFont="1" applyFill="1" applyBorder="1" applyAlignment="1">
      <alignment horizontal="center" vertical="top" wrapText="1"/>
    </xf>
    <xf numFmtId="0" fontId="19" fillId="22" borderId="8" xfId="45" applyFont="1" applyFill="1" applyBorder="1" applyAlignment="1">
      <alignment horizontal="left" vertical="center" wrapText="1"/>
    </xf>
    <xf numFmtId="0" fontId="19" fillId="22" borderId="9" xfId="45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31" borderId="4" xfId="0" applyFill="1" applyBorder="1" applyAlignment="1">
      <alignment horizontal="center" vertical="center" wrapText="1"/>
    </xf>
    <xf numFmtId="0" fontId="0" fillId="0" borderId="22" xfId="0" applyBorder="1" applyAlignment="1">
      <alignment horizontal="left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24" borderId="11" xfId="0" applyFill="1" applyBorder="1" applyAlignment="1">
      <alignment horizontal="center" wrapText="1"/>
    </xf>
    <xf numFmtId="0" fontId="0" fillId="24" borderId="0" xfId="0" applyFill="1" applyBorder="1" applyAlignment="1">
      <alignment horizontal="center" wrapText="1"/>
    </xf>
    <xf numFmtId="0" fontId="0" fillId="24" borderId="24" xfId="0" applyFill="1" applyBorder="1" applyAlignment="1">
      <alignment horizontal="center" wrapText="1"/>
    </xf>
    <xf numFmtId="0" fontId="0" fillId="31" borderId="1" xfId="0" applyFill="1" applyBorder="1" applyAlignment="1">
      <alignment horizontal="center" vertical="center" wrapText="1"/>
    </xf>
    <xf numFmtId="0" fontId="51" fillId="9" borderId="17" xfId="0" applyFont="1" applyFill="1" applyBorder="1" applyAlignment="1">
      <alignment vertical="center" wrapText="1"/>
    </xf>
    <xf numFmtId="0" fontId="51" fillId="9" borderId="18" xfId="0" applyFont="1" applyFill="1" applyBorder="1" applyAlignment="1">
      <alignment vertical="center" wrapText="1"/>
    </xf>
    <xf numFmtId="0" fontId="51" fillId="9" borderId="19" xfId="0" applyFont="1" applyFill="1" applyBorder="1" applyAlignment="1">
      <alignment vertical="center" wrapText="1"/>
    </xf>
    <xf numFmtId="0" fontId="50" fillId="9" borderId="20" xfId="0" applyFont="1" applyFill="1" applyBorder="1" applyAlignment="1">
      <alignment horizontal="right" vertical="center" wrapText="1"/>
    </xf>
    <xf numFmtId="0" fontId="50" fillId="9" borderId="21" xfId="0" applyFont="1" applyFill="1" applyBorder="1" applyAlignment="1">
      <alignment horizontal="right" vertical="center" wrapText="1"/>
    </xf>
    <xf numFmtId="0" fontId="50" fillId="9" borderId="16" xfId="0" applyFont="1" applyFill="1" applyBorder="1" applyAlignment="1">
      <alignment horizontal="right" vertical="center" wrapText="1"/>
    </xf>
    <xf numFmtId="0" fontId="4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1" fillId="16" borderId="10" xfId="0" applyFont="1" applyFill="1" applyBorder="1" applyAlignment="1">
      <alignment horizontal="left" vertical="top" wrapText="1"/>
    </xf>
    <xf numFmtId="0" fontId="31" fillId="16" borderId="12" xfId="0" applyFont="1" applyFill="1" applyBorder="1" applyAlignment="1">
      <alignment horizontal="left" vertical="top" wrapText="1"/>
    </xf>
    <xf numFmtId="0" fontId="32" fillId="15" borderId="5" xfId="0" applyFont="1" applyFill="1" applyBorder="1" applyAlignment="1">
      <alignment horizontal="left" vertical="top" wrapText="1"/>
    </xf>
    <xf numFmtId="0" fontId="32" fillId="15" borderId="6" xfId="0" applyFont="1" applyFill="1" applyBorder="1" applyAlignment="1">
      <alignment horizontal="left" vertical="top" wrapText="1"/>
    </xf>
    <xf numFmtId="0" fontId="33" fillId="15" borderId="5" xfId="0" applyFont="1" applyFill="1" applyBorder="1" applyAlignment="1">
      <alignment horizontal="left" vertical="top" wrapText="1"/>
    </xf>
    <xf numFmtId="0" fontId="33" fillId="15" borderId="6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4" fillId="13" borderId="4" xfId="0" applyFont="1" applyFill="1" applyBorder="1" applyAlignment="1">
      <alignment horizontal="center" vertical="top" wrapText="1"/>
    </xf>
    <xf numFmtId="0" fontId="35" fillId="15" borderId="5" xfId="0" applyFont="1" applyFill="1" applyBorder="1" applyAlignment="1">
      <alignment horizontal="left" vertical="top" wrapText="1"/>
    </xf>
    <xf numFmtId="0" fontId="35" fillId="15" borderId="6" xfId="0" applyFont="1" applyFill="1" applyBorder="1" applyAlignment="1">
      <alignment horizontal="left" vertical="top" wrapText="1"/>
    </xf>
    <xf numFmtId="0" fontId="34" fillId="15" borderId="5" xfId="0" applyFont="1" applyFill="1" applyBorder="1" applyAlignment="1">
      <alignment horizontal="left" vertical="top" wrapText="1"/>
    </xf>
    <xf numFmtId="0" fontId="34" fillId="15" borderId="6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10" fontId="61" fillId="29" borderId="33" xfId="0" applyNumberFormat="1" applyFont="1" applyFill="1" applyBorder="1" applyAlignment="1">
      <alignment horizontal="center"/>
    </xf>
  </cellXfs>
  <cellStyles count="59">
    <cellStyle name="Comma [0] 2" xfId="4"/>
    <cellStyle name="Comma [0] 2 2" xfId="50"/>
    <cellStyle name="Comma [0] 2 2 2" xfId="58"/>
    <cellStyle name="Comma [0] 2 3" xfId="48"/>
    <cellStyle name="Comma [0] 2 4" xfId="56"/>
    <cellStyle name="Comma [0] 3" xfId="3"/>
    <cellStyle name="Comma [0] 4" xfId="46"/>
    <cellStyle name="Comma [0] 8" xfId="51"/>
    <cellStyle name="Comma 10" xfId="25"/>
    <cellStyle name="Comma 11" xfId="22"/>
    <cellStyle name="Comma 12" xfId="24"/>
    <cellStyle name="Comma 13" xfId="23"/>
    <cellStyle name="Comma 14" xfId="26"/>
    <cellStyle name="Comma 15" xfId="29"/>
    <cellStyle name="Comma 16" xfId="28"/>
    <cellStyle name="Comma 17" xfId="30"/>
    <cellStyle name="Comma 18" xfId="32"/>
    <cellStyle name="Comma 19" xfId="31"/>
    <cellStyle name="Comma 2" xfId="6"/>
    <cellStyle name="Comma 2 2" xfId="52"/>
    <cellStyle name="Comma 20" xfId="39"/>
    <cellStyle name="Comma 21" xfId="36"/>
    <cellStyle name="Comma 22" xfId="35"/>
    <cellStyle name="Comma 23" xfId="34"/>
    <cellStyle name="Comma 24" xfId="37"/>
    <cellStyle name="Comma 25" xfId="38"/>
    <cellStyle name="Comma 26" xfId="33"/>
    <cellStyle name="Comma 27" xfId="40"/>
    <cellStyle name="Comma 28" xfId="41"/>
    <cellStyle name="Comma 29" xfId="42"/>
    <cellStyle name="Comma 3" xfId="8"/>
    <cellStyle name="Comma 3 2" xfId="16"/>
    <cellStyle name="Comma 3 3" xfId="13"/>
    <cellStyle name="Comma 30" xfId="43"/>
    <cellStyle name="Comma 31" xfId="44"/>
    <cellStyle name="Comma 32" xfId="49"/>
    <cellStyle name="Comma 4" xfId="17"/>
    <cellStyle name="Comma 5" xfId="19"/>
    <cellStyle name="Comma 6" xfId="18"/>
    <cellStyle name="Comma 7" xfId="20"/>
    <cellStyle name="Comma 8" xfId="5"/>
    <cellStyle name="Comma 9" xfId="21"/>
    <cellStyle name="Normal" xfId="0" builtinId="0"/>
    <cellStyle name="Normal 10 2 2" xfId="11"/>
    <cellStyle name="Normal 161" xfId="9"/>
    <cellStyle name="Normal 2" xfId="2"/>
    <cellStyle name="Normal 2 2" xfId="12"/>
    <cellStyle name="Normal 2 2 2" xfId="53"/>
    <cellStyle name="Normal 2 3" xfId="10"/>
    <cellStyle name="Normal 2 4" xfId="27"/>
    <cellStyle name="Normal 2 5" xfId="47"/>
    <cellStyle name="Normal 2 5 2" xfId="57"/>
    <cellStyle name="Normal 2 6" xfId="55"/>
    <cellStyle name="Normal 3" xfId="7"/>
    <cellStyle name="Normal 3 2" xfId="15"/>
    <cellStyle name="Normal 3 3" xfId="14"/>
    <cellStyle name="Normal 3 4" xfId="45"/>
    <cellStyle name="Normal 4" xfId="1"/>
    <cellStyle name="Normal 6" xfId="54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Energi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8260721516699782"/>
          <c:y val="9.2049559179532239E-2"/>
          <c:w val="0.52247330513287304"/>
          <c:h val="0.79775079554043993"/>
        </c:manualLayout>
      </c:layout>
      <c:lineChart>
        <c:grouping val="standard"/>
        <c:varyColors val="0"/>
        <c:ser>
          <c:idx val="0"/>
          <c:order val="0"/>
          <c:tx>
            <c:strRef>
              <c:f>'REKAP TOTAL '!$AG$4</c:f>
              <c:strCache>
                <c:ptCount val="1"/>
                <c:pt idx="0">
                  <c:v>EMISI GRK BILA AKSI MITIGASI DILAKSANAKAN (ton CO2 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'!$AG$5:$AG$25</c:f>
              <c:numCache>
                <c:formatCode>#,##0.00</c:formatCode>
                <c:ptCount val="21"/>
                <c:pt idx="0">
                  <c:v>14121165.764235599</c:v>
                </c:pt>
                <c:pt idx="1">
                  <c:v>15207093.71618</c:v>
                </c:pt>
                <c:pt idx="2">
                  <c:v>16289177.243611604</c:v>
                </c:pt>
                <c:pt idx="3">
                  <c:v>17370542.581845202</c:v>
                </c:pt>
                <c:pt idx="4">
                  <c:v>18408561.131748401</c:v>
                </c:pt>
                <c:pt idx="5">
                  <c:v>19379678.445172399</c:v>
                </c:pt>
                <c:pt idx="6">
                  <c:v>20708798.455222398</c:v>
                </c:pt>
                <c:pt idx="7">
                  <c:v>21940760.410263199</c:v>
                </c:pt>
                <c:pt idx="8">
                  <c:v>23236015.807501201</c:v>
                </c:pt>
                <c:pt idx="9">
                  <c:v>24307099.493897203</c:v>
                </c:pt>
                <c:pt idx="10">
                  <c:v>25239389.284773204</c:v>
                </c:pt>
                <c:pt idx="11">
                  <c:v>25939201.251409195</c:v>
                </c:pt>
                <c:pt idx="12">
                  <c:v>26649049.196557201</c:v>
                </c:pt>
                <c:pt idx="13">
                  <c:v>28666313.125705197</c:v>
                </c:pt>
                <c:pt idx="14">
                  <c:v>30625565.8820532</c:v>
                </c:pt>
                <c:pt idx="15">
                  <c:v>32338941.363665197</c:v>
                </c:pt>
                <c:pt idx="16">
                  <c:v>35985731.366805203</c:v>
                </c:pt>
                <c:pt idx="17">
                  <c:v>39632521.369945206</c:v>
                </c:pt>
                <c:pt idx="18">
                  <c:v>43279311.373085193</c:v>
                </c:pt>
                <c:pt idx="19">
                  <c:v>46926101.376225203</c:v>
                </c:pt>
                <c:pt idx="20">
                  <c:v>50572926.67936521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 TOTAL '!$AF$4</c:f>
              <c:strCache>
                <c:ptCount val="1"/>
                <c:pt idx="0">
                  <c:v>BAU BASELINE (Ton CO2 eq)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'!$AF$5:$AF$25</c:f>
              <c:numCache>
                <c:formatCode>#,##0</c:formatCode>
                <c:ptCount val="21"/>
                <c:pt idx="0">
                  <c:v>14140297.7228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1254064"/>
        <c:axId val="441254456"/>
      </c:lineChart>
      <c:catAx>
        <c:axId val="441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1254456"/>
        <c:crosses val="autoZero"/>
        <c:auto val="1"/>
        <c:lblAlgn val="ctr"/>
        <c:lblOffset val="100"/>
        <c:noMultiLvlLbl val="0"/>
      </c:catAx>
      <c:valAx>
        <c:axId val="441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1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Pengadaan dan Penggunaan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'PENURUNAN EMISI GRK'!$B$5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GRK'!$B$6:$B$26</c:f>
              <c:numCache>
                <c:formatCode>#,##0</c:formatCode>
                <c:ptCount val="21"/>
                <c:pt idx="0">
                  <c:v>14140297.722800002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'PENURUNAN EMISI GRK'!$P$5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GRK'!$P$6:$P$26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5240"/>
        <c:axId val="229261224"/>
      </c:lineChart>
      <c:catAx>
        <c:axId val="4412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9261224"/>
        <c:crosses val="autoZero"/>
        <c:auto val="1"/>
        <c:lblAlgn val="ctr"/>
        <c:lblOffset val="100"/>
        <c:noMultiLvlLbl val="0"/>
      </c:catAx>
      <c:valAx>
        <c:axId val="22926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Emisi (Ton Co₂Eq)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4125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562842</xdr:colOff>
      <xdr:row>2</xdr:row>
      <xdr:rowOff>337951</xdr:rowOff>
    </xdr:from>
    <xdr:to>
      <xdr:col>48</xdr:col>
      <xdr:colOff>82881</xdr:colOff>
      <xdr:row>25</xdr:row>
      <xdr:rowOff>184315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431716</xdr:colOff>
      <xdr:row>3</xdr:row>
      <xdr:rowOff>423059</xdr:rowOff>
    </xdr:from>
    <xdr:to>
      <xdr:col>43</xdr:col>
      <xdr:colOff>559130</xdr:colOff>
      <xdr:row>5</xdr:row>
      <xdr:rowOff>16082</xdr:rowOff>
    </xdr:to>
    <xdr:sp macro="" textlink="">
      <xdr:nvSpPr>
        <xdr:cNvPr id="3" name="Down Arrow 2"/>
        <xdr:cNvSpPr/>
      </xdr:nvSpPr>
      <xdr:spPr>
        <a:xfrm>
          <a:off x="28761787" y="1389166"/>
          <a:ext cx="127414" cy="450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732312</xdr:colOff>
      <xdr:row>3</xdr:row>
      <xdr:rowOff>405741</xdr:rowOff>
    </xdr:from>
    <xdr:to>
      <xdr:col>45</xdr:col>
      <xdr:colOff>147204</xdr:colOff>
      <xdr:row>4</xdr:row>
      <xdr:rowOff>137309</xdr:rowOff>
    </xdr:to>
    <xdr:sp macro="" textlink="">
      <xdr:nvSpPr>
        <xdr:cNvPr id="4" name="TextBox 3"/>
        <xdr:cNvSpPr txBox="1"/>
      </xdr:nvSpPr>
      <xdr:spPr>
        <a:xfrm>
          <a:off x="29062383" y="1371848"/>
          <a:ext cx="762000" cy="398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8 %</a:t>
          </a:r>
        </a:p>
      </xdr:txBody>
    </xdr:sp>
    <xdr:clientData/>
  </xdr:twoCellAnchor>
  <xdr:twoCellAnchor>
    <xdr:from>
      <xdr:col>34</xdr:col>
      <xdr:colOff>265341</xdr:colOff>
      <xdr:row>16</xdr:row>
      <xdr:rowOff>136072</xdr:rowOff>
    </xdr:from>
    <xdr:to>
      <xdr:col>34</xdr:col>
      <xdr:colOff>571505</xdr:colOff>
      <xdr:row>22</xdr:row>
      <xdr:rowOff>156483</xdr:rowOff>
    </xdr:to>
    <xdr:sp macro="" textlink="">
      <xdr:nvSpPr>
        <xdr:cNvPr id="7" name="TextBox 6"/>
        <xdr:cNvSpPr txBox="1"/>
      </xdr:nvSpPr>
      <xdr:spPr>
        <a:xfrm rot="16200000">
          <a:off x="21281574" y="4483553"/>
          <a:ext cx="1163411" cy="306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ton CO2 eq</a:t>
          </a:r>
        </a:p>
      </xdr:txBody>
    </xdr:sp>
    <xdr:clientData/>
  </xdr:twoCellAnchor>
  <xdr:twoCellAnchor>
    <xdr:from>
      <xdr:col>1</xdr:col>
      <xdr:colOff>69273</xdr:colOff>
      <xdr:row>27</xdr:row>
      <xdr:rowOff>86591</xdr:rowOff>
    </xdr:from>
    <xdr:to>
      <xdr:col>12</xdr:col>
      <xdr:colOff>779318</xdr:colOff>
      <xdr:row>50</xdr:row>
      <xdr:rowOff>155864</xdr:rowOff>
    </xdr:to>
    <xdr:cxnSp macro="">
      <xdr:nvCxnSpPr>
        <xdr:cNvPr id="6" name="Straight Connector 5"/>
        <xdr:cNvCxnSpPr/>
      </xdr:nvCxnSpPr>
      <xdr:spPr>
        <a:xfrm>
          <a:off x="675409" y="6355773"/>
          <a:ext cx="8208818" cy="552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27</xdr:row>
      <xdr:rowOff>34636</xdr:rowOff>
    </xdr:from>
    <xdr:to>
      <xdr:col>16</xdr:col>
      <xdr:colOff>17319</xdr:colOff>
      <xdr:row>51</xdr:row>
      <xdr:rowOff>17318</xdr:rowOff>
    </xdr:to>
    <xdr:cxnSp macro="">
      <xdr:nvCxnSpPr>
        <xdr:cNvPr id="9" name="Straight Connector 8"/>
        <xdr:cNvCxnSpPr/>
      </xdr:nvCxnSpPr>
      <xdr:spPr>
        <a:xfrm flipH="1">
          <a:off x="623455" y="6303818"/>
          <a:ext cx="8364682" cy="5628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0</xdr:rowOff>
    </xdr:from>
    <xdr:to>
      <xdr:col>17</xdr:col>
      <xdr:colOff>484910</xdr:colOff>
      <xdr:row>58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20</xdr:col>
      <xdr:colOff>600075</xdr:colOff>
      <xdr:row>56</xdr:row>
      <xdr:rowOff>14287</xdr:rowOff>
    </xdr:to>
    <xdr:cxnSp macro="">
      <xdr:nvCxnSpPr>
        <xdr:cNvPr id="3" name="Straight Connector 2"/>
        <xdr:cNvCxnSpPr/>
      </xdr:nvCxnSpPr>
      <xdr:spPr>
        <a:xfrm flipH="1">
          <a:off x="0" y="15240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609600</xdr:colOff>
      <xdr:row>0</xdr:row>
      <xdr:rowOff>0</xdr:rowOff>
    </xdr:from>
    <xdr:to>
      <xdr:col>47</xdr:col>
      <xdr:colOff>342900</xdr:colOff>
      <xdr:row>30</xdr:row>
      <xdr:rowOff>76200</xdr:rowOff>
    </xdr:to>
    <xdr:cxnSp macro="">
      <xdr:nvCxnSpPr>
        <xdr:cNvPr id="4" name="Straight Connector 3"/>
        <xdr:cNvCxnSpPr/>
      </xdr:nvCxnSpPr>
      <xdr:spPr>
        <a:xfrm>
          <a:off x="19926300" y="0"/>
          <a:ext cx="20193000" cy="79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95250</xdr:rowOff>
    </xdr:from>
    <xdr:to>
      <xdr:col>41</xdr:col>
      <xdr:colOff>595313</xdr:colOff>
      <xdr:row>30</xdr:row>
      <xdr:rowOff>0</xdr:rowOff>
    </xdr:to>
    <xdr:cxnSp macro="">
      <xdr:nvCxnSpPr>
        <xdr:cNvPr id="5" name="Straight Connector 4"/>
        <xdr:cNvCxnSpPr/>
      </xdr:nvCxnSpPr>
      <xdr:spPr>
        <a:xfrm flipH="1">
          <a:off x="16878300" y="476250"/>
          <a:ext cx="17892713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</xdr:row>
      <xdr:rowOff>38100</xdr:rowOff>
    </xdr:from>
    <xdr:to>
      <xdr:col>19</xdr:col>
      <xdr:colOff>571500</xdr:colOff>
      <xdr:row>67</xdr:row>
      <xdr:rowOff>152400</xdr:rowOff>
    </xdr:to>
    <xdr:cxnSp macro="">
      <xdr:nvCxnSpPr>
        <xdr:cNvPr id="9" name="Straight Connector 8"/>
        <xdr:cNvCxnSpPr/>
      </xdr:nvCxnSpPr>
      <xdr:spPr>
        <a:xfrm flipH="1" flipV="1">
          <a:off x="533400" y="228600"/>
          <a:ext cx="13639800" cy="1485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1</xdr:row>
      <xdr:rowOff>81643</xdr:rowOff>
    </xdr:from>
    <xdr:to>
      <xdr:col>21</xdr:col>
      <xdr:colOff>204107</xdr:colOff>
      <xdr:row>9</xdr:row>
      <xdr:rowOff>108858</xdr:rowOff>
    </xdr:to>
    <xdr:cxnSp macro="">
      <xdr:nvCxnSpPr>
        <xdr:cNvPr id="3" name="Straight Connector 2"/>
        <xdr:cNvCxnSpPr/>
      </xdr:nvCxnSpPr>
      <xdr:spPr>
        <a:xfrm>
          <a:off x="258536" y="272143"/>
          <a:ext cx="13362214" cy="3116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122464</xdr:colOff>
      <xdr:row>0</xdr:row>
      <xdr:rowOff>176893</xdr:rowOff>
    </xdr:from>
    <xdr:to>
      <xdr:col>21</xdr:col>
      <xdr:colOff>163286</xdr:colOff>
      <xdr:row>10</xdr:row>
      <xdr:rowOff>136071</xdr:rowOff>
    </xdr:to>
    <xdr:cxnSp macro="">
      <xdr:nvCxnSpPr>
        <xdr:cNvPr id="5" name="Straight Connector 4"/>
        <xdr:cNvCxnSpPr/>
      </xdr:nvCxnSpPr>
      <xdr:spPr>
        <a:xfrm flipH="1">
          <a:off x="122464" y="176893"/>
          <a:ext cx="13457465" cy="3442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517072</xdr:colOff>
      <xdr:row>1</xdr:row>
      <xdr:rowOff>54429</xdr:rowOff>
    </xdr:from>
    <xdr:to>
      <xdr:col>38</xdr:col>
      <xdr:colOff>13608</xdr:colOff>
      <xdr:row>27</xdr:row>
      <xdr:rowOff>13607</xdr:rowOff>
    </xdr:to>
    <xdr:cxnSp macro="">
      <xdr:nvCxnSpPr>
        <xdr:cNvPr id="7" name="Straight Connector 6"/>
        <xdr:cNvCxnSpPr/>
      </xdr:nvCxnSpPr>
      <xdr:spPr>
        <a:xfrm>
          <a:off x="14546036" y="244929"/>
          <a:ext cx="10940143" cy="6694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394607</xdr:colOff>
      <xdr:row>1</xdr:row>
      <xdr:rowOff>13607</xdr:rowOff>
    </xdr:from>
    <xdr:to>
      <xdr:col>37</xdr:col>
      <xdr:colOff>217714</xdr:colOff>
      <xdr:row>27</xdr:row>
      <xdr:rowOff>0</xdr:rowOff>
    </xdr:to>
    <xdr:cxnSp macro="">
      <xdr:nvCxnSpPr>
        <xdr:cNvPr id="9" name="Straight Connector 8"/>
        <xdr:cNvCxnSpPr/>
      </xdr:nvCxnSpPr>
      <xdr:spPr>
        <a:xfrm flipH="1">
          <a:off x="14423571" y="204107"/>
          <a:ext cx="10654393" cy="6721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52</xdr:row>
      <xdr:rowOff>40821</xdr:rowOff>
    </xdr:from>
    <xdr:to>
      <xdr:col>22</xdr:col>
      <xdr:colOff>299357</xdr:colOff>
      <xdr:row>59</xdr:row>
      <xdr:rowOff>68036</xdr:rowOff>
    </xdr:to>
    <xdr:cxnSp macro="">
      <xdr:nvCxnSpPr>
        <xdr:cNvPr id="3" name="Straight Connector 2"/>
        <xdr:cNvCxnSpPr/>
      </xdr:nvCxnSpPr>
      <xdr:spPr>
        <a:xfrm>
          <a:off x="81643" y="9946821"/>
          <a:ext cx="15729857" cy="15512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27214</xdr:colOff>
      <xdr:row>47</xdr:row>
      <xdr:rowOff>108857</xdr:rowOff>
    </xdr:from>
    <xdr:to>
      <xdr:col>22</xdr:col>
      <xdr:colOff>149678</xdr:colOff>
      <xdr:row>51</xdr:row>
      <xdr:rowOff>176893</xdr:rowOff>
    </xdr:to>
    <xdr:cxnSp macro="">
      <xdr:nvCxnSpPr>
        <xdr:cNvPr id="4" name="Straight Connector 3"/>
        <xdr:cNvCxnSpPr/>
      </xdr:nvCxnSpPr>
      <xdr:spPr>
        <a:xfrm>
          <a:off x="27214" y="9062357"/>
          <a:ext cx="16110857" cy="83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40821</xdr:rowOff>
    </xdr:from>
    <xdr:to>
      <xdr:col>22</xdr:col>
      <xdr:colOff>108857</xdr:colOff>
      <xdr:row>52</xdr:row>
      <xdr:rowOff>68036</xdr:rowOff>
    </xdr:to>
    <xdr:cxnSp macro="">
      <xdr:nvCxnSpPr>
        <xdr:cNvPr id="6" name="Straight Connector 5"/>
        <xdr:cNvCxnSpPr/>
      </xdr:nvCxnSpPr>
      <xdr:spPr>
        <a:xfrm flipH="1">
          <a:off x="0" y="8994321"/>
          <a:ext cx="16097250" cy="979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</xdr:colOff>
      <xdr:row>60</xdr:row>
      <xdr:rowOff>40821</xdr:rowOff>
    </xdr:from>
    <xdr:to>
      <xdr:col>14</xdr:col>
      <xdr:colOff>54428</xdr:colOff>
      <xdr:row>78</xdr:row>
      <xdr:rowOff>68036</xdr:rowOff>
    </xdr:to>
    <xdr:cxnSp macro="">
      <xdr:nvCxnSpPr>
        <xdr:cNvPr id="8" name="Straight Connector 7"/>
        <xdr:cNvCxnSpPr/>
      </xdr:nvCxnSpPr>
      <xdr:spPr>
        <a:xfrm>
          <a:off x="40821" y="11661321"/>
          <a:ext cx="10858500" cy="461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59</xdr:row>
      <xdr:rowOff>122464</xdr:rowOff>
    </xdr:from>
    <xdr:to>
      <xdr:col>14</xdr:col>
      <xdr:colOff>149678</xdr:colOff>
      <xdr:row>78</xdr:row>
      <xdr:rowOff>81643</xdr:rowOff>
    </xdr:to>
    <xdr:cxnSp macro="">
      <xdr:nvCxnSpPr>
        <xdr:cNvPr id="10" name="Straight Connector 9"/>
        <xdr:cNvCxnSpPr/>
      </xdr:nvCxnSpPr>
      <xdr:spPr>
        <a:xfrm flipH="1">
          <a:off x="0" y="11552464"/>
          <a:ext cx="10994571" cy="473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435429</xdr:colOff>
      <xdr:row>1</xdr:row>
      <xdr:rowOff>122464</xdr:rowOff>
    </xdr:from>
    <xdr:to>
      <xdr:col>20</xdr:col>
      <xdr:colOff>625928</xdr:colOff>
      <xdr:row>44</xdr:row>
      <xdr:rowOff>95250</xdr:rowOff>
    </xdr:to>
    <xdr:cxnSp macro="">
      <xdr:nvCxnSpPr>
        <xdr:cNvPr id="12" name="Straight Connector 11"/>
        <xdr:cNvCxnSpPr/>
      </xdr:nvCxnSpPr>
      <xdr:spPr>
        <a:xfrm>
          <a:off x="435429" y="312964"/>
          <a:ext cx="14927035" cy="816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1</xdr:row>
      <xdr:rowOff>81643</xdr:rowOff>
    </xdr:from>
    <xdr:to>
      <xdr:col>21</xdr:col>
      <xdr:colOff>381000</xdr:colOff>
      <xdr:row>45</xdr:row>
      <xdr:rowOff>149679</xdr:rowOff>
    </xdr:to>
    <xdr:cxnSp macro="">
      <xdr:nvCxnSpPr>
        <xdr:cNvPr id="14" name="Straight Connector 13"/>
        <xdr:cNvCxnSpPr/>
      </xdr:nvCxnSpPr>
      <xdr:spPr>
        <a:xfrm flipH="1">
          <a:off x="81643" y="272143"/>
          <a:ext cx="15689036" cy="845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79</xdr:row>
      <xdr:rowOff>1333500</xdr:rowOff>
    </xdr:from>
    <xdr:to>
      <xdr:col>8</xdr:col>
      <xdr:colOff>666750</xdr:colOff>
      <xdr:row>113</xdr:row>
      <xdr:rowOff>0</xdr:rowOff>
    </xdr:to>
    <xdr:cxnSp macro="">
      <xdr:nvCxnSpPr>
        <xdr:cNvPr id="5" name="Straight Connector 4"/>
        <xdr:cNvCxnSpPr/>
      </xdr:nvCxnSpPr>
      <xdr:spPr>
        <a:xfrm flipH="1" flipV="1">
          <a:off x="95250" y="17526000"/>
          <a:ext cx="6953250" cy="1590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0</xdr:rowOff>
    </xdr:from>
    <xdr:to>
      <xdr:col>9</xdr:col>
      <xdr:colOff>666750</xdr:colOff>
      <xdr:row>114</xdr:row>
      <xdr:rowOff>95250</xdr:rowOff>
    </xdr:to>
    <xdr:cxnSp macro="">
      <xdr:nvCxnSpPr>
        <xdr:cNvPr id="9" name="Straight Connector 8"/>
        <xdr:cNvCxnSpPr/>
      </xdr:nvCxnSpPr>
      <xdr:spPr>
        <a:xfrm flipH="1">
          <a:off x="0" y="16002000"/>
          <a:ext cx="7810500" cy="1771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1517852</xdr:colOff>
      <xdr:row>24</xdr:row>
      <xdr:rowOff>545827</xdr:rowOff>
    </xdr:from>
    <xdr:to>
      <xdr:col>8</xdr:col>
      <xdr:colOff>408806</xdr:colOff>
      <xdr:row>27</xdr:row>
      <xdr:rowOff>68340</xdr:rowOff>
    </xdr:to>
    <xdr:sp macro="" textlink="">
      <xdr:nvSpPr>
        <xdr:cNvPr id="2" name="Rectangular Callout 1"/>
        <xdr:cNvSpPr/>
      </xdr:nvSpPr>
      <xdr:spPr>
        <a:xfrm>
          <a:off x="5535670" y="8252418"/>
          <a:ext cx="3462954" cy="544286"/>
        </a:xfrm>
        <a:prstGeom prst="wedgeRectCallout">
          <a:avLst>
            <a:gd name="adj1" fmla="val -28334"/>
            <a:gd name="adj2" fmla="val -110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2,38 tidak mengerti dari mana angkanya</a:t>
          </a:r>
        </a:p>
      </xdr:txBody>
    </xdr:sp>
    <xdr:clientData/>
  </xdr:twoCellAnchor>
  <xdr:twoCellAnchor>
    <xdr:from>
      <xdr:col>11</xdr:col>
      <xdr:colOff>466725</xdr:colOff>
      <xdr:row>2</xdr:row>
      <xdr:rowOff>374927</xdr:rowOff>
    </xdr:from>
    <xdr:to>
      <xdr:col>13</xdr:col>
      <xdr:colOff>171450</xdr:colOff>
      <xdr:row>2</xdr:row>
      <xdr:rowOff>1014895</xdr:rowOff>
    </xdr:to>
    <xdr:sp macro="" textlink="">
      <xdr:nvSpPr>
        <xdr:cNvPr id="3" name="TextBox 2"/>
        <xdr:cNvSpPr txBox="1"/>
      </xdr:nvSpPr>
      <xdr:spPr>
        <a:xfrm>
          <a:off x="11565421" y="761449"/>
          <a:ext cx="1526899" cy="63996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INI DATA BANGKITAN YANG DIOLAH DEWI  BERDASARKAN TREN</a:t>
          </a:r>
        </a:p>
      </xdr:txBody>
    </xdr:sp>
    <xdr:clientData/>
  </xdr:twoCellAnchor>
  <xdr:twoCellAnchor>
    <xdr:from>
      <xdr:col>10</xdr:col>
      <xdr:colOff>372717</xdr:colOff>
      <xdr:row>0</xdr:row>
      <xdr:rowOff>138043</xdr:rowOff>
    </xdr:from>
    <xdr:to>
      <xdr:col>19</xdr:col>
      <xdr:colOff>17318</xdr:colOff>
      <xdr:row>24</xdr:row>
      <xdr:rowOff>51954</xdr:rowOff>
    </xdr:to>
    <xdr:cxnSp macro="">
      <xdr:nvCxnSpPr>
        <xdr:cNvPr id="5" name="Straight Connector 4"/>
        <xdr:cNvCxnSpPr/>
      </xdr:nvCxnSpPr>
      <xdr:spPr>
        <a:xfrm>
          <a:off x="10728990" y="138043"/>
          <a:ext cx="10433828" cy="7620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565978</xdr:colOff>
      <xdr:row>1</xdr:row>
      <xdr:rowOff>82826</xdr:rowOff>
    </xdr:from>
    <xdr:to>
      <xdr:col>19</xdr:col>
      <xdr:colOff>110435</xdr:colOff>
      <xdr:row>24</xdr:row>
      <xdr:rowOff>110435</xdr:rowOff>
    </xdr:to>
    <xdr:cxnSp macro="">
      <xdr:nvCxnSpPr>
        <xdr:cNvPr id="7" name="Straight Connector 6"/>
        <xdr:cNvCxnSpPr/>
      </xdr:nvCxnSpPr>
      <xdr:spPr>
        <a:xfrm flipH="1">
          <a:off x="10905435" y="276087"/>
          <a:ext cx="10008152" cy="730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</xdr:row>
      <xdr:rowOff>34636</xdr:rowOff>
    </xdr:from>
    <xdr:to>
      <xdr:col>10</xdr:col>
      <xdr:colOff>0</xdr:colOff>
      <xdr:row>24</xdr:row>
      <xdr:rowOff>86591</xdr:rowOff>
    </xdr:to>
    <xdr:cxnSp macro="">
      <xdr:nvCxnSpPr>
        <xdr:cNvPr id="10" name="Straight Connector 9"/>
        <xdr:cNvCxnSpPr/>
      </xdr:nvCxnSpPr>
      <xdr:spPr>
        <a:xfrm>
          <a:off x="5922818" y="415636"/>
          <a:ext cx="4433455" cy="7377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2</xdr:row>
      <xdr:rowOff>34636</xdr:rowOff>
    </xdr:from>
    <xdr:to>
      <xdr:col>10</xdr:col>
      <xdr:colOff>51954</xdr:colOff>
      <xdr:row>24</xdr:row>
      <xdr:rowOff>51954</xdr:rowOff>
    </xdr:to>
    <xdr:cxnSp macro="">
      <xdr:nvCxnSpPr>
        <xdr:cNvPr id="12" name="Straight Connector 11"/>
        <xdr:cNvCxnSpPr/>
      </xdr:nvCxnSpPr>
      <xdr:spPr>
        <a:xfrm flipH="1">
          <a:off x="5940136" y="415636"/>
          <a:ext cx="4468091" cy="7342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54</xdr:row>
      <xdr:rowOff>0</xdr:rowOff>
    </xdr:from>
    <xdr:to>
      <xdr:col>6</xdr:col>
      <xdr:colOff>918882</xdr:colOff>
      <xdr:row>62</xdr:row>
      <xdr:rowOff>123265</xdr:rowOff>
    </xdr:to>
    <xdr:cxnSp macro="">
      <xdr:nvCxnSpPr>
        <xdr:cNvPr id="4" name="Straight Connector 3"/>
        <xdr:cNvCxnSpPr/>
      </xdr:nvCxnSpPr>
      <xdr:spPr>
        <a:xfrm>
          <a:off x="1905000" y="20428324"/>
          <a:ext cx="3529853" cy="3395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54</xdr:row>
      <xdr:rowOff>11205</xdr:rowOff>
    </xdr:from>
    <xdr:to>
      <xdr:col>6</xdr:col>
      <xdr:colOff>918882</xdr:colOff>
      <xdr:row>61</xdr:row>
      <xdr:rowOff>347383</xdr:rowOff>
    </xdr:to>
    <xdr:cxnSp macro="">
      <xdr:nvCxnSpPr>
        <xdr:cNvPr id="6" name="Straight Connector 5"/>
        <xdr:cNvCxnSpPr/>
      </xdr:nvCxnSpPr>
      <xdr:spPr>
        <a:xfrm flipH="1">
          <a:off x="2005853" y="20439529"/>
          <a:ext cx="3429000" cy="3227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23812</xdr:rowOff>
    </xdr:from>
    <xdr:to>
      <xdr:col>19</xdr:col>
      <xdr:colOff>881062</xdr:colOff>
      <xdr:row>50</xdr:row>
      <xdr:rowOff>95249</xdr:rowOff>
    </xdr:to>
    <xdr:cxnSp macro="">
      <xdr:nvCxnSpPr>
        <xdr:cNvPr id="3" name="Straight Connector 2"/>
        <xdr:cNvCxnSpPr/>
      </xdr:nvCxnSpPr>
      <xdr:spPr>
        <a:xfrm>
          <a:off x="47625" y="404812"/>
          <a:ext cx="18788062" cy="13620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500062</xdr:colOff>
      <xdr:row>4</xdr:row>
      <xdr:rowOff>119062</xdr:rowOff>
    </xdr:from>
    <xdr:to>
      <xdr:col>20</xdr:col>
      <xdr:colOff>452437</xdr:colOff>
      <xdr:row>47</xdr:row>
      <xdr:rowOff>95249</xdr:rowOff>
    </xdr:to>
    <xdr:cxnSp macro="">
      <xdr:nvCxnSpPr>
        <xdr:cNvPr id="5" name="Straight Connector 4"/>
        <xdr:cNvCxnSpPr/>
      </xdr:nvCxnSpPr>
      <xdr:spPr>
        <a:xfrm flipH="1">
          <a:off x="4572000" y="881062"/>
          <a:ext cx="14835187" cy="1257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44</xdr:row>
      <xdr:rowOff>76200</xdr:rowOff>
    </xdr:from>
    <xdr:to>
      <xdr:col>19</xdr:col>
      <xdr:colOff>833437</xdr:colOff>
      <xdr:row>116</xdr:row>
      <xdr:rowOff>109537</xdr:rowOff>
    </xdr:to>
    <xdr:cxnSp macro="">
      <xdr:nvCxnSpPr>
        <xdr:cNvPr id="6" name="Straight Connector 5"/>
        <xdr:cNvCxnSpPr/>
      </xdr:nvCxnSpPr>
      <xdr:spPr>
        <a:xfrm>
          <a:off x="0" y="12992100"/>
          <a:ext cx="18854737" cy="13749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452437</xdr:colOff>
      <xdr:row>46</xdr:row>
      <xdr:rowOff>171450</xdr:rowOff>
    </xdr:from>
    <xdr:to>
      <xdr:col>20</xdr:col>
      <xdr:colOff>404812</xdr:colOff>
      <xdr:row>113</xdr:row>
      <xdr:rowOff>109537</xdr:rowOff>
    </xdr:to>
    <xdr:cxnSp macro="">
      <xdr:nvCxnSpPr>
        <xdr:cNvPr id="7" name="Straight Connector 6"/>
        <xdr:cNvCxnSpPr/>
      </xdr:nvCxnSpPr>
      <xdr:spPr>
        <a:xfrm flipH="1">
          <a:off x="4529137" y="1346835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9"/>
  <sheetViews>
    <sheetView topLeftCell="A28" zoomScale="70" zoomScaleNormal="70" workbookViewId="0">
      <selection activeCell="E53" sqref="E53:O53"/>
    </sheetView>
  </sheetViews>
  <sheetFormatPr defaultRowHeight="15" x14ac:dyDescent="0.25"/>
  <cols>
    <col min="1" max="1" width="4.5703125" customWidth="1"/>
    <col min="2" max="2" width="20.7109375" customWidth="1"/>
    <col min="3" max="3" width="26.85546875" customWidth="1"/>
    <col min="4" max="4" width="11.85546875" customWidth="1"/>
    <col min="5" max="6" width="11.5703125" customWidth="1"/>
    <col min="7" max="7" width="10.85546875" customWidth="1"/>
    <col min="8" max="8" width="9.85546875" customWidth="1"/>
    <col min="9" max="9" width="12.85546875" customWidth="1"/>
    <col min="10" max="10" width="14.85546875" customWidth="1"/>
    <col min="11" max="11" width="15.42578125" customWidth="1"/>
    <col min="12" max="12" width="15" style="107" customWidth="1"/>
    <col min="13" max="13" width="15.42578125" customWidth="1"/>
    <col min="14" max="14" width="15" customWidth="1"/>
    <col min="15" max="15" width="15.140625" customWidth="1"/>
    <col min="16" max="16" width="5.42578125" customWidth="1"/>
    <col min="17" max="17" width="5.140625" customWidth="1"/>
    <col min="18" max="18" width="22.5703125" customWidth="1"/>
    <col min="19" max="19" width="26.42578125" customWidth="1"/>
    <col min="20" max="20" width="15" customWidth="1"/>
    <col min="21" max="21" width="15.140625" customWidth="1"/>
    <col min="22" max="22" width="17" customWidth="1"/>
    <col min="23" max="25" width="15.140625" bestFit="1" customWidth="1"/>
    <col min="26" max="30" width="15" bestFit="1" customWidth="1"/>
    <col min="31" max="31" width="11" bestFit="1" customWidth="1"/>
  </cols>
  <sheetData>
    <row r="1" spans="1:31" x14ac:dyDescent="0.25">
      <c r="A1" t="s">
        <v>0</v>
      </c>
    </row>
    <row r="3" spans="1:31" x14ac:dyDescent="0.25">
      <c r="A3" s="613" t="s">
        <v>1</v>
      </c>
      <c r="B3" s="613" t="s">
        <v>2</v>
      </c>
      <c r="C3" s="609" t="s">
        <v>3</v>
      </c>
      <c r="D3" s="609" t="s">
        <v>4</v>
      </c>
      <c r="E3" s="613" t="s">
        <v>5</v>
      </c>
      <c r="F3" s="613"/>
      <c r="G3" s="613"/>
      <c r="H3" s="613"/>
      <c r="I3" s="613"/>
      <c r="J3" s="613"/>
      <c r="K3" s="613"/>
      <c r="L3" s="613"/>
      <c r="M3" s="613"/>
      <c r="N3" s="613"/>
      <c r="O3" s="613"/>
      <c r="Q3" s="609" t="s">
        <v>1</v>
      </c>
      <c r="R3" s="609" t="s">
        <v>2</v>
      </c>
      <c r="S3" s="609" t="s">
        <v>3</v>
      </c>
      <c r="T3" s="609" t="s">
        <v>4</v>
      </c>
      <c r="U3" s="609" t="s">
        <v>5</v>
      </c>
      <c r="V3" s="609"/>
      <c r="W3" s="609"/>
      <c r="X3" s="609"/>
      <c r="Y3" s="609"/>
      <c r="Z3" s="609"/>
      <c r="AA3" s="609"/>
      <c r="AB3" s="609"/>
      <c r="AC3" s="609"/>
      <c r="AD3" s="609"/>
    </row>
    <row r="4" spans="1:31" x14ac:dyDescent="0.25">
      <c r="A4" s="613"/>
      <c r="B4" s="613"/>
      <c r="C4" s="609"/>
      <c r="D4" s="609"/>
      <c r="E4" s="13">
        <v>2010</v>
      </c>
      <c r="F4" s="13">
        <v>2011</v>
      </c>
      <c r="G4" s="13">
        <v>2012</v>
      </c>
      <c r="H4" s="13">
        <v>2013</v>
      </c>
      <c r="I4" s="13">
        <v>2014</v>
      </c>
      <c r="J4" s="13">
        <v>2015</v>
      </c>
      <c r="K4" s="13">
        <v>2016</v>
      </c>
      <c r="L4" s="205">
        <v>2017</v>
      </c>
      <c r="M4" s="13">
        <v>2018</v>
      </c>
      <c r="N4" s="13">
        <v>2019</v>
      </c>
      <c r="O4" s="13">
        <v>2020</v>
      </c>
      <c r="Q4" s="609"/>
      <c r="R4" s="609"/>
      <c r="S4" s="609"/>
      <c r="T4" s="609"/>
      <c r="U4" s="14">
        <v>2021</v>
      </c>
      <c r="V4" s="14">
        <v>2022</v>
      </c>
      <c r="W4" s="14">
        <v>2023</v>
      </c>
      <c r="X4" s="14">
        <v>2024</v>
      </c>
      <c r="Y4" s="14">
        <v>2025</v>
      </c>
      <c r="Z4" s="14">
        <v>2026</v>
      </c>
      <c r="AA4" s="14">
        <v>2027</v>
      </c>
      <c r="AB4" s="14">
        <v>2028</v>
      </c>
      <c r="AC4" s="14">
        <v>2029</v>
      </c>
      <c r="AD4" s="14">
        <v>2030</v>
      </c>
    </row>
    <row r="5" spans="1:31" s="550" customFormat="1" ht="21" customHeight="1" x14ac:dyDescent="0.25">
      <c r="A5" s="590">
        <v>1</v>
      </c>
      <c r="B5" s="610" t="s">
        <v>10</v>
      </c>
      <c r="C5" s="545" t="s">
        <v>435</v>
      </c>
      <c r="D5" s="614" t="s">
        <v>462</v>
      </c>
      <c r="E5" s="573">
        <v>1.79</v>
      </c>
      <c r="F5" s="573">
        <v>1.1000000000000001</v>
      </c>
      <c r="G5" s="573">
        <v>0</v>
      </c>
      <c r="H5" s="574">
        <v>5.3</v>
      </c>
      <c r="I5" s="573">
        <v>8</v>
      </c>
      <c r="J5" s="574">
        <v>31.4</v>
      </c>
      <c r="K5" s="573">
        <v>3</v>
      </c>
      <c r="L5" s="573">
        <v>30.6</v>
      </c>
      <c r="M5" s="575">
        <v>17.8</v>
      </c>
      <c r="N5" s="576">
        <v>41.82</v>
      </c>
      <c r="O5" s="576">
        <v>63.88</v>
      </c>
      <c r="Q5" s="590">
        <v>1</v>
      </c>
      <c r="R5" s="610" t="s">
        <v>10</v>
      </c>
      <c r="S5" s="545" t="str">
        <f t="shared" ref="S5:S31" si="0">C5</f>
        <v>PLTM off grid (MW)</v>
      </c>
      <c r="T5" s="593" t="s">
        <v>462</v>
      </c>
      <c r="U5" s="551">
        <v>17.344000000000001</v>
      </c>
      <c r="V5" s="551">
        <v>0</v>
      </c>
      <c r="W5" s="551">
        <v>0</v>
      </c>
      <c r="X5" s="551">
        <v>23.4</v>
      </c>
      <c r="Y5" s="551">
        <v>0</v>
      </c>
      <c r="Z5" s="551">
        <v>0</v>
      </c>
      <c r="AA5" s="551">
        <v>0</v>
      </c>
      <c r="AB5" s="551">
        <v>0</v>
      </c>
      <c r="AC5" s="551">
        <v>0</v>
      </c>
      <c r="AD5" s="551">
        <v>0</v>
      </c>
    </row>
    <row r="6" spans="1:31" s="544" customFormat="1" ht="25.5" customHeight="1" x14ac:dyDescent="0.25">
      <c r="A6" s="591"/>
      <c r="B6" s="611"/>
      <c r="C6" s="530" t="s">
        <v>423</v>
      </c>
      <c r="D6" s="614"/>
      <c r="E6" s="577">
        <v>800000000</v>
      </c>
      <c r="F6" s="577">
        <v>680000000</v>
      </c>
      <c r="G6" s="577">
        <v>0</v>
      </c>
      <c r="H6" s="577">
        <v>3200000</v>
      </c>
      <c r="I6" s="577">
        <v>172000000</v>
      </c>
      <c r="J6" s="577">
        <v>43630000</v>
      </c>
      <c r="K6" s="577">
        <v>1850000</v>
      </c>
      <c r="L6" s="577">
        <v>2850000</v>
      </c>
      <c r="M6" s="578">
        <v>7955307262.5698318</v>
      </c>
      <c r="N6" s="579">
        <v>18690502793.296089</v>
      </c>
      <c r="O6" s="579">
        <v>28549720670.39106</v>
      </c>
      <c r="Q6" s="591"/>
      <c r="R6" s="611"/>
      <c r="S6" s="530" t="str">
        <f t="shared" si="0"/>
        <v>Indikasi Pembiayaan ( ribu Rp )</v>
      </c>
      <c r="T6" s="593"/>
      <c r="U6" s="506">
        <v>7751508379.8882685</v>
      </c>
      <c r="V6" s="506">
        <v>0</v>
      </c>
      <c r="W6" s="506">
        <v>0</v>
      </c>
      <c r="X6" s="506">
        <v>10458100558.659216</v>
      </c>
      <c r="Y6" s="506">
        <v>0</v>
      </c>
      <c r="Z6" s="506">
        <v>0</v>
      </c>
      <c r="AA6" s="506">
        <v>0</v>
      </c>
      <c r="AB6" s="506">
        <v>0</v>
      </c>
      <c r="AC6" s="506">
        <v>0</v>
      </c>
      <c r="AD6" s="506">
        <v>0</v>
      </c>
    </row>
    <row r="7" spans="1:31" s="565" customFormat="1" ht="33" x14ac:dyDescent="0.25">
      <c r="A7" s="592"/>
      <c r="B7" s="612"/>
      <c r="C7" s="561" t="s">
        <v>459</v>
      </c>
      <c r="D7" s="614"/>
      <c r="E7" s="580">
        <v>7749.2536799999989</v>
      </c>
      <c r="F7" s="580">
        <v>4762.1111999999994</v>
      </c>
      <c r="G7" s="580">
        <v>0</v>
      </c>
      <c r="H7" s="581">
        <v>22944.717599999996</v>
      </c>
      <c r="I7" s="580">
        <v>34633.535999999993</v>
      </c>
      <c r="J7" s="581">
        <v>135936.62879999998</v>
      </c>
      <c r="K7" s="580">
        <v>12987.575999999997</v>
      </c>
      <c r="L7" s="582">
        <v>132473.27519999997</v>
      </c>
      <c r="M7" s="583">
        <v>77059.617599999983</v>
      </c>
      <c r="N7" s="584">
        <v>181046.80943999995</v>
      </c>
      <c r="O7" s="584">
        <v>276548.78495999996</v>
      </c>
      <c r="Q7" s="592"/>
      <c r="R7" s="612"/>
      <c r="S7" s="561" t="str">
        <f t="shared" si="0"/>
        <v>Penurunan Emisi (ton CO2eq)</v>
      </c>
      <c r="T7" s="593"/>
      <c r="U7" s="508">
        <v>75085.506047999996</v>
      </c>
      <c r="V7" s="508">
        <v>0</v>
      </c>
      <c r="W7" s="508">
        <v>0</v>
      </c>
      <c r="X7" s="508">
        <v>101303.09279999997</v>
      </c>
      <c r="Y7" s="508">
        <v>0</v>
      </c>
      <c r="Z7" s="508">
        <v>0</v>
      </c>
      <c r="AA7" s="508">
        <v>0</v>
      </c>
      <c r="AB7" s="508">
        <v>0</v>
      </c>
      <c r="AC7" s="508">
        <v>0</v>
      </c>
      <c r="AD7" s="508">
        <v>0</v>
      </c>
    </row>
    <row r="8" spans="1:31" s="550" customFormat="1" ht="18" customHeight="1" x14ac:dyDescent="0.25">
      <c r="A8" s="590">
        <v>2</v>
      </c>
      <c r="B8" s="610" t="s">
        <v>10</v>
      </c>
      <c r="C8" s="545" t="s">
        <v>310</v>
      </c>
      <c r="D8" s="593" t="s">
        <v>462</v>
      </c>
      <c r="E8" s="546">
        <v>6.6400000000000001E-2</v>
      </c>
      <c r="F8" s="546">
        <v>1.6E-2</v>
      </c>
      <c r="G8" s="546">
        <v>1E-4</v>
      </c>
      <c r="H8" s="547">
        <v>0</v>
      </c>
      <c r="I8" s="546">
        <v>8</v>
      </c>
      <c r="J8" s="547">
        <v>0</v>
      </c>
      <c r="K8" s="546">
        <v>8</v>
      </c>
      <c r="L8" s="546">
        <v>0.63</v>
      </c>
      <c r="M8" s="546">
        <v>8.153946510110895E-3</v>
      </c>
      <c r="N8" s="549">
        <v>8.153946510110895E-3</v>
      </c>
      <c r="O8" s="549">
        <v>8.153946510110895E-3</v>
      </c>
      <c r="Q8" s="590">
        <v>2</v>
      </c>
      <c r="R8" s="610" t="s">
        <v>10</v>
      </c>
      <c r="S8" s="545" t="str">
        <f t="shared" si="0"/>
        <v>PLTMH off grid (MW)</v>
      </c>
      <c r="T8" s="593" t="s">
        <v>462</v>
      </c>
      <c r="U8" s="551">
        <v>8.153946510110895E-3</v>
      </c>
      <c r="V8" s="551">
        <v>8.153946510110895E-3</v>
      </c>
      <c r="W8" s="551">
        <v>8.153946510110895E-3</v>
      </c>
      <c r="X8" s="551">
        <v>8.153946510110895E-3</v>
      </c>
      <c r="Y8" s="551">
        <v>8.153946510110895E-3</v>
      </c>
      <c r="Z8" s="551">
        <v>8.153946510110895E-3</v>
      </c>
      <c r="AA8" s="551">
        <v>8.153946510110895E-3</v>
      </c>
      <c r="AB8" s="551">
        <v>8.153946510110895E-3</v>
      </c>
      <c r="AC8" s="551">
        <v>8.153946510110895E-3</v>
      </c>
      <c r="AD8" s="551">
        <v>8.153946510110895E-3</v>
      </c>
    </row>
    <row r="9" spans="1:31" s="505" customFormat="1" ht="30" x14ac:dyDescent="0.25">
      <c r="A9" s="591"/>
      <c r="B9" s="611"/>
      <c r="C9" s="500" t="s">
        <v>423</v>
      </c>
      <c r="D9" s="593"/>
      <c r="E9" s="501">
        <v>68400000</v>
      </c>
      <c r="F9" s="501">
        <v>28880000</v>
      </c>
      <c r="G9" s="501">
        <v>24320000</v>
      </c>
      <c r="H9" s="502">
        <v>0</v>
      </c>
      <c r="I9" s="501">
        <v>30400000</v>
      </c>
      <c r="J9" s="502">
        <v>0</v>
      </c>
      <c r="K9" s="501">
        <v>0</v>
      </c>
      <c r="L9" s="501">
        <v>0</v>
      </c>
      <c r="M9" s="501">
        <v>3562880000</v>
      </c>
      <c r="N9" s="504">
        <v>1140000000</v>
      </c>
      <c r="O9" s="504">
        <v>2280000000</v>
      </c>
      <c r="Q9" s="591"/>
      <c r="R9" s="611"/>
      <c r="S9" s="500" t="str">
        <f t="shared" si="0"/>
        <v>Indikasi Pembiayaan ( ribu Rp )</v>
      </c>
      <c r="T9" s="593"/>
      <c r="U9" s="506">
        <v>1140000000</v>
      </c>
      <c r="V9" s="506">
        <v>1140000000</v>
      </c>
      <c r="W9" s="506">
        <v>1140000000</v>
      </c>
      <c r="X9" s="506">
        <v>1140000000</v>
      </c>
      <c r="Y9" s="506">
        <v>1140000000</v>
      </c>
      <c r="Z9" s="506">
        <v>1140000000</v>
      </c>
      <c r="AA9" s="506">
        <v>1140000000</v>
      </c>
      <c r="AB9" s="506">
        <v>1140000000</v>
      </c>
      <c r="AC9" s="506">
        <v>1140000000</v>
      </c>
      <c r="AD9" s="506">
        <v>1140000000</v>
      </c>
      <c r="AE9" s="505">
        <v>2280000000</v>
      </c>
    </row>
    <row r="10" spans="1:31" s="565" customFormat="1" ht="33" x14ac:dyDescent="0.25">
      <c r="A10" s="592"/>
      <c r="B10" s="612"/>
      <c r="C10" s="561" t="s">
        <v>459</v>
      </c>
      <c r="D10" s="593"/>
      <c r="E10" s="562">
        <v>287.45834879999995</v>
      </c>
      <c r="F10" s="562">
        <v>69.267071999999985</v>
      </c>
      <c r="G10" s="562">
        <v>0.43291919999999995</v>
      </c>
      <c r="H10" s="563">
        <v>0</v>
      </c>
      <c r="I10" s="562">
        <v>34633.535999999993</v>
      </c>
      <c r="J10" s="562">
        <v>0</v>
      </c>
      <c r="K10" s="562">
        <v>34633.535999999993</v>
      </c>
      <c r="L10" s="562">
        <v>2727.3909599999993</v>
      </c>
      <c r="M10" s="562">
        <v>35.299999999999997</v>
      </c>
      <c r="N10" s="507">
        <v>35.299999999999997</v>
      </c>
      <c r="O10" s="507">
        <v>216459.59999999998</v>
      </c>
      <c r="Q10" s="592"/>
      <c r="R10" s="612"/>
      <c r="S10" s="561" t="str">
        <f t="shared" si="0"/>
        <v>Penurunan Emisi (ton CO2eq)</v>
      </c>
      <c r="T10" s="593"/>
      <c r="U10" s="508">
        <v>35.299999999999997</v>
      </c>
      <c r="V10" s="508">
        <v>35.299999999999997</v>
      </c>
      <c r="W10" s="508">
        <v>35.299999999999997</v>
      </c>
      <c r="X10" s="508">
        <v>35.299999999999997</v>
      </c>
      <c r="Y10" s="508">
        <v>35.299999999999997</v>
      </c>
      <c r="Z10" s="508">
        <v>35.299999999999997</v>
      </c>
      <c r="AA10" s="508">
        <v>35.299999999999997</v>
      </c>
      <c r="AB10" s="508">
        <v>35.299999999999997</v>
      </c>
      <c r="AC10" s="508">
        <v>35.299999999999997</v>
      </c>
      <c r="AD10" s="508">
        <v>35.299999999999997</v>
      </c>
      <c r="AE10" s="565">
        <v>0</v>
      </c>
    </row>
    <row r="11" spans="1:31" s="550" customFormat="1" ht="45" customHeight="1" x14ac:dyDescent="0.25">
      <c r="A11" s="590">
        <v>3</v>
      </c>
      <c r="B11" s="610" t="s">
        <v>10</v>
      </c>
      <c r="C11" s="545" t="s">
        <v>460</v>
      </c>
      <c r="D11" s="593" t="s">
        <v>462</v>
      </c>
      <c r="E11" s="548" t="s">
        <v>11</v>
      </c>
      <c r="F11" s="548" t="s">
        <v>11</v>
      </c>
      <c r="G11" s="548" t="s">
        <v>11</v>
      </c>
      <c r="H11" s="548" t="s">
        <v>11</v>
      </c>
      <c r="I11" s="548" t="s">
        <v>11</v>
      </c>
      <c r="J11" s="548" t="s">
        <v>11</v>
      </c>
      <c r="K11" s="548" t="s">
        <v>11</v>
      </c>
      <c r="M11" s="548"/>
      <c r="N11" s="548" t="s">
        <v>11</v>
      </c>
      <c r="O11" s="552">
        <v>10</v>
      </c>
      <c r="Q11" s="590">
        <v>3</v>
      </c>
      <c r="R11" s="610" t="s">
        <v>10</v>
      </c>
      <c r="S11" s="545" t="str">
        <f t="shared" si="0"/>
        <v>PLTSa (MW  )</v>
      </c>
      <c r="T11" s="593" t="s">
        <v>462</v>
      </c>
      <c r="U11" s="548">
        <v>10</v>
      </c>
      <c r="V11" s="548"/>
      <c r="W11" s="548">
        <v>10</v>
      </c>
      <c r="X11" s="548"/>
      <c r="Y11" s="551">
        <v>10</v>
      </c>
      <c r="Z11" s="551"/>
      <c r="AA11" s="551"/>
      <c r="AB11" s="551"/>
      <c r="AC11" s="551"/>
      <c r="AD11" s="551"/>
    </row>
    <row r="12" spans="1:31" s="544" customFormat="1" ht="30" x14ac:dyDescent="0.25">
      <c r="A12" s="591"/>
      <c r="B12" s="611"/>
      <c r="C12" s="530" t="s">
        <v>423</v>
      </c>
      <c r="D12" s="593"/>
      <c r="E12" s="503" t="s">
        <v>11</v>
      </c>
      <c r="F12" s="503" t="s">
        <v>11</v>
      </c>
      <c r="G12" s="503" t="s">
        <v>11</v>
      </c>
      <c r="H12" s="503" t="s">
        <v>11</v>
      </c>
      <c r="I12" s="503" t="s">
        <v>11</v>
      </c>
      <c r="J12" s="503" t="s">
        <v>11</v>
      </c>
      <c r="K12" s="503" t="s">
        <v>11</v>
      </c>
      <c r="L12" s="503" t="s">
        <v>11</v>
      </c>
      <c r="M12" s="503"/>
      <c r="N12" s="503" t="s">
        <v>11</v>
      </c>
      <c r="O12" s="509">
        <v>228000000</v>
      </c>
      <c r="Q12" s="591"/>
      <c r="R12" s="611"/>
      <c r="S12" s="530" t="str">
        <f t="shared" si="0"/>
        <v>Indikasi Pembiayaan ( ribu Rp )</v>
      </c>
      <c r="T12" s="593"/>
      <c r="U12" s="503">
        <v>228000000</v>
      </c>
      <c r="V12" s="503">
        <v>0</v>
      </c>
      <c r="W12" s="503">
        <v>228000000</v>
      </c>
      <c r="X12" s="503">
        <v>0</v>
      </c>
      <c r="Y12" s="503">
        <v>228000000</v>
      </c>
      <c r="Z12" s="506"/>
      <c r="AA12" s="506"/>
      <c r="AB12" s="506"/>
      <c r="AC12" s="506"/>
      <c r="AD12" s="506"/>
    </row>
    <row r="13" spans="1:31" s="565" customFormat="1" ht="33" x14ac:dyDescent="0.25">
      <c r="A13" s="592"/>
      <c r="B13" s="612"/>
      <c r="C13" s="561" t="s">
        <v>459</v>
      </c>
      <c r="D13" s="593"/>
      <c r="E13" s="564" t="s">
        <v>11</v>
      </c>
      <c r="F13" s="564" t="s">
        <v>11</v>
      </c>
      <c r="G13" s="564" t="s">
        <v>11</v>
      </c>
      <c r="H13" s="564" t="s">
        <v>11</v>
      </c>
      <c r="I13" s="564" t="s">
        <v>11</v>
      </c>
      <c r="J13" s="564" t="s">
        <v>11</v>
      </c>
      <c r="K13" s="564" t="s">
        <v>11</v>
      </c>
      <c r="M13" s="564"/>
      <c r="N13" s="564" t="s">
        <v>11</v>
      </c>
      <c r="O13" s="566">
        <v>43291.919999999991</v>
      </c>
      <c r="Q13" s="592"/>
      <c r="R13" s="612"/>
      <c r="S13" s="561" t="str">
        <f t="shared" si="0"/>
        <v>Penurunan Emisi (ton CO2eq)</v>
      </c>
      <c r="T13" s="593"/>
      <c r="U13" s="566">
        <v>43291.919999999991</v>
      </c>
      <c r="V13" s="564"/>
      <c r="W13" s="566">
        <v>43291.919999999991</v>
      </c>
      <c r="X13" s="564"/>
      <c r="Y13" s="508">
        <v>43291.919999999991</v>
      </c>
      <c r="Z13" s="508"/>
      <c r="AA13" s="508"/>
      <c r="AB13" s="508"/>
      <c r="AC13" s="508"/>
      <c r="AD13" s="508"/>
    </row>
    <row r="14" spans="1:31" s="556" customFormat="1" ht="21.75" customHeight="1" x14ac:dyDescent="0.25">
      <c r="A14" s="590">
        <v>4</v>
      </c>
      <c r="B14" s="615" t="s">
        <v>10</v>
      </c>
      <c r="C14" s="553" t="s">
        <v>312</v>
      </c>
      <c r="D14" s="593" t="s">
        <v>462</v>
      </c>
      <c r="E14" s="554"/>
      <c r="F14" s="554"/>
      <c r="G14" s="554"/>
      <c r="H14" s="547"/>
      <c r="I14" s="554"/>
      <c r="J14" s="547"/>
      <c r="K14" s="554"/>
      <c r="L14" s="554">
        <v>12</v>
      </c>
      <c r="M14" s="554"/>
      <c r="N14" s="555">
        <v>28.8</v>
      </c>
      <c r="O14" s="555">
        <v>28.8</v>
      </c>
      <c r="Q14" s="590">
        <v>4</v>
      </c>
      <c r="R14" s="610" t="s">
        <v>10</v>
      </c>
      <c r="S14" s="545" t="str">
        <f t="shared" si="0"/>
        <v>PLT Hybrif rooftop (KWp)</v>
      </c>
      <c r="T14" s="593" t="s">
        <v>462</v>
      </c>
      <c r="U14" s="555">
        <v>28.8</v>
      </c>
      <c r="V14" s="555">
        <v>28.8</v>
      </c>
      <c r="W14" s="555">
        <v>28.8</v>
      </c>
      <c r="X14" s="555">
        <v>28.8</v>
      </c>
      <c r="Y14" s="555">
        <v>28.8</v>
      </c>
      <c r="Z14" s="555">
        <v>28.8</v>
      </c>
      <c r="AA14" s="555">
        <v>28.8</v>
      </c>
      <c r="AB14" s="555">
        <v>28.8</v>
      </c>
      <c r="AC14" s="555">
        <v>28.8</v>
      </c>
      <c r="AD14" s="555">
        <v>28.8</v>
      </c>
    </row>
    <row r="15" spans="1:31" s="421" customFormat="1" ht="30" x14ac:dyDescent="0.25">
      <c r="A15" s="591"/>
      <c r="B15" s="616"/>
      <c r="C15" s="500" t="s">
        <v>461</v>
      </c>
      <c r="D15" s="593"/>
      <c r="E15" s="512"/>
      <c r="F15" s="512"/>
      <c r="G15" s="512"/>
      <c r="H15" s="515"/>
      <c r="I15" s="512"/>
      <c r="J15" s="515"/>
      <c r="K15" s="512"/>
      <c r="L15" s="512">
        <v>964953.59999999998</v>
      </c>
      <c r="M15" s="512">
        <v>0</v>
      </c>
      <c r="N15" s="514">
        <v>1700000</v>
      </c>
      <c r="O15" s="514">
        <v>1700000</v>
      </c>
      <c r="Q15" s="591"/>
      <c r="R15" s="611"/>
      <c r="S15" s="500" t="str">
        <f t="shared" si="0"/>
        <v>Indikasi Pembiayaan ( ribu Rp)</v>
      </c>
      <c r="T15" s="593"/>
      <c r="U15" s="514">
        <v>1700000</v>
      </c>
      <c r="V15" s="514">
        <v>1700000</v>
      </c>
      <c r="W15" s="514">
        <v>1700000</v>
      </c>
      <c r="X15" s="514">
        <v>1700000</v>
      </c>
      <c r="Y15" s="514">
        <v>1700000</v>
      </c>
      <c r="Z15" s="514">
        <v>1700000</v>
      </c>
      <c r="AA15" s="514">
        <v>1700000</v>
      </c>
      <c r="AB15" s="514">
        <v>1700000</v>
      </c>
      <c r="AC15" s="514">
        <v>1700000</v>
      </c>
      <c r="AD15" s="514">
        <v>1700000</v>
      </c>
    </row>
    <row r="16" spans="1:31" s="568" customFormat="1" ht="33" x14ac:dyDescent="0.35">
      <c r="A16" s="592"/>
      <c r="B16" s="617"/>
      <c r="C16" s="567" t="s">
        <v>459</v>
      </c>
      <c r="D16" s="593"/>
      <c r="E16" s="516"/>
      <c r="F16" s="516"/>
      <c r="G16" s="516"/>
      <c r="H16" s="563"/>
      <c r="I16" s="516"/>
      <c r="J16" s="563"/>
      <c r="K16" s="516"/>
      <c r="L16" s="568">
        <v>90.613439999999997</v>
      </c>
      <c r="M16" s="516">
        <v>0</v>
      </c>
      <c r="N16" s="527">
        <v>217.47225599999999</v>
      </c>
      <c r="O16" s="527">
        <v>217.47225599999999</v>
      </c>
      <c r="Q16" s="592"/>
      <c r="R16" s="612"/>
      <c r="S16" s="561" t="str">
        <f t="shared" si="0"/>
        <v>Penurunan Emisi (ton CO2eq)</v>
      </c>
      <c r="T16" s="593"/>
      <c r="U16" s="527">
        <v>217.47225599999999</v>
      </c>
      <c r="V16" s="527">
        <v>217.47225599999999</v>
      </c>
      <c r="W16" s="527">
        <v>217.47225599999999</v>
      </c>
      <c r="X16" s="527">
        <v>217.47225599999999</v>
      </c>
      <c r="Y16" s="527">
        <v>217.47225599999999</v>
      </c>
      <c r="Z16" s="527">
        <v>217.47225599999999</v>
      </c>
      <c r="AA16" s="527">
        <v>217.47225599999999</v>
      </c>
      <c r="AB16" s="527">
        <v>217.47225599999999</v>
      </c>
      <c r="AC16" s="527">
        <v>217.47225599999999</v>
      </c>
      <c r="AD16" s="527">
        <v>217.47225599999999</v>
      </c>
    </row>
    <row r="17" spans="1:30" s="556" customFormat="1" ht="30" x14ac:dyDescent="0.25">
      <c r="A17" s="590">
        <f>A14+1</f>
        <v>5</v>
      </c>
      <c r="B17" s="587" t="s">
        <v>10</v>
      </c>
      <c r="C17" s="553" t="s">
        <v>442</v>
      </c>
      <c r="D17" s="593" t="s">
        <v>462</v>
      </c>
      <c r="E17" s="554"/>
      <c r="F17" s="554"/>
      <c r="G17" s="554"/>
      <c r="H17" s="547"/>
      <c r="I17" s="554"/>
      <c r="J17" s="547"/>
      <c r="K17" s="554"/>
      <c r="M17" s="554"/>
      <c r="N17" s="555">
        <v>100</v>
      </c>
      <c r="O17" s="555">
        <v>100</v>
      </c>
      <c r="Q17" s="590">
        <v>5</v>
      </c>
      <c r="R17" s="557" t="str">
        <f>B17</f>
        <v xml:space="preserve">Pengembangan Energi Baru dan Terbaharukan </v>
      </c>
      <c r="S17" s="558" t="str">
        <f>C17</f>
        <v>PLTB off grid (MW)</v>
      </c>
      <c r="T17" s="593" t="s">
        <v>462</v>
      </c>
      <c r="U17" s="555"/>
      <c r="V17" s="555"/>
      <c r="W17" s="555"/>
      <c r="X17" s="555"/>
      <c r="Y17" s="555"/>
      <c r="Z17" s="555"/>
      <c r="AA17" s="555"/>
      <c r="AB17" s="555"/>
      <c r="AC17" s="555"/>
      <c r="AD17" s="555"/>
    </row>
    <row r="18" spans="1:30" s="421" customFormat="1" ht="30" x14ac:dyDescent="0.25">
      <c r="A18" s="591"/>
      <c r="B18" s="588"/>
      <c r="C18" s="500" t="s">
        <v>461</v>
      </c>
      <c r="D18" s="593"/>
      <c r="E18" s="511"/>
      <c r="F18" s="512"/>
      <c r="G18" s="512"/>
      <c r="H18" s="502"/>
      <c r="I18" s="516"/>
      <c r="J18" s="502"/>
      <c r="K18" s="516"/>
      <c r="L18" s="517"/>
      <c r="M18" s="516"/>
      <c r="N18" s="514">
        <v>2280000000</v>
      </c>
      <c r="O18" s="514">
        <v>2280000000</v>
      </c>
      <c r="Q18" s="591"/>
      <c r="R18" s="518"/>
      <c r="S18" s="404" t="str">
        <f t="shared" ref="S18:S22" si="1">C18</f>
        <v>Indikasi Pembiayaan ( ribu Rp)</v>
      </c>
      <c r="T18" s="593"/>
      <c r="U18" s="514"/>
      <c r="V18" s="514"/>
      <c r="W18" s="514"/>
      <c r="X18" s="514"/>
      <c r="Y18" s="514"/>
      <c r="Z18" s="514"/>
      <c r="AA18" s="514"/>
      <c r="AB18" s="514"/>
      <c r="AC18" s="514"/>
      <c r="AD18" s="514"/>
    </row>
    <row r="19" spans="1:30" s="568" customFormat="1" ht="33" x14ac:dyDescent="0.35">
      <c r="A19" s="592"/>
      <c r="B19" s="589"/>
      <c r="C19" s="567" t="s">
        <v>459</v>
      </c>
      <c r="D19" s="593"/>
      <c r="E19" s="516"/>
      <c r="F19" s="516"/>
      <c r="G19" s="516"/>
      <c r="H19" s="563"/>
      <c r="I19" s="516"/>
      <c r="J19" s="563"/>
      <c r="K19" s="516"/>
      <c r="M19" s="516"/>
      <c r="N19" s="527">
        <v>123691.2</v>
      </c>
      <c r="O19" s="527">
        <v>123691.2</v>
      </c>
      <c r="Q19" s="591"/>
      <c r="R19" s="569"/>
      <c r="S19" s="570" t="str">
        <f t="shared" si="1"/>
        <v>Penurunan Emisi (ton CO2eq)</v>
      </c>
      <c r="T19" s="593"/>
      <c r="U19" s="527"/>
      <c r="V19" s="527"/>
      <c r="W19" s="527"/>
      <c r="X19" s="527"/>
      <c r="Y19" s="527"/>
      <c r="Z19" s="527"/>
      <c r="AA19" s="527"/>
      <c r="AB19" s="527"/>
      <c r="AC19" s="527"/>
      <c r="AD19" s="527"/>
    </row>
    <row r="20" spans="1:30" s="556" customFormat="1" ht="30" x14ac:dyDescent="0.25">
      <c r="A20" s="590">
        <f t="shared" ref="A20" si="2">A17+1</f>
        <v>6</v>
      </c>
      <c r="B20" s="587" t="s">
        <v>10</v>
      </c>
      <c r="C20" s="553" t="s">
        <v>446</v>
      </c>
      <c r="D20" s="593" t="s">
        <v>462</v>
      </c>
      <c r="E20" s="554"/>
      <c r="F20" s="554"/>
      <c r="G20" s="554"/>
      <c r="H20" s="547"/>
      <c r="I20" s="554"/>
      <c r="J20" s="547"/>
      <c r="K20" s="554"/>
      <c r="M20" s="554"/>
      <c r="N20" s="555"/>
      <c r="O20" s="555"/>
      <c r="Q20" s="591">
        <v>6</v>
      </c>
      <c r="R20" s="557" t="str">
        <f>B20</f>
        <v xml:space="preserve">Pengembangan Energi Baru dan Terbaharukan </v>
      </c>
      <c r="S20" s="558" t="str">
        <f>C20</f>
        <v>PLT Pump Storage (MW)</v>
      </c>
      <c r="T20" s="594" t="s">
        <v>462</v>
      </c>
      <c r="U20" s="555">
        <v>312</v>
      </c>
      <c r="V20" s="555">
        <v>312</v>
      </c>
      <c r="W20" s="555"/>
      <c r="X20" s="555"/>
      <c r="Y20" s="555"/>
      <c r="Z20" s="555"/>
      <c r="AA20" s="555"/>
      <c r="AB20" s="555"/>
      <c r="AC20" s="555"/>
      <c r="AD20" s="555"/>
    </row>
    <row r="21" spans="1:30" s="517" customFormat="1" ht="30" x14ac:dyDescent="0.25">
      <c r="A21" s="591"/>
      <c r="B21" s="588"/>
      <c r="C21" s="530" t="s">
        <v>461</v>
      </c>
      <c r="D21" s="593"/>
      <c r="E21" s="512"/>
      <c r="F21" s="512"/>
      <c r="G21" s="512"/>
      <c r="H21" s="515"/>
      <c r="I21" s="512"/>
      <c r="J21" s="515"/>
      <c r="K21" s="512"/>
      <c r="M21" s="512"/>
      <c r="N21" s="514"/>
      <c r="O21" s="514"/>
      <c r="Q21" s="591"/>
      <c r="R21" s="585"/>
      <c r="S21" s="586" t="str">
        <f t="shared" si="1"/>
        <v>Indikasi Pembiayaan ( ribu Rp)</v>
      </c>
      <c r="T21" s="595"/>
      <c r="U21" s="509">
        <f>4149600000*'HITGN PLT PUMP STORAGE'!D13</f>
        <v>2489760000</v>
      </c>
      <c r="V21" s="509">
        <f>4149600000*'HITGN PLT PUMP STORAGE'!D14</f>
        <v>2489760000</v>
      </c>
      <c r="W21" s="514"/>
      <c r="X21" s="514"/>
      <c r="Y21" s="514"/>
      <c r="Z21" s="514"/>
      <c r="AA21" s="514"/>
      <c r="AB21" s="514"/>
      <c r="AC21" s="514"/>
      <c r="AD21" s="514"/>
    </row>
    <row r="22" spans="1:30" s="568" customFormat="1" ht="33" x14ac:dyDescent="0.35">
      <c r="A22" s="592"/>
      <c r="B22" s="589"/>
      <c r="C22" s="567" t="s">
        <v>459</v>
      </c>
      <c r="D22" s="593"/>
      <c r="E22" s="516"/>
      <c r="F22" s="516"/>
      <c r="G22" s="516"/>
      <c r="H22" s="563"/>
      <c r="I22" s="516"/>
      <c r="J22" s="563"/>
      <c r="K22" s="516"/>
      <c r="M22" s="516"/>
      <c r="N22" s="527"/>
      <c r="O22" s="527"/>
      <c r="Q22" s="592"/>
      <c r="R22" s="569"/>
      <c r="S22" s="570" t="str">
        <f t="shared" si="1"/>
        <v>Penurunan Emisi (ton CO2eq)</v>
      </c>
      <c r="T22" s="595"/>
      <c r="U22" s="527">
        <v>1350707.9039999999</v>
      </c>
      <c r="V22" s="527">
        <v>1350707.9039999999</v>
      </c>
      <c r="W22" s="527"/>
      <c r="X22" s="527"/>
      <c r="Y22" s="527"/>
      <c r="Z22" s="527"/>
      <c r="AA22" s="527"/>
      <c r="AB22" s="527"/>
      <c r="AC22" s="527"/>
      <c r="AD22" s="527"/>
    </row>
    <row r="23" spans="1:30" s="421" customFormat="1" ht="35.25" customHeight="1" x14ac:dyDescent="0.25">
      <c r="A23" s="590">
        <f t="shared" ref="A23" si="3">A20+1</f>
        <v>7</v>
      </c>
      <c r="B23" s="610" t="s">
        <v>10</v>
      </c>
      <c r="C23" s="510" t="s">
        <v>311</v>
      </c>
      <c r="D23" s="593" t="s">
        <v>462</v>
      </c>
      <c r="E23" s="511">
        <v>8.4999999999999995E-4</v>
      </c>
      <c r="F23" s="511">
        <v>1.0330000000000001E-2</v>
      </c>
      <c r="G23" s="520">
        <v>1E-4</v>
      </c>
      <c r="H23" s="521">
        <v>0</v>
      </c>
      <c r="I23" s="522">
        <v>2.7999999999999998E-4</v>
      </c>
      <c r="J23" s="521">
        <v>0</v>
      </c>
      <c r="K23" s="522"/>
      <c r="L23" s="523">
        <v>1.4644E-3</v>
      </c>
      <c r="M23" s="513"/>
      <c r="N23" s="514"/>
      <c r="O23" s="514"/>
      <c r="Q23" s="590">
        <v>7</v>
      </c>
      <c r="R23" s="610" t="s">
        <v>10</v>
      </c>
      <c r="S23" s="500" t="str">
        <f t="shared" si="0"/>
        <v>PLTSurya   (MW)</v>
      </c>
      <c r="T23" s="594" t="s">
        <v>462</v>
      </c>
      <c r="U23" s="514" t="s">
        <v>11</v>
      </c>
      <c r="V23" s="514" t="s">
        <v>11</v>
      </c>
      <c r="W23" s="514" t="s">
        <v>11</v>
      </c>
      <c r="X23" s="514" t="s">
        <v>11</v>
      </c>
      <c r="Y23" s="509"/>
      <c r="Z23" s="509"/>
      <c r="AA23" s="509"/>
      <c r="AB23" s="509"/>
      <c r="AC23" s="509"/>
      <c r="AD23" s="509"/>
    </row>
    <row r="24" spans="1:30" s="421" customFormat="1" ht="30" x14ac:dyDescent="0.25">
      <c r="A24" s="591"/>
      <c r="B24" s="611"/>
      <c r="C24" s="500" t="s">
        <v>461</v>
      </c>
      <c r="D24" s="593"/>
      <c r="E24" s="512">
        <v>76000000</v>
      </c>
      <c r="F24" s="512">
        <v>7600000</v>
      </c>
      <c r="G24" s="512">
        <v>60800000</v>
      </c>
      <c r="H24" s="515">
        <v>0</v>
      </c>
      <c r="I24" s="524">
        <v>3040000</v>
      </c>
      <c r="J24" s="515">
        <v>0</v>
      </c>
      <c r="K24" s="512">
        <v>3040000</v>
      </c>
      <c r="L24" s="512">
        <v>858193</v>
      </c>
      <c r="M24" s="512">
        <v>0</v>
      </c>
      <c r="N24" s="514">
        <v>0</v>
      </c>
      <c r="O24" s="514">
        <v>0</v>
      </c>
      <c r="Q24" s="591"/>
      <c r="R24" s="611"/>
      <c r="S24" s="500" t="str">
        <f t="shared" si="0"/>
        <v>Indikasi Pembiayaan ( ribu Rp)</v>
      </c>
      <c r="T24" s="595"/>
      <c r="U24" s="514" t="s">
        <v>11</v>
      </c>
      <c r="V24" s="514" t="s">
        <v>11</v>
      </c>
      <c r="W24" s="514" t="s">
        <v>11</v>
      </c>
      <c r="X24" s="514" t="s">
        <v>11</v>
      </c>
      <c r="Y24" s="509">
        <f>Y23*1500000</f>
        <v>0</v>
      </c>
      <c r="Z24" s="509">
        <f t="shared" ref="Z24:AD24" si="4">Z23*1500000</f>
        <v>0</v>
      </c>
      <c r="AA24" s="509">
        <f t="shared" si="4"/>
        <v>0</v>
      </c>
      <c r="AB24" s="509">
        <f t="shared" si="4"/>
        <v>0</v>
      </c>
      <c r="AC24" s="509">
        <f t="shared" si="4"/>
        <v>0</v>
      </c>
      <c r="AD24" s="509">
        <f t="shared" si="4"/>
        <v>0</v>
      </c>
    </row>
    <row r="25" spans="1:30" s="568" customFormat="1" ht="33" x14ac:dyDescent="0.35">
      <c r="A25" s="592"/>
      <c r="B25" s="612"/>
      <c r="C25" s="567" t="s">
        <v>459</v>
      </c>
      <c r="D25" s="593"/>
      <c r="E25" s="516">
        <v>1.19</v>
      </c>
      <c r="F25" s="516">
        <v>14.48</v>
      </c>
      <c r="G25" s="516">
        <v>0.14000000000000001</v>
      </c>
      <c r="H25" s="563">
        <v>0</v>
      </c>
      <c r="I25" s="516">
        <v>3.53</v>
      </c>
      <c r="J25" s="563">
        <v>0</v>
      </c>
      <c r="K25" s="516"/>
      <c r="L25" s="516">
        <v>9056.6696639999991</v>
      </c>
      <c r="M25" s="516"/>
      <c r="N25" s="527"/>
      <c r="O25" s="527"/>
      <c r="Q25" s="592"/>
      <c r="R25" s="612"/>
      <c r="S25" s="561" t="str">
        <f t="shared" si="0"/>
        <v>Penurunan Emisi (ton CO2eq)</v>
      </c>
      <c r="T25" s="595"/>
      <c r="U25" s="527" t="s">
        <v>11</v>
      </c>
      <c r="V25" s="527" t="s">
        <v>11</v>
      </c>
      <c r="W25" s="527" t="s">
        <v>11</v>
      </c>
      <c r="X25" s="527" t="s">
        <v>11</v>
      </c>
      <c r="Y25" s="531">
        <f>RUED!Q41</f>
        <v>0</v>
      </c>
      <c r="Z25" s="531">
        <f>RUED!R41</f>
        <v>0</v>
      </c>
      <c r="AA25" s="531">
        <f>RUED!S41</f>
        <v>0</v>
      </c>
      <c r="AB25" s="531">
        <f>RUED!T41</f>
        <v>0</v>
      </c>
      <c r="AC25" s="531">
        <f>RUED!U41</f>
        <v>0</v>
      </c>
      <c r="AD25" s="531">
        <f>RUED!V41</f>
        <v>0</v>
      </c>
    </row>
    <row r="26" spans="1:30" s="556" customFormat="1" ht="15" customHeight="1" x14ac:dyDescent="0.25">
      <c r="A26" s="590">
        <f>A23+1</f>
        <v>8</v>
      </c>
      <c r="B26" s="610" t="s">
        <v>47</v>
      </c>
      <c r="C26" s="553" t="s">
        <v>9</v>
      </c>
      <c r="D26" s="593" t="s">
        <v>462</v>
      </c>
      <c r="E26" s="559">
        <v>283</v>
      </c>
      <c r="F26" s="559">
        <v>283</v>
      </c>
      <c r="G26" s="559">
        <v>717</v>
      </c>
      <c r="H26" s="551">
        <v>150</v>
      </c>
      <c r="I26" s="559">
        <v>74</v>
      </c>
      <c r="J26" s="560">
        <v>80</v>
      </c>
      <c r="K26" s="555">
        <v>83</v>
      </c>
      <c r="L26" s="555">
        <v>94</v>
      </c>
      <c r="M26" s="555">
        <v>195</v>
      </c>
      <c r="N26" s="555">
        <v>100</v>
      </c>
      <c r="O26" s="555">
        <v>100</v>
      </c>
      <c r="Q26" s="590">
        <v>8</v>
      </c>
      <c r="R26" s="610" t="s">
        <v>47</v>
      </c>
      <c r="S26" s="545" t="str">
        <f t="shared" si="0"/>
        <v>Jumlah Biogas (unit)</v>
      </c>
      <c r="T26" s="593" t="s">
        <v>462</v>
      </c>
      <c r="U26" s="555">
        <v>100</v>
      </c>
      <c r="V26" s="555">
        <v>100</v>
      </c>
      <c r="W26" s="555">
        <v>100</v>
      </c>
      <c r="X26" s="555">
        <v>100</v>
      </c>
      <c r="Y26" s="555">
        <v>100</v>
      </c>
      <c r="Z26" s="555">
        <v>100</v>
      </c>
      <c r="AA26" s="555">
        <v>100</v>
      </c>
      <c r="AB26" s="555">
        <v>100</v>
      </c>
      <c r="AC26" s="555">
        <v>100</v>
      </c>
      <c r="AD26" s="555">
        <v>100</v>
      </c>
    </row>
    <row r="27" spans="1:30" s="421" customFormat="1" ht="30" x14ac:dyDescent="0.25">
      <c r="A27" s="591"/>
      <c r="B27" s="611"/>
      <c r="C27" s="510" t="s">
        <v>6</v>
      </c>
      <c r="D27" s="593"/>
      <c r="E27" s="525">
        <v>1600000</v>
      </c>
      <c r="F27" s="525">
        <v>7000000</v>
      </c>
      <c r="G27" s="525">
        <v>1500000</v>
      </c>
      <c r="H27" s="525">
        <v>1090000</v>
      </c>
      <c r="I27" s="526">
        <v>1800000</v>
      </c>
      <c r="J27" s="525">
        <v>1500000</v>
      </c>
      <c r="K27" s="519">
        <f>12000*K26</f>
        <v>996000</v>
      </c>
      <c r="L27" s="519">
        <f>12000*L26</f>
        <v>1128000</v>
      </c>
      <c r="M27" s="519">
        <f>12000*M26</f>
        <v>2340000</v>
      </c>
      <c r="N27" s="519">
        <f>12000*N26</f>
        <v>1200000</v>
      </c>
      <c r="O27" s="519">
        <f>12000*O26</f>
        <v>1200000</v>
      </c>
      <c r="Q27" s="591"/>
      <c r="R27" s="611"/>
      <c r="S27" s="500" t="str">
        <f t="shared" si="0"/>
        <v>Indikasi Pembiayaan (Ribu Rupiah)</v>
      </c>
      <c r="T27" s="593"/>
      <c r="U27" s="509">
        <f>12000*U26</f>
        <v>1200000</v>
      </c>
      <c r="V27" s="509">
        <f>12000*V26</f>
        <v>1200000</v>
      </c>
      <c r="W27" s="509">
        <f>12000*W26</f>
        <v>1200000</v>
      </c>
      <c r="X27" s="509">
        <f>12000*X26</f>
        <v>1200000</v>
      </c>
      <c r="Y27" s="509">
        <f t="shared" ref="Y27" si="5">12000*Y26</f>
        <v>1200000</v>
      </c>
      <c r="Z27" s="509">
        <f t="shared" ref="Z27" si="6">12000*Z26</f>
        <v>1200000</v>
      </c>
      <c r="AA27" s="509">
        <f t="shared" ref="AA27" si="7">12000*AA26</f>
        <v>1200000</v>
      </c>
      <c r="AB27" s="509">
        <f t="shared" ref="AB27" si="8">12000*AB26</f>
        <v>1200000</v>
      </c>
      <c r="AC27" s="509">
        <f t="shared" ref="AC27" si="9">12000*AC26</f>
        <v>1200000</v>
      </c>
      <c r="AD27" s="509">
        <f t="shared" ref="AD27" si="10">12000*AD26</f>
        <v>1200000</v>
      </c>
    </row>
    <row r="28" spans="1:30" s="568" customFormat="1" ht="30" x14ac:dyDescent="0.25">
      <c r="A28" s="592"/>
      <c r="B28" s="612"/>
      <c r="C28" s="567" t="s">
        <v>7</v>
      </c>
      <c r="D28" s="593"/>
      <c r="E28" s="571">
        <v>11094.056535599999</v>
      </c>
      <c r="F28" s="571">
        <v>11094.056535599999</v>
      </c>
      <c r="G28" s="571">
        <v>28107.556664399995</v>
      </c>
      <c r="H28" s="571">
        <v>5880.2419799999998</v>
      </c>
      <c r="I28" s="572">
        <v>2900.9193768000005</v>
      </c>
      <c r="J28" s="571">
        <v>3136.1290559999998</v>
      </c>
      <c r="K28" s="527">
        <v>3253.7338955999999</v>
      </c>
      <c r="L28" s="527">
        <v>3684.9516407999995</v>
      </c>
      <c r="M28" s="527">
        <v>7644.314574</v>
      </c>
      <c r="N28" s="527">
        <v>3920.1613200000002</v>
      </c>
      <c r="O28" s="527">
        <v>3920.1613200000002</v>
      </c>
      <c r="Q28" s="592"/>
      <c r="R28" s="612"/>
      <c r="S28" s="561" t="str">
        <f t="shared" si="0"/>
        <v>Penurunan Emisi (ton CO2eq)</v>
      </c>
      <c r="T28" s="593"/>
      <c r="U28" s="527">
        <f t="shared" ref="U28:AD28" si="11">$N$28</f>
        <v>3920.1613200000002</v>
      </c>
      <c r="V28" s="527">
        <f t="shared" si="11"/>
        <v>3920.1613200000002</v>
      </c>
      <c r="W28" s="527">
        <f t="shared" si="11"/>
        <v>3920.1613200000002</v>
      </c>
      <c r="X28" s="527">
        <f t="shared" si="11"/>
        <v>3920.1613200000002</v>
      </c>
      <c r="Y28" s="527">
        <f t="shared" si="11"/>
        <v>3920.1613200000002</v>
      </c>
      <c r="Z28" s="527">
        <f t="shared" si="11"/>
        <v>3920.1613200000002</v>
      </c>
      <c r="AA28" s="527">
        <f t="shared" si="11"/>
        <v>3920.1613200000002</v>
      </c>
      <c r="AB28" s="527">
        <f t="shared" si="11"/>
        <v>3920.1613200000002</v>
      </c>
      <c r="AC28" s="527">
        <f t="shared" si="11"/>
        <v>3920.1613200000002</v>
      </c>
      <c r="AD28" s="527">
        <f t="shared" si="11"/>
        <v>3920.1613200000002</v>
      </c>
    </row>
    <row r="29" spans="1:30" s="421" customFormat="1" ht="30" customHeight="1" x14ac:dyDescent="0.25">
      <c r="A29" s="590">
        <f t="shared" ref="A29" si="12">A26+1</f>
        <v>9</v>
      </c>
      <c r="B29" s="624" t="s">
        <v>55</v>
      </c>
      <c r="C29" s="510" t="s">
        <v>262</v>
      </c>
      <c r="D29" s="593" t="s">
        <v>462</v>
      </c>
      <c r="E29" s="519">
        <v>0</v>
      </c>
      <c r="F29" s="519">
        <v>30</v>
      </c>
      <c r="G29" s="519">
        <v>50</v>
      </c>
      <c r="H29" s="519">
        <v>60</v>
      </c>
      <c r="I29" s="519">
        <v>60</v>
      </c>
      <c r="J29" s="519">
        <v>60</v>
      </c>
      <c r="K29" s="519">
        <v>60</v>
      </c>
      <c r="L29" s="509">
        <v>60</v>
      </c>
      <c r="M29" s="519">
        <v>60</v>
      </c>
      <c r="N29" s="519">
        <v>60</v>
      </c>
      <c r="O29" s="519">
        <v>60</v>
      </c>
      <c r="Q29" s="625">
        <v>9</v>
      </c>
      <c r="R29" s="624" t="s">
        <v>55</v>
      </c>
      <c r="S29" s="500" t="str">
        <f t="shared" si="0"/>
        <v xml:space="preserve">Jumlah PJU dengan Sistem Solar Cell </v>
      </c>
      <c r="T29" s="593" t="s">
        <v>462</v>
      </c>
      <c r="U29" s="519">
        <v>60</v>
      </c>
      <c r="V29" s="519">
        <v>60</v>
      </c>
      <c r="W29" s="519">
        <v>60</v>
      </c>
      <c r="X29" s="519">
        <v>60</v>
      </c>
      <c r="Y29" s="519">
        <v>60</v>
      </c>
      <c r="Z29" s="519">
        <v>60</v>
      </c>
      <c r="AA29" s="519">
        <v>60</v>
      </c>
      <c r="AB29" s="519">
        <v>60</v>
      </c>
      <c r="AC29" s="519">
        <v>60</v>
      </c>
      <c r="AD29" s="519">
        <v>60</v>
      </c>
    </row>
    <row r="30" spans="1:30" s="529" customFormat="1" ht="30" x14ac:dyDescent="0.25">
      <c r="A30" s="591"/>
      <c r="B30" s="624"/>
      <c r="C30" s="528" t="s">
        <v>6</v>
      </c>
      <c r="D30" s="593"/>
      <c r="E30" s="528"/>
      <c r="F30" s="528"/>
      <c r="G30" s="528">
        <f t="shared" ref="G30:O30" si="13">18000*G29</f>
        <v>900000</v>
      </c>
      <c r="H30" s="528">
        <f t="shared" si="13"/>
        <v>1080000</v>
      </c>
      <c r="I30" s="528">
        <f t="shared" si="13"/>
        <v>1080000</v>
      </c>
      <c r="J30" s="528">
        <f t="shared" si="13"/>
        <v>1080000</v>
      </c>
      <c r="K30" s="528">
        <f t="shared" si="13"/>
        <v>1080000</v>
      </c>
      <c r="L30" s="528">
        <f t="shared" si="13"/>
        <v>1080000</v>
      </c>
      <c r="M30" s="528">
        <f t="shared" si="13"/>
        <v>1080000</v>
      </c>
      <c r="N30" s="528">
        <f t="shared" si="13"/>
        <v>1080000</v>
      </c>
      <c r="O30" s="528">
        <f t="shared" si="13"/>
        <v>1080000</v>
      </c>
      <c r="Q30" s="625"/>
      <c r="R30" s="624"/>
      <c r="S30" s="530" t="str">
        <f t="shared" si="0"/>
        <v>Indikasi Pembiayaan (Ribu Rupiah)</v>
      </c>
      <c r="T30" s="593"/>
      <c r="U30" s="528">
        <f t="shared" ref="U30:AD30" si="14">18000*U29</f>
        <v>1080000</v>
      </c>
      <c r="V30" s="528">
        <f t="shared" si="14"/>
        <v>1080000</v>
      </c>
      <c r="W30" s="528">
        <f t="shared" si="14"/>
        <v>1080000</v>
      </c>
      <c r="X30" s="528">
        <f t="shared" si="14"/>
        <v>1080000</v>
      </c>
      <c r="Y30" s="528">
        <f t="shared" si="14"/>
        <v>1080000</v>
      </c>
      <c r="Z30" s="528">
        <f t="shared" si="14"/>
        <v>1080000</v>
      </c>
      <c r="AA30" s="528">
        <f t="shared" si="14"/>
        <v>1080000</v>
      </c>
      <c r="AB30" s="528">
        <f t="shared" si="14"/>
        <v>1080000</v>
      </c>
      <c r="AC30" s="528">
        <f t="shared" si="14"/>
        <v>1080000</v>
      </c>
      <c r="AD30" s="528">
        <f t="shared" si="14"/>
        <v>1080000</v>
      </c>
    </row>
    <row r="31" spans="1:30" s="568" customFormat="1" ht="30" x14ac:dyDescent="0.25">
      <c r="A31" s="592"/>
      <c r="B31" s="624"/>
      <c r="C31" s="567" t="s">
        <v>7</v>
      </c>
      <c r="D31" s="593"/>
      <c r="E31" s="531">
        <v>0</v>
      </c>
      <c r="F31" s="531">
        <v>4.0776048000000005</v>
      </c>
      <c r="G31" s="531">
        <v>6.7960080000000005</v>
      </c>
      <c r="H31" s="531">
        <v>8.1552096000000009</v>
      </c>
      <c r="I31" s="531">
        <v>8.1552096000000009</v>
      </c>
      <c r="J31" s="531">
        <v>8.1552096000000009</v>
      </c>
      <c r="K31" s="531">
        <v>8.1552096000000009</v>
      </c>
      <c r="L31" s="531">
        <v>8.1552096000000009</v>
      </c>
      <c r="M31" s="531">
        <v>8.1552096000000009</v>
      </c>
      <c r="N31" s="531">
        <v>8.1552096000000009</v>
      </c>
      <c r="O31" s="531">
        <v>8.1552096000000009</v>
      </c>
      <c r="Q31" s="625"/>
      <c r="R31" s="624"/>
      <c r="S31" s="561" t="str">
        <f t="shared" si="0"/>
        <v>Penurunan Emisi (ton CO2eq)</v>
      </c>
      <c r="T31" s="593"/>
      <c r="U31" s="531">
        <v>8.1552096000000009</v>
      </c>
      <c r="V31" s="531">
        <v>8.1552096000000009</v>
      </c>
      <c r="W31" s="531">
        <v>8.1552096000000009</v>
      </c>
      <c r="X31" s="531">
        <v>8.1552096000000009</v>
      </c>
      <c r="Y31" s="531">
        <v>8.1552096000000009</v>
      </c>
      <c r="Z31" s="531">
        <v>8.1552096000000009</v>
      </c>
      <c r="AA31" s="531">
        <v>8.1552096000000009</v>
      </c>
      <c r="AB31" s="531">
        <v>8.1552096000000009</v>
      </c>
      <c r="AC31" s="531">
        <v>8.1552096000000009</v>
      </c>
      <c r="AD31" s="531">
        <v>8.1552096000000009</v>
      </c>
    </row>
    <row r="32" spans="1:30" s="421" customFormat="1" ht="30" hidden="1" customHeight="1" x14ac:dyDescent="0.25">
      <c r="A32" s="532"/>
      <c r="B32" s="404"/>
      <c r="C32" s="510" t="s">
        <v>7</v>
      </c>
      <c r="L32" s="517"/>
    </row>
    <row r="33" spans="2:15" s="421" customFormat="1" ht="63" hidden="1" x14ac:dyDescent="0.25">
      <c r="B33" s="533" t="s">
        <v>5</v>
      </c>
      <c r="C33" s="533" t="s">
        <v>19</v>
      </c>
      <c r="D33" s="533" t="s">
        <v>20</v>
      </c>
      <c r="E33" s="533" t="s">
        <v>21</v>
      </c>
      <c r="F33" s="533" t="s">
        <v>22</v>
      </c>
      <c r="G33" s="534" t="s">
        <v>23</v>
      </c>
      <c r="H33" s="534" t="s">
        <v>24</v>
      </c>
      <c r="I33" s="534" t="s">
        <v>236</v>
      </c>
      <c r="J33" s="534" t="s">
        <v>25</v>
      </c>
      <c r="K33" s="534" t="s">
        <v>26</v>
      </c>
      <c r="L33" s="533" t="s">
        <v>237</v>
      </c>
      <c r="M33" s="533" t="s">
        <v>240</v>
      </c>
      <c r="N33" s="533" t="s">
        <v>463</v>
      </c>
      <c r="O33" s="533" t="s">
        <v>28</v>
      </c>
    </row>
    <row r="34" spans="2:15" s="421" customFormat="1" ht="15.75" hidden="1" x14ac:dyDescent="0.25">
      <c r="B34" s="533">
        <f>B35-1</f>
        <v>2014</v>
      </c>
      <c r="C34" s="607" t="s">
        <v>29</v>
      </c>
      <c r="D34" s="607" t="s">
        <v>30</v>
      </c>
      <c r="E34" s="607" t="s">
        <v>31</v>
      </c>
      <c r="F34" s="533">
        <v>4</v>
      </c>
      <c r="G34" s="509">
        <v>74</v>
      </c>
      <c r="H34" s="534">
        <v>3</v>
      </c>
      <c r="I34" s="534">
        <v>1</v>
      </c>
      <c r="J34" s="534">
        <f t="shared" ref="J34:J50" si="15">I34*G34*365</f>
        <v>27010</v>
      </c>
      <c r="K34" s="534">
        <f t="shared" ref="K34:K50" si="16">G34*H34*31</f>
        <v>6882</v>
      </c>
      <c r="L34" s="535">
        <v>-1.38</v>
      </c>
      <c r="M34" s="535">
        <f t="shared" ref="M34:M50" si="17">(J34*L34)</f>
        <v>-37273.799999999996</v>
      </c>
      <c r="N34" s="535">
        <v>0.57999999999999996</v>
      </c>
      <c r="O34" s="536">
        <f t="shared" ref="O34:O50" si="18">((M34*N34)+(K34*21))/1000</f>
        <v>122.90319599999999</v>
      </c>
    </row>
    <row r="35" spans="2:15" s="421" customFormat="1" ht="15.75" hidden="1" x14ac:dyDescent="0.25">
      <c r="B35" s="533">
        <f>B36-1</f>
        <v>2015</v>
      </c>
      <c r="C35" s="608"/>
      <c r="D35" s="608"/>
      <c r="E35" s="608"/>
      <c r="F35" s="533">
        <v>4</v>
      </c>
      <c r="G35" s="509">
        <v>80</v>
      </c>
      <c r="H35" s="534">
        <v>3</v>
      </c>
      <c r="I35" s="534">
        <v>1</v>
      </c>
      <c r="J35" s="534">
        <f t="shared" si="15"/>
        <v>29200</v>
      </c>
      <c r="K35" s="534">
        <f t="shared" si="16"/>
        <v>7440</v>
      </c>
      <c r="L35" s="535">
        <v>-0.38</v>
      </c>
      <c r="M35" s="535">
        <f t="shared" si="17"/>
        <v>-11096</v>
      </c>
      <c r="N35" s="535">
        <v>1.58</v>
      </c>
      <c r="O35" s="536">
        <f t="shared" si="18"/>
        <v>138.70832000000001</v>
      </c>
    </row>
    <row r="36" spans="2:15" s="421" customFormat="1" ht="15.75" hidden="1" customHeight="1" x14ac:dyDescent="0.25">
      <c r="B36" s="533">
        <v>2016</v>
      </c>
      <c r="C36" s="608"/>
      <c r="D36" s="608"/>
      <c r="E36" s="608"/>
      <c r="F36" s="533">
        <v>4</v>
      </c>
      <c r="G36" s="509">
        <f>K26</f>
        <v>83</v>
      </c>
      <c r="H36" s="534">
        <v>3</v>
      </c>
      <c r="I36" s="534">
        <v>1</v>
      </c>
      <c r="J36" s="534">
        <f t="shared" si="15"/>
        <v>30295</v>
      </c>
      <c r="K36" s="534">
        <f t="shared" si="16"/>
        <v>7719</v>
      </c>
      <c r="L36" s="535">
        <v>0.62</v>
      </c>
      <c r="M36" s="535">
        <f t="shared" si="17"/>
        <v>18782.900000000001</v>
      </c>
      <c r="N36" s="535">
        <v>2.58</v>
      </c>
      <c r="O36" s="536">
        <f t="shared" si="18"/>
        <v>210.55888200000001</v>
      </c>
    </row>
    <row r="37" spans="2:15" s="421" customFormat="1" ht="15.75" hidden="1" x14ac:dyDescent="0.25">
      <c r="B37" s="533">
        <v>2017</v>
      </c>
      <c r="C37" s="608"/>
      <c r="D37" s="608"/>
      <c r="E37" s="608"/>
      <c r="F37" s="533">
        <v>4</v>
      </c>
      <c r="G37" s="509">
        <f>L26</f>
        <v>94</v>
      </c>
      <c r="H37" s="534">
        <v>3</v>
      </c>
      <c r="I37" s="534">
        <v>1</v>
      </c>
      <c r="J37" s="534">
        <f t="shared" si="15"/>
        <v>34310</v>
      </c>
      <c r="K37" s="534">
        <f t="shared" si="16"/>
        <v>8742</v>
      </c>
      <c r="L37" s="535">
        <v>0.62</v>
      </c>
      <c r="M37" s="535">
        <f t="shared" si="17"/>
        <v>21272.2</v>
      </c>
      <c r="N37" s="535">
        <v>2.58</v>
      </c>
      <c r="O37" s="536">
        <f t="shared" si="18"/>
        <v>238.46427600000001</v>
      </c>
    </row>
    <row r="38" spans="2:15" s="421" customFormat="1" ht="15.75" hidden="1" x14ac:dyDescent="0.25">
      <c r="B38" s="533">
        <v>2018</v>
      </c>
      <c r="C38" s="608"/>
      <c r="D38" s="608"/>
      <c r="E38" s="608"/>
      <c r="F38" s="533">
        <v>4</v>
      </c>
      <c r="G38" s="509">
        <f>M26</f>
        <v>195</v>
      </c>
      <c r="H38" s="534">
        <v>3</v>
      </c>
      <c r="I38" s="534">
        <v>1</v>
      </c>
      <c r="J38" s="534">
        <f t="shared" si="15"/>
        <v>71175</v>
      </c>
      <c r="K38" s="534">
        <f t="shared" si="16"/>
        <v>18135</v>
      </c>
      <c r="L38" s="535">
        <v>0.62</v>
      </c>
      <c r="M38" s="535">
        <f t="shared" si="17"/>
        <v>44128.5</v>
      </c>
      <c r="N38" s="535">
        <v>2.58</v>
      </c>
      <c r="O38" s="536">
        <f t="shared" si="18"/>
        <v>494.68653</v>
      </c>
    </row>
    <row r="39" spans="2:15" s="421" customFormat="1" ht="15.75" hidden="1" x14ac:dyDescent="0.25">
      <c r="B39" s="533">
        <v>2019</v>
      </c>
      <c r="C39" s="608"/>
      <c r="D39" s="608"/>
      <c r="E39" s="608"/>
      <c r="F39" s="533">
        <v>4</v>
      </c>
      <c r="G39" s="509">
        <f>N26</f>
        <v>100</v>
      </c>
      <c r="H39" s="534">
        <v>3</v>
      </c>
      <c r="I39" s="534">
        <v>1</v>
      </c>
      <c r="J39" s="534">
        <f t="shared" si="15"/>
        <v>36500</v>
      </c>
      <c r="K39" s="534">
        <f t="shared" si="16"/>
        <v>9300</v>
      </c>
      <c r="L39" s="535">
        <v>0.62</v>
      </c>
      <c r="M39" s="535">
        <f t="shared" si="17"/>
        <v>22630</v>
      </c>
      <c r="N39" s="535">
        <v>2.58</v>
      </c>
      <c r="O39" s="536">
        <f t="shared" si="18"/>
        <v>253.68539999999999</v>
      </c>
    </row>
    <row r="40" spans="2:15" s="421" customFormat="1" ht="15.75" hidden="1" x14ac:dyDescent="0.25">
      <c r="B40" s="533">
        <v>2020</v>
      </c>
      <c r="C40" s="608"/>
      <c r="D40" s="608"/>
      <c r="E40" s="608"/>
      <c r="F40" s="533">
        <v>4</v>
      </c>
      <c r="G40" s="509">
        <f>$N$26</f>
        <v>100</v>
      </c>
      <c r="H40" s="534">
        <v>3</v>
      </c>
      <c r="I40" s="534">
        <v>1</v>
      </c>
      <c r="J40" s="534">
        <f t="shared" si="15"/>
        <v>36500</v>
      </c>
      <c r="K40" s="534">
        <f t="shared" si="16"/>
        <v>9300</v>
      </c>
      <c r="L40" s="535">
        <v>0.62</v>
      </c>
      <c r="M40" s="535">
        <f t="shared" si="17"/>
        <v>22630</v>
      </c>
      <c r="N40" s="535">
        <v>2.58</v>
      </c>
      <c r="O40" s="536">
        <f t="shared" si="18"/>
        <v>253.68539999999999</v>
      </c>
    </row>
    <row r="41" spans="2:15" s="421" customFormat="1" ht="15.75" hidden="1" x14ac:dyDescent="0.25">
      <c r="B41" s="533">
        <v>2021</v>
      </c>
      <c r="C41" s="608"/>
      <c r="D41" s="608"/>
      <c r="E41" s="608"/>
      <c r="F41" s="533">
        <v>4</v>
      </c>
      <c r="G41" s="509">
        <f t="shared" ref="G41:G50" si="19">$N$26</f>
        <v>100</v>
      </c>
      <c r="H41" s="534">
        <v>3</v>
      </c>
      <c r="I41" s="534">
        <v>1</v>
      </c>
      <c r="J41" s="534">
        <f t="shared" si="15"/>
        <v>36500</v>
      </c>
      <c r="K41" s="534">
        <f t="shared" si="16"/>
        <v>9300</v>
      </c>
      <c r="L41" s="535">
        <v>0.62</v>
      </c>
      <c r="M41" s="535">
        <f t="shared" si="17"/>
        <v>22630</v>
      </c>
      <c r="N41" s="535">
        <v>2.58</v>
      </c>
      <c r="O41" s="536">
        <f t="shared" si="18"/>
        <v>253.68539999999999</v>
      </c>
    </row>
    <row r="42" spans="2:15" s="421" customFormat="1" ht="15.75" hidden="1" x14ac:dyDescent="0.25">
      <c r="B42" s="533">
        <v>2022</v>
      </c>
      <c r="C42" s="608"/>
      <c r="D42" s="608"/>
      <c r="E42" s="608"/>
      <c r="F42" s="533">
        <v>4</v>
      </c>
      <c r="G42" s="509">
        <f t="shared" si="19"/>
        <v>100</v>
      </c>
      <c r="H42" s="534">
        <v>3</v>
      </c>
      <c r="I42" s="534">
        <v>1</v>
      </c>
      <c r="J42" s="534">
        <f t="shared" si="15"/>
        <v>36500</v>
      </c>
      <c r="K42" s="534">
        <f t="shared" si="16"/>
        <v>9300</v>
      </c>
      <c r="L42" s="535">
        <v>0.62</v>
      </c>
      <c r="M42" s="535">
        <f t="shared" si="17"/>
        <v>22630</v>
      </c>
      <c r="N42" s="535">
        <v>2.58</v>
      </c>
      <c r="O42" s="536">
        <f t="shared" si="18"/>
        <v>253.68539999999999</v>
      </c>
    </row>
    <row r="43" spans="2:15" s="421" customFormat="1" ht="15.75" hidden="1" x14ac:dyDescent="0.25">
      <c r="B43" s="533">
        <v>2023</v>
      </c>
      <c r="C43" s="608"/>
      <c r="D43" s="608"/>
      <c r="E43" s="608"/>
      <c r="F43" s="533">
        <v>4</v>
      </c>
      <c r="G43" s="509">
        <f t="shared" si="19"/>
        <v>100</v>
      </c>
      <c r="H43" s="534">
        <v>3</v>
      </c>
      <c r="I43" s="534">
        <v>1</v>
      </c>
      <c r="J43" s="534">
        <f t="shared" si="15"/>
        <v>36500</v>
      </c>
      <c r="K43" s="534">
        <f t="shared" si="16"/>
        <v>9300</v>
      </c>
      <c r="L43" s="535">
        <v>0.62</v>
      </c>
      <c r="M43" s="535">
        <f t="shared" si="17"/>
        <v>22630</v>
      </c>
      <c r="N43" s="535">
        <v>2.58</v>
      </c>
      <c r="O43" s="536">
        <f t="shared" si="18"/>
        <v>253.68539999999999</v>
      </c>
    </row>
    <row r="44" spans="2:15" s="421" customFormat="1" ht="15.75" hidden="1" x14ac:dyDescent="0.25">
      <c r="B44" s="533">
        <v>2024</v>
      </c>
      <c r="C44" s="608"/>
      <c r="D44" s="608"/>
      <c r="E44" s="608"/>
      <c r="F44" s="533">
        <v>4</v>
      </c>
      <c r="G44" s="509">
        <f t="shared" si="19"/>
        <v>100</v>
      </c>
      <c r="H44" s="534">
        <v>3</v>
      </c>
      <c r="I44" s="534">
        <v>1</v>
      </c>
      <c r="J44" s="534">
        <f t="shared" si="15"/>
        <v>36500</v>
      </c>
      <c r="K44" s="534">
        <f t="shared" si="16"/>
        <v>9300</v>
      </c>
      <c r="L44" s="535">
        <v>0.62</v>
      </c>
      <c r="M44" s="535">
        <f t="shared" si="17"/>
        <v>22630</v>
      </c>
      <c r="N44" s="535">
        <v>2.58</v>
      </c>
      <c r="O44" s="536">
        <f t="shared" si="18"/>
        <v>253.68539999999999</v>
      </c>
    </row>
    <row r="45" spans="2:15" s="421" customFormat="1" ht="15.75" hidden="1" x14ac:dyDescent="0.25">
      <c r="B45" s="533">
        <v>2025</v>
      </c>
      <c r="C45" s="608"/>
      <c r="D45" s="608"/>
      <c r="E45" s="608"/>
      <c r="F45" s="533">
        <v>4</v>
      </c>
      <c r="G45" s="509">
        <f t="shared" si="19"/>
        <v>100</v>
      </c>
      <c r="H45" s="534">
        <v>3</v>
      </c>
      <c r="I45" s="534">
        <v>1</v>
      </c>
      <c r="J45" s="534">
        <f t="shared" si="15"/>
        <v>36500</v>
      </c>
      <c r="K45" s="534">
        <f t="shared" si="16"/>
        <v>9300</v>
      </c>
      <c r="L45" s="535">
        <v>0.62</v>
      </c>
      <c r="M45" s="535">
        <f t="shared" si="17"/>
        <v>22630</v>
      </c>
      <c r="N45" s="535">
        <v>2.58</v>
      </c>
      <c r="O45" s="536">
        <f t="shared" si="18"/>
        <v>253.68539999999999</v>
      </c>
    </row>
    <row r="46" spans="2:15" s="421" customFormat="1" ht="15.75" hidden="1" x14ac:dyDescent="0.25">
      <c r="B46" s="533">
        <v>2026</v>
      </c>
      <c r="C46" s="608"/>
      <c r="D46" s="608"/>
      <c r="E46" s="608"/>
      <c r="F46" s="533">
        <v>4</v>
      </c>
      <c r="G46" s="509">
        <f t="shared" si="19"/>
        <v>100</v>
      </c>
      <c r="H46" s="534">
        <v>3</v>
      </c>
      <c r="I46" s="534">
        <v>1</v>
      </c>
      <c r="J46" s="534">
        <f t="shared" si="15"/>
        <v>36500</v>
      </c>
      <c r="K46" s="534">
        <f t="shared" si="16"/>
        <v>9300</v>
      </c>
      <c r="L46" s="535">
        <v>0.62</v>
      </c>
      <c r="M46" s="535">
        <f t="shared" si="17"/>
        <v>22630</v>
      </c>
      <c r="N46" s="535">
        <v>2.58</v>
      </c>
      <c r="O46" s="536">
        <f t="shared" si="18"/>
        <v>253.68539999999999</v>
      </c>
    </row>
    <row r="47" spans="2:15" s="421" customFormat="1" ht="15.75" hidden="1" x14ac:dyDescent="0.25">
      <c r="B47" s="533">
        <v>2027</v>
      </c>
      <c r="C47" s="608"/>
      <c r="D47" s="608"/>
      <c r="E47" s="608"/>
      <c r="F47" s="533">
        <v>4</v>
      </c>
      <c r="G47" s="509">
        <f t="shared" si="19"/>
        <v>100</v>
      </c>
      <c r="H47" s="534">
        <v>3</v>
      </c>
      <c r="I47" s="534">
        <v>1</v>
      </c>
      <c r="J47" s="534">
        <f t="shared" si="15"/>
        <v>36500</v>
      </c>
      <c r="K47" s="534">
        <f t="shared" si="16"/>
        <v>9300</v>
      </c>
      <c r="L47" s="535">
        <v>0.62</v>
      </c>
      <c r="M47" s="535">
        <f t="shared" si="17"/>
        <v>22630</v>
      </c>
      <c r="N47" s="535">
        <v>2.58</v>
      </c>
      <c r="O47" s="536">
        <f t="shared" si="18"/>
        <v>253.68539999999999</v>
      </c>
    </row>
    <row r="48" spans="2:15" s="421" customFormat="1" ht="15.75" hidden="1" x14ac:dyDescent="0.25">
      <c r="B48" s="533">
        <v>2028</v>
      </c>
      <c r="C48" s="608"/>
      <c r="D48" s="608"/>
      <c r="E48" s="608"/>
      <c r="F48" s="533">
        <v>4</v>
      </c>
      <c r="G48" s="509">
        <f t="shared" si="19"/>
        <v>100</v>
      </c>
      <c r="H48" s="534">
        <v>3</v>
      </c>
      <c r="I48" s="534">
        <v>1</v>
      </c>
      <c r="J48" s="534">
        <f t="shared" si="15"/>
        <v>36500</v>
      </c>
      <c r="K48" s="534">
        <f t="shared" si="16"/>
        <v>9300</v>
      </c>
      <c r="L48" s="535">
        <v>0.62</v>
      </c>
      <c r="M48" s="535">
        <f t="shared" si="17"/>
        <v>22630</v>
      </c>
      <c r="N48" s="535">
        <v>2.58</v>
      </c>
      <c r="O48" s="536">
        <f t="shared" si="18"/>
        <v>253.68539999999999</v>
      </c>
    </row>
    <row r="49" spans="1:30" s="421" customFormat="1" ht="15.75" hidden="1" x14ac:dyDescent="0.25">
      <c r="B49" s="533">
        <v>2029</v>
      </c>
      <c r="C49" s="608"/>
      <c r="D49" s="608"/>
      <c r="E49" s="608"/>
      <c r="F49" s="533">
        <v>4</v>
      </c>
      <c r="G49" s="509">
        <f t="shared" si="19"/>
        <v>100</v>
      </c>
      <c r="H49" s="534">
        <v>3</v>
      </c>
      <c r="I49" s="534">
        <v>1</v>
      </c>
      <c r="J49" s="534">
        <f t="shared" si="15"/>
        <v>36500</v>
      </c>
      <c r="K49" s="534">
        <f t="shared" si="16"/>
        <v>9300</v>
      </c>
      <c r="L49" s="535">
        <v>0.62</v>
      </c>
      <c r="M49" s="535">
        <f t="shared" si="17"/>
        <v>22630</v>
      </c>
      <c r="N49" s="535">
        <v>2.58</v>
      </c>
      <c r="O49" s="536">
        <f t="shared" si="18"/>
        <v>253.68539999999999</v>
      </c>
    </row>
    <row r="50" spans="1:30" s="421" customFormat="1" ht="15.75" hidden="1" x14ac:dyDescent="0.25">
      <c r="B50" s="537">
        <v>2030</v>
      </c>
      <c r="C50" s="608"/>
      <c r="D50" s="608"/>
      <c r="E50" s="608"/>
      <c r="F50" s="537">
        <v>4</v>
      </c>
      <c r="G50" s="538">
        <f t="shared" si="19"/>
        <v>100</v>
      </c>
      <c r="H50" s="539">
        <v>3</v>
      </c>
      <c r="I50" s="539">
        <v>1</v>
      </c>
      <c r="J50" s="539">
        <f t="shared" si="15"/>
        <v>36500</v>
      </c>
      <c r="K50" s="539">
        <f t="shared" si="16"/>
        <v>9300</v>
      </c>
      <c r="L50" s="540">
        <v>0.62</v>
      </c>
      <c r="M50" s="540">
        <f t="shared" si="17"/>
        <v>22630</v>
      </c>
      <c r="N50" s="540">
        <v>2.58</v>
      </c>
      <c r="O50" s="541">
        <f t="shared" si="18"/>
        <v>253.68539999999999</v>
      </c>
    </row>
    <row r="51" spans="1:30" s="421" customFormat="1" ht="30" customHeight="1" x14ac:dyDescent="0.25">
      <c r="A51" s="590">
        <v>10</v>
      </c>
      <c r="B51" s="624" t="s">
        <v>55</v>
      </c>
      <c r="C51" s="510" t="s">
        <v>315</v>
      </c>
      <c r="D51" s="593" t="s">
        <v>462</v>
      </c>
      <c r="E51" s="533">
        <f>E56+E59</f>
        <v>0</v>
      </c>
      <c r="F51" s="533">
        <f t="shared" ref="F51:O51" si="20">F56+F59</f>
        <v>254</v>
      </c>
      <c r="G51" s="533">
        <f t="shared" si="20"/>
        <v>255</v>
      </c>
      <c r="H51" s="533">
        <f t="shared" si="20"/>
        <v>255</v>
      </c>
      <c r="I51" s="533">
        <f t="shared" si="20"/>
        <v>256</v>
      </c>
      <c r="J51" s="533">
        <f t="shared" si="20"/>
        <v>256</v>
      </c>
      <c r="K51" s="533">
        <f t="shared" si="20"/>
        <v>257</v>
      </c>
      <c r="L51" s="533">
        <f t="shared" si="20"/>
        <v>257</v>
      </c>
      <c r="M51" s="533">
        <f t="shared" si="20"/>
        <v>258</v>
      </c>
      <c r="N51" s="533">
        <f t="shared" si="20"/>
        <v>258</v>
      </c>
      <c r="O51" s="533">
        <f t="shared" si="20"/>
        <v>258</v>
      </c>
      <c r="Q51" s="625">
        <v>10</v>
      </c>
      <c r="R51" s="624" t="s">
        <v>55</v>
      </c>
      <c r="S51" s="500" t="str">
        <f t="shared" ref="S51:S53" si="21">C51</f>
        <v xml:space="preserve">Jumlah PJU dengan lampu LED </v>
      </c>
      <c r="T51" s="593" t="s">
        <v>462</v>
      </c>
      <c r="U51" s="533">
        <f t="shared" ref="U51:AD52" si="22">U56+U59</f>
        <v>258</v>
      </c>
      <c r="V51" s="533">
        <f t="shared" si="22"/>
        <v>258</v>
      </c>
      <c r="W51" s="533">
        <f t="shared" si="22"/>
        <v>258</v>
      </c>
      <c r="X51" s="533">
        <f t="shared" si="22"/>
        <v>258</v>
      </c>
      <c r="Y51" s="533">
        <f t="shared" si="22"/>
        <v>258</v>
      </c>
      <c r="Z51" s="533">
        <f t="shared" si="22"/>
        <v>258</v>
      </c>
      <c r="AA51" s="533">
        <f t="shared" si="22"/>
        <v>258</v>
      </c>
      <c r="AB51" s="533">
        <f t="shared" si="22"/>
        <v>258</v>
      </c>
      <c r="AC51" s="533">
        <f t="shared" si="22"/>
        <v>258</v>
      </c>
      <c r="AD51" s="533">
        <f t="shared" si="22"/>
        <v>258</v>
      </c>
    </row>
    <row r="52" spans="1:30" s="421" customFormat="1" ht="30" x14ac:dyDescent="0.25">
      <c r="A52" s="591"/>
      <c r="B52" s="624"/>
      <c r="C52" s="528" t="s">
        <v>6</v>
      </c>
      <c r="D52" s="593"/>
      <c r="E52" s="542">
        <f>+E57+E60</f>
        <v>0</v>
      </c>
      <c r="F52" s="542">
        <f t="shared" ref="F52:O52" si="23">+F57+F60</f>
        <v>428400</v>
      </c>
      <c r="G52" s="542">
        <f t="shared" si="23"/>
        <v>430200</v>
      </c>
      <c r="H52" s="542">
        <f t="shared" si="23"/>
        <v>430200</v>
      </c>
      <c r="I52" s="542">
        <f t="shared" si="23"/>
        <v>432000</v>
      </c>
      <c r="J52" s="542">
        <f t="shared" si="23"/>
        <v>432000</v>
      </c>
      <c r="K52" s="542">
        <f t="shared" si="23"/>
        <v>433000</v>
      </c>
      <c r="L52" s="542">
        <f t="shared" si="23"/>
        <v>433000</v>
      </c>
      <c r="M52" s="542">
        <f t="shared" si="23"/>
        <v>434800</v>
      </c>
      <c r="N52" s="542">
        <f t="shared" si="23"/>
        <v>434800</v>
      </c>
      <c r="O52" s="542">
        <f t="shared" si="23"/>
        <v>434800</v>
      </c>
      <c r="Q52" s="625"/>
      <c r="R52" s="624"/>
      <c r="S52" s="530" t="str">
        <f t="shared" si="21"/>
        <v>Indikasi Pembiayaan (Ribu Rupiah)</v>
      </c>
      <c r="T52" s="593"/>
      <c r="U52" s="533">
        <f t="shared" si="22"/>
        <v>434800</v>
      </c>
      <c r="V52" s="533">
        <f t="shared" si="22"/>
        <v>434800</v>
      </c>
      <c r="W52" s="533">
        <f t="shared" si="22"/>
        <v>434800</v>
      </c>
      <c r="X52" s="533">
        <f t="shared" si="22"/>
        <v>434800</v>
      </c>
      <c r="Y52" s="533">
        <f t="shared" si="22"/>
        <v>434800</v>
      </c>
      <c r="Z52" s="533">
        <f t="shared" si="22"/>
        <v>434800</v>
      </c>
      <c r="AA52" s="533">
        <f t="shared" si="22"/>
        <v>434800</v>
      </c>
      <c r="AB52" s="533">
        <f t="shared" si="22"/>
        <v>434800</v>
      </c>
      <c r="AC52" s="533">
        <f t="shared" si="22"/>
        <v>434800</v>
      </c>
      <c r="AD52" s="533">
        <f t="shared" si="22"/>
        <v>434800</v>
      </c>
    </row>
    <row r="53" spans="1:30" s="568" customFormat="1" ht="30" x14ac:dyDescent="0.25">
      <c r="A53" s="592"/>
      <c r="B53" s="624"/>
      <c r="C53" s="567" t="s">
        <v>7</v>
      </c>
      <c r="D53" s="593"/>
      <c r="E53" s="543">
        <v>0</v>
      </c>
      <c r="F53" s="543">
        <v>54.821131199999982</v>
      </c>
      <c r="G53" s="543">
        <v>55.047664799999986</v>
      </c>
      <c r="H53" s="543">
        <v>55.047664799999986</v>
      </c>
      <c r="I53" s="543">
        <v>55.274198399999982</v>
      </c>
      <c r="J53" s="543">
        <v>55.274198399999982</v>
      </c>
      <c r="K53" s="543">
        <v>55.425220799999984</v>
      </c>
      <c r="L53" s="543">
        <v>55.425220799999984</v>
      </c>
      <c r="M53" s="543">
        <v>55.651754399999987</v>
      </c>
      <c r="N53" s="543">
        <v>55.651754399999987</v>
      </c>
      <c r="O53" s="543">
        <v>55.651754399999987</v>
      </c>
      <c r="Q53" s="625"/>
      <c r="R53" s="624"/>
      <c r="S53" s="561" t="str">
        <f t="shared" si="21"/>
        <v>Penurunan Emisi (ton CO2eq)</v>
      </c>
      <c r="T53" s="593"/>
      <c r="U53" s="543">
        <v>55.651754399999987</v>
      </c>
      <c r="V53" s="543">
        <v>55.651754399999987</v>
      </c>
      <c r="W53" s="543">
        <v>55.651754399999987</v>
      </c>
      <c r="X53" s="543">
        <v>55.651754399999987</v>
      </c>
      <c r="Y53" s="543">
        <v>55.651754399999987</v>
      </c>
      <c r="Z53" s="543">
        <v>55.651754399999987</v>
      </c>
      <c r="AA53" s="543">
        <v>55.651754399999987</v>
      </c>
      <c r="AB53" s="543">
        <v>55.651754399999987</v>
      </c>
      <c r="AC53" s="543">
        <v>55.651754399999987</v>
      </c>
      <c r="AD53" s="543">
        <v>55.651754399999987</v>
      </c>
    </row>
    <row r="54" spans="1:30" s="307" customFormat="1" ht="68.25" customHeight="1" x14ac:dyDescent="0.25">
      <c r="B54" s="308"/>
      <c r="C54" s="309"/>
      <c r="D54" s="309"/>
      <c r="E54" s="309"/>
      <c r="F54" s="309"/>
      <c r="G54" s="310"/>
      <c r="H54" s="311"/>
      <c r="I54" s="311"/>
      <c r="J54" s="311"/>
      <c r="K54" s="311"/>
      <c r="L54" s="312"/>
      <c r="M54" s="312"/>
      <c r="N54" s="312"/>
      <c r="O54" s="313"/>
    </row>
    <row r="55" spans="1:30" s="306" customFormat="1" ht="26.25" customHeight="1" x14ac:dyDescent="0.25">
      <c r="A55" s="626" t="s">
        <v>316</v>
      </c>
      <c r="B55" s="626"/>
      <c r="C55" s="626"/>
      <c r="D55" s="626"/>
      <c r="E55" s="626"/>
      <c r="F55" s="626"/>
      <c r="G55" s="626"/>
      <c r="H55" s="626"/>
      <c r="I55" s="626"/>
      <c r="J55" s="626"/>
      <c r="K55" s="626"/>
      <c r="L55" s="626"/>
      <c r="M55" s="626"/>
      <c r="N55" s="626"/>
      <c r="O55" s="627"/>
    </row>
    <row r="56" spans="1:30" s="91" customFormat="1" ht="30" x14ac:dyDescent="0.25">
      <c r="A56" s="618">
        <v>8</v>
      </c>
      <c r="B56" s="621" t="s">
        <v>55</v>
      </c>
      <c r="C56" s="142" t="s">
        <v>266</v>
      </c>
      <c r="D56" s="286" t="s">
        <v>48</v>
      </c>
      <c r="E56" s="275">
        <v>0</v>
      </c>
      <c r="F56" s="275">
        <v>218</v>
      </c>
      <c r="G56" s="276">
        <v>219</v>
      </c>
      <c r="H56" s="276">
        <v>219</v>
      </c>
      <c r="I56" s="276">
        <v>220</v>
      </c>
      <c r="J56" s="276">
        <v>220</v>
      </c>
      <c r="K56" s="276">
        <v>220</v>
      </c>
      <c r="L56" s="277">
        <v>220</v>
      </c>
      <c r="M56" s="278">
        <v>221</v>
      </c>
      <c r="N56" s="278">
        <v>221</v>
      </c>
      <c r="O56" s="278">
        <v>221</v>
      </c>
      <c r="Q56" s="285">
        <v>9</v>
      </c>
      <c r="R56" s="287" t="s">
        <v>55</v>
      </c>
      <c r="S56" s="92" t="str">
        <f t="shared" ref="S56:S58" si="24">C56</f>
        <v>Jumlah PJU dengan lampu LED (JALAN UMUM)</v>
      </c>
      <c r="T56" s="288" t="s">
        <v>48</v>
      </c>
      <c r="U56" s="144">
        <v>221</v>
      </c>
      <c r="V56" s="144">
        <v>221</v>
      </c>
      <c r="W56" s="144">
        <v>221</v>
      </c>
      <c r="X56" s="144">
        <v>221</v>
      </c>
      <c r="Y56" s="144">
        <v>221</v>
      </c>
      <c r="Z56" s="144">
        <v>221</v>
      </c>
      <c r="AA56" s="144">
        <v>221</v>
      </c>
      <c r="AB56" s="144">
        <v>221</v>
      </c>
      <c r="AC56" s="144">
        <v>221</v>
      </c>
      <c r="AD56" s="144">
        <v>221</v>
      </c>
    </row>
    <row r="57" spans="1:30" s="140" customFormat="1" ht="30" x14ac:dyDescent="0.25">
      <c r="A57" s="619"/>
      <c r="B57" s="622"/>
      <c r="C57" s="220" t="s">
        <v>6</v>
      </c>
      <c r="D57" s="286"/>
      <c r="E57" s="279">
        <f>1800*E56</f>
        <v>0</v>
      </c>
      <c r="F57" s="279">
        <f>1800*F56</f>
        <v>392400</v>
      </c>
      <c r="G57" s="279">
        <f t="shared" ref="F57:O57" si="25">1800*G56</f>
        <v>394200</v>
      </c>
      <c r="H57" s="279">
        <f t="shared" si="25"/>
        <v>394200</v>
      </c>
      <c r="I57" s="279">
        <f t="shared" si="25"/>
        <v>396000</v>
      </c>
      <c r="J57" s="279">
        <f t="shared" si="25"/>
        <v>396000</v>
      </c>
      <c r="K57" s="279">
        <f t="shared" si="25"/>
        <v>396000</v>
      </c>
      <c r="L57" s="279">
        <f t="shared" si="25"/>
        <v>396000</v>
      </c>
      <c r="M57" s="279">
        <f t="shared" si="25"/>
        <v>397800</v>
      </c>
      <c r="N57" s="279">
        <f t="shared" si="25"/>
        <v>397800</v>
      </c>
      <c r="O57" s="279">
        <f t="shared" si="25"/>
        <v>397800</v>
      </c>
      <c r="Q57" s="285"/>
      <c r="R57" s="287"/>
      <c r="S57" s="221" t="str">
        <f t="shared" si="24"/>
        <v>Indikasi Pembiayaan (Ribu Rupiah)</v>
      </c>
      <c r="T57" s="288"/>
      <c r="U57" s="220">
        <f t="shared" ref="U57" si="26">1800*U56</f>
        <v>397800</v>
      </c>
      <c r="V57" s="220">
        <f t="shared" ref="V57" si="27">1800*V56</f>
        <v>397800</v>
      </c>
      <c r="W57" s="220">
        <f t="shared" ref="W57" si="28">1800*W56</f>
        <v>397800</v>
      </c>
      <c r="X57" s="220">
        <f t="shared" ref="X57" si="29">1800*X56</f>
        <v>397800</v>
      </c>
      <c r="Y57" s="220">
        <f t="shared" ref="Y57" si="30">1800*Y56</f>
        <v>397800</v>
      </c>
      <c r="Z57" s="220">
        <f t="shared" ref="Z57" si="31">1800*Z56</f>
        <v>397800</v>
      </c>
      <c r="AA57" s="220">
        <f t="shared" ref="AA57" si="32">1800*AA56</f>
        <v>397800</v>
      </c>
      <c r="AB57" s="220">
        <f t="shared" ref="AB57" si="33">1800*AB56</f>
        <v>397800</v>
      </c>
      <c r="AC57" s="220">
        <f t="shared" ref="AC57" si="34">1800*AC56</f>
        <v>397800</v>
      </c>
      <c r="AD57" s="220">
        <f t="shared" ref="AD57" si="35">1800*AD56</f>
        <v>397800</v>
      </c>
    </row>
    <row r="58" spans="1:30" s="91" customFormat="1" ht="30" x14ac:dyDescent="0.25">
      <c r="A58" s="620"/>
      <c r="B58" s="623"/>
      <c r="C58" s="74" t="s">
        <v>7</v>
      </c>
      <c r="D58" s="286"/>
      <c r="E58" s="280">
        <v>0</v>
      </c>
      <c r="F58" s="280">
        <v>28187.4</v>
      </c>
      <c r="G58" s="281">
        <v>28316.7</v>
      </c>
      <c r="H58" s="282">
        <v>28316.7</v>
      </c>
      <c r="I58" s="282">
        <v>28446.000000000004</v>
      </c>
      <c r="J58" s="282">
        <v>28446.000000000004</v>
      </c>
      <c r="K58" s="282">
        <v>28446.000000000004</v>
      </c>
      <c r="L58" s="280">
        <v>28446</v>
      </c>
      <c r="M58" s="280">
        <v>28575.300000000003</v>
      </c>
      <c r="N58" s="280">
        <v>28575.300000000003</v>
      </c>
      <c r="O58" s="280">
        <v>28575.300000000003</v>
      </c>
      <c r="Q58" s="285"/>
      <c r="R58" s="287"/>
      <c r="S58" s="92" t="str">
        <f t="shared" si="24"/>
        <v>Penurunan Emisi (ton CO2eq)</v>
      </c>
      <c r="T58" s="288"/>
      <c r="U58" s="51">
        <v>28575.300000000003</v>
      </c>
      <c r="V58" s="51">
        <v>28575.300000000003</v>
      </c>
      <c r="W58" s="51">
        <v>28575.300000000003</v>
      </c>
      <c r="X58" s="51">
        <v>28575.300000000003</v>
      </c>
      <c r="Y58" s="51">
        <v>28575.300000000003</v>
      </c>
      <c r="Z58" s="51">
        <v>28575.300000000003</v>
      </c>
      <c r="AA58" s="51">
        <v>28575.300000000003</v>
      </c>
      <c r="AB58" s="51">
        <v>28575.300000000003</v>
      </c>
      <c r="AC58" s="51">
        <v>28575.300000000003</v>
      </c>
      <c r="AD58" s="51">
        <v>28575.300000000003</v>
      </c>
    </row>
    <row r="59" spans="1:30" s="91" customFormat="1" ht="30" x14ac:dyDescent="0.25">
      <c r="A59" s="618">
        <v>9</v>
      </c>
      <c r="B59" s="621" t="s">
        <v>55</v>
      </c>
      <c r="C59" s="142" t="s">
        <v>285</v>
      </c>
      <c r="D59" s="286" t="s">
        <v>48</v>
      </c>
      <c r="E59" s="275">
        <v>0</v>
      </c>
      <c r="F59" s="275">
        <v>36</v>
      </c>
      <c r="G59" s="276">
        <v>36</v>
      </c>
      <c r="H59" s="276">
        <v>36</v>
      </c>
      <c r="I59" s="276">
        <v>36</v>
      </c>
      <c r="J59" s="276">
        <v>36</v>
      </c>
      <c r="K59" s="276">
        <v>37</v>
      </c>
      <c r="L59" s="277">
        <v>37</v>
      </c>
      <c r="M59" s="278">
        <v>37</v>
      </c>
      <c r="N59" s="278">
        <v>37</v>
      </c>
      <c r="O59" s="278">
        <v>37</v>
      </c>
      <c r="Q59" s="285">
        <v>9</v>
      </c>
      <c r="R59" s="287" t="s">
        <v>55</v>
      </c>
      <c r="S59" s="92" t="str">
        <f t="shared" ref="S59:S61" si="36">C59</f>
        <v>Jumlah PJU dengan lampu LED (JALAN LINGKUNGAN)</v>
      </c>
      <c r="T59" s="288" t="s">
        <v>48</v>
      </c>
      <c r="U59" s="144">
        <v>37</v>
      </c>
      <c r="V59" s="144">
        <v>37</v>
      </c>
      <c r="W59" s="144">
        <v>37</v>
      </c>
      <c r="X59" s="144">
        <v>37</v>
      </c>
      <c r="Y59" s="144">
        <v>37</v>
      </c>
      <c r="Z59" s="144">
        <v>37</v>
      </c>
      <c r="AA59" s="144">
        <v>37</v>
      </c>
      <c r="AB59" s="144">
        <v>37</v>
      </c>
      <c r="AC59" s="144">
        <v>37</v>
      </c>
      <c r="AD59" s="144">
        <v>37</v>
      </c>
    </row>
    <row r="60" spans="1:30" s="140" customFormat="1" ht="30" x14ac:dyDescent="0.25">
      <c r="A60" s="619"/>
      <c r="B60" s="622"/>
      <c r="C60" s="220" t="s">
        <v>6</v>
      </c>
      <c r="D60" s="286"/>
      <c r="E60" s="279">
        <f>1000*E59</f>
        <v>0</v>
      </c>
      <c r="F60" s="279">
        <f>1000*F59</f>
        <v>36000</v>
      </c>
      <c r="G60" s="279">
        <f t="shared" ref="G60:O60" si="37">1000*G59</f>
        <v>36000</v>
      </c>
      <c r="H60" s="279">
        <f t="shared" si="37"/>
        <v>36000</v>
      </c>
      <c r="I60" s="279">
        <f t="shared" si="37"/>
        <v>36000</v>
      </c>
      <c r="J60" s="279">
        <f t="shared" si="37"/>
        <v>36000</v>
      </c>
      <c r="K60" s="279">
        <f t="shared" si="37"/>
        <v>37000</v>
      </c>
      <c r="L60" s="279">
        <f>1000*L59</f>
        <v>37000</v>
      </c>
      <c r="M60" s="279">
        <f t="shared" si="37"/>
        <v>37000</v>
      </c>
      <c r="N60" s="279">
        <f t="shared" si="37"/>
        <v>37000</v>
      </c>
      <c r="O60" s="279">
        <f t="shared" si="37"/>
        <v>37000</v>
      </c>
      <c r="Q60" s="285"/>
      <c r="R60" s="287"/>
      <c r="S60" s="221" t="str">
        <f t="shared" si="36"/>
        <v>Indikasi Pembiayaan (Ribu Rupiah)</v>
      </c>
      <c r="T60" s="288"/>
      <c r="U60" s="220">
        <f t="shared" ref="U60" si="38">1000*U59</f>
        <v>37000</v>
      </c>
      <c r="V60" s="220">
        <f t="shared" ref="V60" si="39">1000*V59</f>
        <v>37000</v>
      </c>
      <c r="W60" s="220">
        <f t="shared" ref="W60" si="40">1000*W59</f>
        <v>37000</v>
      </c>
      <c r="X60" s="220">
        <f t="shared" ref="X60" si="41">1000*X59</f>
        <v>37000</v>
      </c>
      <c r="Y60" s="220">
        <f t="shared" ref="Y60" si="42">1000*Y59</f>
        <v>37000</v>
      </c>
      <c r="Z60" s="220">
        <f t="shared" ref="Z60" si="43">1000*Z59</f>
        <v>37000</v>
      </c>
      <c r="AA60" s="220">
        <f t="shared" ref="AA60" si="44">1000*AA59</f>
        <v>37000</v>
      </c>
      <c r="AB60" s="220">
        <f t="shared" ref="AB60" si="45">1000*AB59</f>
        <v>37000</v>
      </c>
      <c r="AC60" s="220">
        <f t="shared" ref="AC60" si="46">1000*AC59</f>
        <v>37000</v>
      </c>
      <c r="AD60" s="220">
        <f t="shared" ref="AD60" si="47">1000*AD59</f>
        <v>37000</v>
      </c>
    </row>
    <row r="61" spans="1:30" s="91" customFormat="1" ht="30" x14ac:dyDescent="0.25">
      <c r="A61" s="620"/>
      <c r="B61" s="623"/>
      <c r="C61" s="74" t="s">
        <v>7</v>
      </c>
      <c r="D61" s="286"/>
      <c r="E61" s="281">
        <v>0</v>
      </c>
      <c r="F61" s="281">
        <v>3103.2000000000003</v>
      </c>
      <c r="G61" s="281">
        <v>3103.2000000000003</v>
      </c>
      <c r="H61" s="281">
        <v>3103.2000000000003</v>
      </c>
      <c r="I61" s="281">
        <v>3103.2000000000003</v>
      </c>
      <c r="J61" s="281">
        <v>3103.2000000000003</v>
      </c>
      <c r="K61" s="281">
        <v>3189.4</v>
      </c>
      <c r="L61" s="281">
        <v>3189.4</v>
      </c>
      <c r="M61" s="281">
        <v>3189.4</v>
      </c>
      <c r="N61" s="281">
        <v>3189.4</v>
      </c>
      <c r="O61" s="281">
        <v>3189.4</v>
      </c>
      <c r="Q61" s="285"/>
      <c r="R61" s="287"/>
      <c r="S61" s="92" t="str">
        <f t="shared" si="36"/>
        <v>Penurunan Emisi (ton CO2eq)</v>
      </c>
      <c r="T61" s="288"/>
      <c r="U61" s="51">
        <v>3189.4</v>
      </c>
      <c r="V61" s="51">
        <v>3189.4</v>
      </c>
      <c r="W61" s="51">
        <v>3189.4</v>
      </c>
      <c r="X61" s="51">
        <v>3189.4</v>
      </c>
      <c r="Y61" s="51">
        <v>3189.4</v>
      </c>
      <c r="Z61" s="51">
        <v>3189.4</v>
      </c>
      <c r="AA61" s="51">
        <v>3189.4</v>
      </c>
      <c r="AB61" s="51">
        <v>3189.4</v>
      </c>
      <c r="AC61" s="51">
        <v>3189.4</v>
      </c>
      <c r="AD61" s="51">
        <v>3189.4</v>
      </c>
    </row>
    <row r="62" spans="1:30" s="85" customFormat="1" x14ac:dyDescent="0.25">
      <c r="B62" s="271"/>
      <c r="C62" s="272"/>
      <c r="D62" s="272"/>
    </row>
    <row r="63" spans="1:30" s="85" customFormat="1" ht="15.75" x14ac:dyDescent="0.25">
      <c r="B63" s="271"/>
      <c r="C63" s="272"/>
      <c r="D63" s="272"/>
      <c r="E63" s="272"/>
      <c r="F63" s="272"/>
      <c r="G63" s="162"/>
      <c r="H63" s="273"/>
      <c r="I63" s="273"/>
      <c r="J63" s="273"/>
      <c r="K63" s="273"/>
      <c r="L63" s="274"/>
      <c r="M63" s="274"/>
      <c r="N63" s="274"/>
      <c r="O63" s="274"/>
    </row>
    <row r="64" spans="1:30" s="91" customFormat="1" ht="15.75" x14ac:dyDescent="0.25">
      <c r="B64" s="229"/>
      <c r="C64" s="230"/>
      <c r="D64" s="230"/>
      <c r="E64" s="230"/>
      <c r="F64" s="230"/>
      <c r="G64" s="231"/>
      <c r="H64" s="232"/>
      <c r="I64" s="232"/>
      <c r="J64" s="232"/>
      <c r="K64" s="232"/>
      <c r="L64" s="233"/>
      <c r="M64" s="233"/>
      <c r="N64" s="233"/>
      <c r="O64" s="234"/>
    </row>
    <row r="65" spans="2:15" s="91" customFormat="1" ht="15.75" x14ac:dyDescent="0.25">
      <c r="B65" s="229"/>
      <c r="C65" s="230"/>
      <c r="D65" s="230"/>
      <c r="E65" s="230"/>
      <c r="F65" s="230"/>
      <c r="G65" s="231"/>
      <c r="H65" s="232"/>
      <c r="I65" s="232"/>
      <c r="J65" s="232"/>
      <c r="K65" s="232"/>
      <c r="L65" s="233"/>
      <c r="M65" s="233"/>
      <c r="N65" s="233"/>
      <c r="O65" s="234"/>
    </row>
    <row r="66" spans="2:15" s="91" customFormat="1" ht="15.75" x14ac:dyDescent="0.25">
      <c r="B66" s="229"/>
      <c r="C66" s="230"/>
      <c r="D66" s="230"/>
      <c r="E66" s="230"/>
      <c r="F66" s="230"/>
      <c r="G66" s="231"/>
      <c r="H66" s="232"/>
      <c r="I66" s="232"/>
      <c r="J66" s="232"/>
      <c r="K66" s="232"/>
      <c r="L66" s="233"/>
      <c r="M66" s="233"/>
      <c r="N66" s="233"/>
      <c r="O66" s="234"/>
    </row>
    <row r="67" spans="2:15" s="91" customFormat="1" ht="15.75" x14ac:dyDescent="0.25">
      <c r="B67" s="229"/>
      <c r="C67" s="230"/>
      <c r="D67" s="230"/>
      <c r="E67" s="230"/>
      <c r="F67" s="230"/>
      <c r="G67" s="231"/>
      <c r="H67" s="232"/>
      <c r="I67" s="232"/>
      <c r="J67" s="232"/>
      <c r="K67" s="232"/>
      <c r="L67" s="233"/>
      <c r="M67" s="233"/>
      <c r="N67" s="233"/>
      <c r="O67" s="234"/>
    </row>
    <row r="68" spans="2:15" x14ac:dyDescent="0.25">
      <c r="B68" t="s">
        <v>265</v>
      </c>
    </row>
    <row r="69" spans="2:15" ht="94.5" x14ac:dyDescent="0.25">
      <c r="B69" s="206" t="s">
        <v>107</v>
      </c>
      <c r="C69" s="207" t="s">
        <v>20</v>
      </c>
      <c r="D69" s="218" t="s">
        <v>21</v>
      </c>
      <c r="E69" s="208" t="s">
        <v>241</v>
      </c>
      <c r="F69" s="207" t="s">
        <v>252</v>
      </c>
      <c r="G69" s="209" t="s">
        <v>242</v>
      </c>
      <c r="H69" s="210" t="s">
        <v>243</v>
      </c>
      <c r="I69" s="209" t="s">
        <v>244</v>
      </c>
      <c r="J69" s="210" t="s">
        <v>28</v>
      </c>
    </row>
    <row r="70" spans="2:15" ht="60" customHeight="1" x14ac:dyDescent="0.25">
      <c r="B70" s="596">
        <v>2010</v>
      </c>
      <c r="C70" s="211" t="s">
        <v>245</v>
      </c>
      <c r="D70" s="211" t="s">
        <v>246</v>
      </c>
      <c r="E70" s="596">
        <f>F70*4</f>
        <v>1132</v>
      </c>
      <c r="F70" s="606">
        <f>E26</f>
        <v>283</v>
      </c>
      <c r="G70" s="213">
        <f>0.62</f>
        <v>0.62</v>
      </c>
      <c r="H70" s="213">
        <f>E70*G70*0.3*365</f>
        <v>76851.48</v>
      </c>
      <c r="I70" s="213">
        <v>2.58</v>
      </c>
      <c r="J70" s="602">
        <f>(H70*I70/1000)+(H72*I72/1000)</f>
        <v>11094.056535599999</v>
      </c>
    </row>
    <row r="71" spans="2:15" ht="45" customHeight="1" x14ac:dyDescent="0.25">
      <c r="B71" s="597"/>
      <c r="C71" s="605" t="s">
        <v>247</v>
      </c>
      <c r="D71" s="596" t="s">
        <v>248</v>
      </c>
      <c r="E71" s="597"/>
      <c r="F71" s="600"/>
      <c r="G71" s="216" t="s">
        <v>249</v>
      </c>
      <c r="H71" s="210" t="s">
        <v>250</v>
      </c>
      <c r="I71" s="216" t="s">
        <v>251</v>
      </c>
      <c r="J71" s="603"/>
    </row>
    <row r="72" spans="2:15" x14ac:dyDescent="0.25">
      <c r="B72" s="598"/>
      <c r="C72" s="605"/>
      <c r="D72" s="598"/>
      <c r="E72" s="598"/>
      <c r="F72" s="601"/>
      <c r="G72" s="213">
        <v>1255.74</v>
      </c>
      <c r="H72" s="215">
        <f>E70*G72*365/1000</f>
        <v>518846.6532</v>
      </c>
      <c r="I72" s="215">
        <v>21</v>
      </c>
      <c r="J72" s="604"/>
    </row>
    <row r="73" spans="2:15" ht="15" customHeight="1" x14ac:dyDescent="0.25">
      <c r="B73" s="596">
        <v>2011</v>
      </c>
      <c r="C73" s="211" t="s">
        <v>245</v>
      </c>
      <c r="D73" s="211" t="s">
        <v>246</v>
      </c>
      <c r="E73" s="596">
        <f t="shared" ref="E73" si="48">F73*4</f>
        <v>1132</v>
      </c>
      <c r="F73" s="606">
        <f>F26</f>
        <v>283</v>
      </c>
      <c r="G73" s="213">
        <f>0.62</f>
        <v>0.62</v>
      </c>
      <c r="H73" s="213">
        <f>E73*G73*0.3*365</f>
        <v>76851.48</v>
      </c>
      <c r="I73" s="213">
        <v>2.58</v>
      </c>
      <c r="J73" s="602">
        <f>(H73*I73/1000)+(H75*I75/1000)</f>
        <v>11094.056535599999</v>
      </c>
    </row>
    <row r="74" spans="2:15" ht="45" customHeight="1" x14ac:dyDescent="0.25">
      <c r="B74" s="597"/>
      <c r="C74" s="605" t="s">
        <v>247</v>
      </c>
      <c r="D74" s="596" t="s">
        <v>248</v>
      </c>
      <c r="E74" s="597"/>
      <c r="F74" s="600"/>
      <c r="G74" s="216" t="s">
        <v>249</v>
      </c>
      <c r="H74" s="210" t="s">
        <v>250</v>
      </c>
      <c r="I74" s="216" t="s">
        <v>251</v>
      </c>
      <c r="J74" s="603"/>
    </row>
    <row r="75" spans="2:15" x14ac:dyDescent="0.25">
      <c r="B75" s="598"/>
      <c r="C75" s="605"/>
      <c r="D75" s="598"/>
      <c r="E75" s="598"/>
      <c r="F75" s="601"/>
      <c r="G75" s="213">
        <v>1255.74</v>
      </c>
      <c r="H75" s="215">
        <f>E73*G75*365/1000</f>
        <v>518846.6532</v>
      </c>
      <c r="I75" s="215">
        <v>21</v>
      </c>
      <c r="J75" s="604"/>
    </row>
    <row r="76" spans="2:15" ht="15" customHeight="1" x14ac:dyDescent="0.25">
      <c r="B76" s="596">
        <v>2012</v>
      </c>
      <c r="C76" s="211" t="s">
        <v>245</v>
      </c>
      <c r="D76" s="211" t="s">
        <v>246</v>
      </c>
      <c r="E76" s="596">
        <f t="shared" ref="E76" si="49">F76*4</f>
        <v>2868</v>
      </c>
      <c r="F76" s="606">
        <f>G26</f>
        <v>717</v>
      </c>
      <c r="G76" s="213">
        <f>0.62</f>
        <v>0.62</v>
      </c>
      <c r="H76" s="213">
        <f>E76*G76*0.3*365</f>
        <v>194708.52</v>
      </c>
      <c r="I76" s="213">
        <v>2.58</v>
      </c>
      <c r="J76" s="602">
        <f>(H76*I76/1000)+(H78*I78/1000)</f>
        <v>28107.556664399995</v>
      </c>
    </row>
    <row r="77" spans="2:15" ht="45" customHeight="1" x14ac:dyDescent="0.25">
      <c r="B77" s="597"/>
      <c r="C77" s="605" t="s">
        <v>247</v>
      </c>
      <c r="D77" s="211" t="s">
        <v>248</v>
      </c>
      <c r="E77" s="597"/>
      <c r="F77" s="600"/>
      <c r="G77" s="216" t="s">
        <v>249</v>
      </c>
      <c r="H77" s="210" t="s">
        <v>250</v>
      </c>
      <c r="I77" s="216" t="s">
        <v>251</v>
      </c>
      <c r="J77" s="603"/>
    </row>
    <row r="78" spans="2:15" x14ac:dyDescent="0.25">
      <c r="B78" s="598"/>
      <c r="C78" s="605"/>
      <c r="D78" s="211"/>
      <c r="E78" s="598"/>
      <c r="F78" s="601"/>
      <c r="G78" s="213">
        <v>1255.74</v>
      </c>
      <c r="H78" s="215">
        <f>E76*G78*365/1000</f>
        <v>1314533.7467999998</v>
      </c>
      <c r="I78" s="215">
        <v>21</v>
      </c>
      <c r="J78" s="604"/>
    </row>
    <row r="79" spans="2:15" ht="15" customHeight="1" x14ac:dyDescent="0.25">
      <c r="B79" s="596">
        <v>2013</v>
      </c>
      <c r="C79" s="211" t="s">
        <v>245</v>
      </c>
      <c r="D79" s="211" t="s">
        <v>246</v>
      </c>
      <c r="E79" s="596">
        <f t="shared" ref="E79" si="50">F79*4</f>
        <v>600</v>
      </c>
      <c r="F79" s="606">
        <f>H26</f>
        <v>150</v>
      </c>
      <c r="G79" s="213">
        <f>0.62</f>
        <v>0.62</v>
      </c>
      <c r="H79" s="213">
        <f>E79*G79*0.3*365</f>
        <v>40734</v>
      </c>
      <c r="I79" s="213">
        <v>2.58</v>
      </c>
      <c r="J79" s="602">
        <f>(H79*I79/1000)+(H81*I81/1000)</f>
        <v>5880.2419799999998</v>
      </c>
    </row>
    <row r="80" spans="2:15" ht="45" customHeight="1" x14ac:dyDescent="0.25">
      <c r="B80" s="597"/>
      <c r="C80" s="605" t="s">
        <v>247</v>
      </c>
      <c r="D80" s="211" t="s">
        <v>248</v>
      </c>
      <c r="E80" s="597"/>
      <c r="F80" s="600"/>
      <c r="G80" s="216" t="s">
        <v>249</v>
      </c>
      <c r="H80" s="210" t="s">
        <v>250</v>
      </c>
      <c r="I80" s="216" t="s">
        <v>251</v>
      </c>
      <c r="J80" s="603"/>
    </row>
    <row r="81" spans="2:10" x14ac:dyDescent="0.25">
      <c r="B81" s="598"/>
      <c r="C81" s="605"/>
      <c r="D81" s="211"/>
      <c r="E81" s="598"/>
      <c r="F81" s="601"/>
      <c r="G81" s="213">
        <v>1255.74</v>
      </c>
      <c r="H81" s="215">
        <f>E79*G81*365/1000</f>
        <v>275007.06</v>
      </c>
      <c r="I81" s="215">
        <v>21</v>
      </c>
      <c r="J81" s="604"/>
    </row>
    <row r="82" spans="2:10" ht="15" customHeight="1" x14ac:dyDescent="0.25">
      <c r="B82" s="596">
        <v>2014</v>
      </c>
      <c r="C82" s="211" t="s">
        <v>245</v>
      </c>
      <c r="D82" s="211" t="s">
        <v>246</v>
      </c>
      <c r="E82" s="596">
        <f t="shared" ref="E82" si="51">F82*4</f>
        <v>296</v>
      </c>
      <c r="F82" s="606">
        <f>I26</f>
        <v>74</v>
      </c>
      <c r="G82" s="213">
        <f>0.62</f>
        <v>0.62</v>
      </c>
      <c r="H82" s="213">
        <f>E82*G82*0.3*365</f>
        <v>20095.440000000002</v>
      </c>
      <c r="I82" s="213">
        <v>2.58</v>
      </c>
      <c r="J82" s="602">
        <f>(H82*I82/1000)+(H84*I84/1000)</f>
        <v>2900.9193768000005</v>
      </c>
    </row>
    <row r="83" spans="2:10" ht="45" customHeight="1" x14ac:dyDescent="0.25">
      <c r="B83" s="597"/>
      <c r="C83" s="605" t="s">
        <v>247</v>
      </c>
      <c r="D83" s="211" t="s">
        <v>248</v>
      </c>
      <c r="E83" s="597"/>
      <c r="F83" s="600"/>
      <c r="G83" s="216" t="s">
        <v>249</v>
      </c>
      <c r="H83" s="210" t="s">
        <v>250</v>
      </c>
      <c r="I83" s="216" t="s">
        <v>251</v>
      </c>
      <c r="J83" s="603"/>
    </row>
    <row r="84" spans="2:10" x14ac:dyDescent="0.25">
      <c r="B84" s="598"/>
      <c r="C84" s="605"/>
      <c r="D84" s="211"/>
      <c r="E84" s="598"/>
      <c r="F84" s="601"/>
      <c r="G84" s="213">
        <v>1255.74</v>
      </c>
      <c r="H84" s="215">
        <f>E82*G84*365/1000</f>
        <v>135670.1496</v>
      </c>
      <c r="I84" s="215">
        <v>21</v>
      </c>
      <c r="J84" s="604"/>
    </row>
    <row r="85" spans="2:10" ht="15" customHeight="1" x14ac:dyDescent="0.25">
      <c r="B85" s="596">
        <v>2015</v>
      </c>
      <c r="C85" s="211" t="s">
        <v>245</v>
      </c>
      <c r="D85" s="211" t="s">
        <v>246</v>
      </c>
      <c r="E85" s="596">
        <f t="shared" ref="E85" si="52">F85*4</f>
        <v>320</v>
      </c>
      <c r="F85" s="606">
        <f>J26</f>
        <v>80</v>
      </c>
      <c r="G85" s="213">
        <f>0.62</f>
        <v>0.62</v>
      </c>
      <c r="H85" s="213">
        <f>E85*G85*0.3*365</f>
        <v>21724.799999999999</v>
      </c>
      <c r="I85" s="213">
        <v>2.58</v>
      </c>
      <c r="J85" s="602">
        <f>(H85*I85/1000)+(H87*I87/1000)</f>
        <v>3136.1290559999998</v>
      </c>
    </row>
    <row r="86" spans="2:10" ht="45" customHeight="1" x14ac:dyDescent="0.25">
      <c r="B86" s="597"/>
      <c r="C86" s="605" t="s">
        <v>247</v>
      </c>
      <c r="D86" s="211" t="s">
        <v>248</v>
      </c>
      <c r="E86" s="597"/>
      <c r="F86" s="600"/>
      <c r="G86" s="216" t="s">
        <v>249</v>
      </c>
      <c r="H86" s="210" t="s">
        <v>250</v>
      </c>
      <c r="I86" s="216" t="s">
        <v>251</v>
      </c>
      <c r="J86" s="603"/>
    </row>
    <row r="87" spans="2:10" x14ac:dyDescent="0.25">
      <c r="B87" s="598"/>
      <c r="C87" s="605"/>
      <c r="D87" s="211"/>
      <c r="E87" s="598"/>
      <c r="F87" s="601"/>
      <c r="G87" s="213">
        <v>1255.74</v>
      </c>
      <c r="H87" s="215">
        <f>E85*G87*365/1000</f>
        <v>146670.432</v>
      </c>
      <c r="I87" s="215">
        <v>21</v>
      </c>
      <c r="J87" s="604"/>
    </row>
    <row r="88" spans="2:10" ht="15" customHeight="1" x14ac:dyDescent="0.25">
      <c r="B88" s="596">
        <v>2016</v>
      </c>
      <c r="C88" s="211" t="s">
        <v>245</v>
      </c>
      <c r="D88" s="211" t="s">
        <v>246</v>
      </c>
      <c r="E88" s="596">
        <f t="shared" ref="E88" si="53">F88*4</f>
        <v>332</v>
      </c>
      <c r="F88" s="599">
        <f>K26</f>
        <v>83</v>
      </c>
      <c r="G88" s="213">
        <f>0.62</f>
        <v>0.62</v>
      </c>
      <c r="H88" s="213">
        <f>E88*G88*0.3*365</f>
        <v>22539.48</v>
      </c>
      <c r="I88" s="213">
        <v>2.58</v>
      </c>
      <c r="J88" s="602">
        <f>(H88*I88/1000)+(H90*I90/1000)</f>
        <v>3253.7338955999999</v>
      </c>
    </row>
    <row r="89" spans="2:10" ht="45" customHeight="1" x14ac:dyDescent="0.25">
      <c r="B89" s="597"/>
      <c r="C89" s="605" t="s">
        <v>247</v>
      </c>
      <c r="D89" s="211" t="s">
        <v>248</v>
      </c>
      <c r="E89" s="597"/>
      <c r="F89" s="600"/>
      <c r="G89" s="216" t="s">
        <v>249</v>
      </c>
      <c r="H89" s="210" t="s">
        <v>250</v>
      </c>
      <c r="I89" s="216" t="s">
        <v>251</v>
      </c>
      <c r="J89" s="603"/>
    </row>
    <row r="90" spans="2:10" x14ac:dyDescent="0.25">
      <c r="B90" s="598"/>
      <c r="C90" s="605"/>
      <c r="D90" s="211"/>
      <c r="E90" s="598"/>
      <c r="F90" s="601"/>
      <c r="G90" s="213">
        <v>1255.74</v>
      </c>
      <c r="H90" s="215">
        <f>E88*G90*365/1000</f>
        <v>152170.57319999998</v>
      </c>
      <c r="I90" s="215">
        <v>21</v>
      </c>
      <c r="J90" s="604"/>
    </row>
    <row r="91" spans="2:10" ht="15" customHeight="1" x14ac:dyDescent="0.25">
      <c r="B91" s="596">
        <v>2017</v>
      </c>
      <c r="C91" s="211" t="s">
        <v>245</v>
      </c>
      <c r="D91" s="211" t="s">
        <v>246</v>
      </c>
      <c r="E91" s="596">
        <f t="shared" ref="E91" si="54">F91*4</f>
        <v>376</v>
      </c>
      <c r="F91" s="599">
        <f>L26</f>
        <v>94</v>
      </c>
      <c r="G91" s="213">
        <f>0.62</f>
        <v>0.62</v>
      </c>
      <c r="H91" s="213">
        <f>E91*G91*0.3*365</f>
        <v>25526.639999999996</v>
      </c>
      <c r="I91" s="213">
        <v>2.58</v>
      </c>
      <c r="J91" s="602">
        <f>(H91*I91/1000)+(H93*I93/1000)</f>
        <v>3684.9516407999995</v>
      </c>
    </row>
    <row r="92" spans="2:10" ht="45" customHeight="1" x14ac:dyDescent="0.25">
      <c r="B92" s="597"/>
      <c r="C92" s="605" t="s">
        <v>247</v>
      </c>
      <c r="D92" s="211" t="s">
        <v>248</v>
      </c>
      <c r="E92" s="597"/>
      <c r="F92" s="600"/>
      <c r="G92" s="216" t="s">
        <v>249</v>
      </c>
      <c r="H92" s="210" t="s">
        <v>250</v>
      </c>
      <c r="I92" s="216" t="s">
        <v>251</v>
      </c>
      <c r="J92" s="603"/>
    </row>
    <row r="93" spans="2:10" x14ac:dyDescent="0.25">
      <c r="B93" s="598"/>
      <c r="C93" s="605"/>
      <c r="D93" s="211"/>
      <c r="E93" s="598"/>
      <c r="F93" s="601"/>
      <c r="G93" s="213">
        <v>1255.74</v>
      </c>
      <c r="H93" s="215">
        <f>E91*G93*365/1000</f>
        <v>172337.75759999998</v>
      </c>
      <c r="I93" s="215">
        <v>21</v>
      </c>
      <c r="J93" s="604"/>
    </row>
    <row r="94" spans="2:10" ht="15" customHeight="1" x14ac:dyDescent="0.25">
      <c r="B94" s="596">
        <v>2018</v>
      </c>
      <c r="C94" s="211" t="s">
        <v>245</v>
      </c>
      <c r="D94" s="211" t="s">
        <v>246</v>
      </c>
      <c r="E94" s="596">
        <f t="shared" ref="E94" si="55">F94*4</f>
        <v>780</v>
      </c>
      <c r="F94" s="599">
        <f>M26</f>
        <v>195</v>
      </c>
      <c r="G94" s="213">
        <f>0.62</f>
        <v>0.62</v>
      </c>
      <c r="H94" s="213">
        <f>E94*G94*0.3*365</f>
        <v>52954.200000000004</v>
      </c>
      <c r="I94" s="213">
        <v>2.58</v>
      </c>
      <c r="J94" s="602">
        <f>(H94*I94/1000)+(H96*I96/1000)</f>
        <v>7644.314574</v>
      </c>
    </row>
    <row r="95" spans="2:10" ht="45" customHeight="1" x14ac:dyDescent="0.25">
      <c r="B95" s="597"/>
      <c r="C95" s="605" t="s">
        <v>247</v>
      </c>
      <c r="D95" s="211" t="s">
        <v>248</v>
      </c>
      <c r="E95" s="597"/>
      <c r="F95" s="600"/>
      <c r="G95" s="216" t="s">
        <v>249</v>
      </c>
      <c r="H95" s="210" t="s">
        <v>250</v>
      </c>
      <c r="I95" s="216" t="s">
        <v>251</v>
      </c>
      <c r="J95" s="603"/>
    </row>
    <row r="96" spans="2:10" x14ac:dyDescent="0.25">
      <c r="B96" s="598"/>
      <c r="C96" s="605"/>
      <c r="D96" s="211"/>
      <c r="E96" s="598"/>
      <c r="F96" s="601"/>
      <c r="G96" s="213">
        <v>1255.74</v>
      </c>
      <c r="H96" s="215">
        <f>E94*G96*365/1000</f>
        <v>357509.17800000001</v>
      </c>
      <c r="I96" s="215">
        <v>21</v>
      </c>
      <c r="J96" s="604"/>
    </row>
    <row r="97" spans="2:10" ht="15" customHeight="1" x14ac:dyDescent="0.25">
      <c r="B97" s="596">
        <v>2019</v>
      </c>
      <c r="C97" s="211" t="s">
        <v>245</v>
      </c>
      <c r="D97" s="211" t="s">
        <v>246</v>
      </c>
      <c r="E97" s="596">
        <f t="shared" ref="E97" si="56">F97*4</f>
        <v>400</v>
      </c>
      <c r="F97" s="599">
        <f>N26</f>
        <v>100</v>
      </c>
      <c r="G97" s="213">
        <f>0.62</f>
        <v>0.62</v>
      </c>
      <c r="H97" s="213">
        <f>E97*G97*0.3*365</f>
        <v>27155.999999999996</v>
      </c>
      <c r="I97" s="213">
        <v>2.58</v>
      </c>
      <c r="J97" s="602">
        <f>(H97*I97/1000)+(H99*I99/1000)</f>
        <v>3920.1613200000002</v>
      </c>
    </row>
    <row r="98" spans="2:10" ht="45" customHeight="1" x14ac:dyDescent="0.25">
      <c r="B98" s="597"/>
      <c r="C98" s="605" t="s">
        <v>247</v>
      </c>
      <c r="D98" s="211" t="s">
        <v>248</v>
      </c>
      <c r="E98" s="597"/>
      <c r="F98" s="600"/>
      <c r="G98" s="216" t="s">
        <v>249</v>
      </c>
      <c r="H98" s="210" t="s">
        <v>250</v>
      </c>
      <c r="I98" s="216" t="s">
        <v>251</v>
      </c>
      <c r="J98" s="603"/>
    </row>
    <row r="99" spans="2:10" x14ac:dyDescent="0.25">
      <c r="B99" s="598"/>
      <c r="C99" s="605"/>
      <c r="D99" s="211"/>
      <c r="E99" s="598"/>
      <c r="F99" s="601"/>
      <c r="G99" s="213">
        <v>1255.74</v>
      </c>
      <c r="H99" s="215">
        <f>E97*G99*365/1000</f>
        <v>183338.04</v>
      </c>
      <c r="I99" s="215">
        <v>21</v>
      </c>
      <c r="J99" s="604"/>
    </row>
  </sheetData>
  <mergeCells count="128">
    <mergeCell ref="A59:A61"/>
    <mergeCell ref="B59:B61"/>
    <mergeCell ref="T29:T31"/>
    <mergeCell ref="B29:B31"/>
    <mergeCell ref="A29:A31"/>
    <mergeCell ref="D29:D31"/>
    <mergeCell ref="Q29:Q31"/>
    <mergeCell ref="R29:R31"/>
    <mergeCell ref="A56:A58"/>
    <mergeCell ref="B56:B58"/>
    <mergeCell ref="B51:B53"/>
    <mergeCell ref="Q51:Q53"/>
    <mergeCell ref="R51:R53"/>
    <mergeCell ref="T51:T53"/>
    <mergeCell ref="A55:O55"/>
    <mergeCell ref="A51:A53"/>
    <mergeCell ref="T26:T28"/>
    <mergeCell ref="A11:A13"/>
    <mergeCell ref="A23:A25"/>
    <mergeCell ref="T11:T13"/>
    <mergeCell ref="T23:T25"/>
    <mergeCell ref="B11:B13"/>
    <mergeCell ref="B23:B25"/>
    <mergeCell ref="A26:A28"/>
    <mergeCell ref="D23:D25"/>
    <mergeCell ref="A14:A16"/>
    <mergeCell ref="B14:B16"/>
    <mergeCell ref="D14:D16"/>
    <mergeCell ref="Q14:Q16"/>
    <mergeCell ref="R14:R16"/>
    <mergeCell ref="T14:T16"/>
    <mergeCell ref="Q11:Q13"/>
    <mergeCell ref="R11:R13"/>
    <mergeCell ref="B26:B28"/>
    <mergeCell ref="R26:R28"/>
    <mergeCell ref="Q23:Q25"/>
    <mergeCell ref="Q26:Q28"/>
    <mergeCell ref="R23:R25"/>
    <mergeCell ref="D26:D28"/>
    <mergeCell ref="E3:O3"/>
    <mergeCell ref="A8:A10"/>
    <mergeCell ref="B8:B10"/>
    <mergeCell ref="D8:D10"/>
    <mergeCell ref="D11:D13"/>
    <mergeCell ref="A3:A4"/>
    <mergeCell ref="B3:B4"/>
    <mergeCell ref="C3:C4"/>
    <mergeCell ref="D3:D4"/>
    <mergeCell ref="A5:A7"/>
    <mergeCell ref="B5:B7"/>
    <mergeCell ref="D5:D7"/>
    <mergeCell ref="T8:T10"/>
    <mergeCell ref="U3:AD3"/>
    <mergeCell ref="Q3:Q4"/>
    <mergeCell ref="R3:R4"/>
    <mergeCell ref="S3:S4"/>
    <mergeCell ref="T3:T4"/>
    <mergeCell ref="Q5:Q7"/>
    <mergeCell ref="R5:R7"/>
    <mergeCell ref="T5:T7"/>
    <mergeCell ref="Q8:Q10"/>
    <mergeCell ref="R8:R10"/>
    <mergeCell ref="B73:B75"/>
    <mergeCell ref="F73:F75"/>
    <mergeCell ref="J73:J75"/>
    <mergeCell ref="C74:C75"/>
    <mergeCell ref="B70:B72"/>
    <mergeCell ref="F70:F72"/>
    <mergeCell ref="J70:J72"/>
    <mergeCell ref="C71:C72"/>
    <mergeCell ref="C34:C50"/>
    <mergeCell ref="D34:D50"/>
    <mergeCell ref="E34:E50"/>
    <mergeCell ref="E70:E72"/>
    <mergeCell ref="D71:D72"/>
    <mergeCell ref="E73:E75"/>
    <mergeCell ref="D74:D75"/>
    <mergeCell ref="D51:D53"/>
    <mergeCell ref="B79:B81"/>
    <mergeCell ref="F79:F81"/>
    <mergeCell ref="J79:J81"/>
    <mergeCell ref="C80:C81"/>
    <mergeCell ref="E79:E81"/>
    <mergeCell ref="B76:B78"/>
    <mergeCell ref="F76:F78"/>
    <mergeCell ref="J76:J78"/>
    <mergeCell ref="C77:C78"/>
    <mergeCell ref="E76:E78"/>
    <mergeCell ref="B85:B87"/>
    <mergeCell ref="F85:F87"/>
    <mergeCell ref="J85:J87"/>
    <mergeCell ref="C86:C87"/>
    <mergeCell ref="E85:E87"/>
    <mergeCell ref="B82:B84"/>
    <mergeCell ref="F82:F84"/>
    <mergeCell ref="J82:J84"/>
    <mergeCell ref="C83:C84"/>
    <mergeCell ref="E82:E84"/>
    <mergeCell ref="B97:B99"/>
    <mergeCell ref="F97:F99"/>
    <mergeCell ref="J97:J99"/>
    <mergeCell ref="C98:C99"/>
    <mergeCell ref="E97:E99"/>
    <mergeCell ref="B94:B96"/>
    <mergeCell ref="F94:F96"/>
    <mergeCell ref="J94:J96"/>
    <mergeCell ref="C95:C96"/>
    <mergeCell ref="E94:E96"/>
    <mergeCell ref="B91:B93"/>
    <mergeCell ref="F91:F93"/>
    <mergeCell ref="J91:J93"/>
    <mergeCell ref="C92:C93"/>
    <mergeCell ref="E91:E93"/>
    <mergeCell ref="B88:B90"/>
    <mergeCell ref="F88:F90"/>
    <mergeCell ref="J88:J90"/>
    <mergeCell ref="C89:C90"/>
    <mergeCell ref="E88:E90"/>
    <mergeCell ref="B17:B19"/>
    <mergeCell ref="A17:A19"/>
    <mergeCell ref="A20:A22"/>
    <mergeCell ref="B20:B22"/>
    <mergeCell ref="Q17:Q19"/>
    <mergeCell ref="Q20:Q22"/>
    <mergeCell ref="T17:T19"/>
    <mergeCell ref="D17:D19"/>
    <mergeCell ref="D20:D22"/>
    <mergeCell ref="T20:T2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16.5703125" customWidth="1"/>
    <col min="2" max="6" width="9.85546875" customWidth="1"/>
    <col min="7" max="7" width="3.5703125" customWidth="1"/>
    <col min="8" max="8" width="5.42578125" customWidth="1"/>
    <col min="9" max="10" width="9.85546875" customWidth="1"/>
    <col min="11" max="11" width="16.5703125" customWidth="1"/>
  </cols>
  <sheetData>
    <row r="1" spans="1:16" x14ac:dyDescent="0.25">
      <c r="A1" t="s">
        <v>397</v>
      </c>
    </row>
    <row r="2" spans="1:16" s="119" customFormat="1" ht="47.25" customHeight="1" x14ac:dyDescent="0.25">
      <c r="A2" s="292" t="s">
        <v>104</v>
      </c>
      <c r="B2" s="685" t="s">
        <v>178</v>
      </c>
      <c r="C2" s="686"/>
      <c r="D2" s="686"/>
      <c r="E2" s="686"/>
      <c r="F2" s="119" t="s">
        <v>106</v>
      </c>
      <c r="H2" s="74" t="s">
        <v>107</v>
      </c>
      <c r="I2" s="99" t="s">
        <v>108</v>
      </c>
      <c r="J2" s="99" t="s">
        <v>20</v>
      </c>
      <c r="K2" s="99" t="s">
        <v>21</v>
      </c>
      <c r="L2" s="113" t="s">
        <v>109</v>
      </c>
      <c r="M2" s="429" t="s">
        <v>110</v>
      </c>
      <c r="N2" s="430" t="s">
        <v>111</v>
      </c>
      <c r="O2" s="429" t="s">
        <v>112</v>
      </c>
      <c r="P2" s="431" t="s">
        <v>28</v>
      </c>
    </row>
    <row r="3" spans="1:16" s="421" customFormat="1" ht="60" hidden="1" x14ac:dyDescent="0.25">
      <c r="A3" s="422" t="s">
        <v>415</v>
      </c>
      <c r="B3" s="422">
        <v>2018</v>
      </c>
      <c r="C3" s="422">
        <v>0.4</v>
      </c>
      <c r="D3" s="422" t="s">
        <v>114</v>
      </c>
      <c r="E3" s="422"/>
      <c r="F3" s="120"/>
      <c r="G3" s="427"/>
      <c r="H3" s="423"/>
      <c r="I3" s="104" t="s">
        <v>178</v>
      </c>
      <c r="J3" s="417" t="s">
        <v>116</v>
      </c>
      <c r="K3" s="417" t="s">
        <v>117</v>
      </c>
      <c r="L3" s="424">
        <f>C3</f>
        <v>0.4</v>
      </c>
      <c r="M3" s="417">
        <v>6131</v>
      </c>
      <c r="N3" s="417">
        <f>L3*M3</f>
        <v>2452.4</v>
      </c>
      <c r="O3" s="425">
        <v>0.70599999999999996</v>
      </c>
      <c r="P3" s="426">
        <f>N3*O3</f>
        <v>1731.3943999999999</v>
      </c>
    </row>
    <row r="4" spans="1:16" ht="60" x14ac:dyDescent="0.25">
      <c r="A4" s="73" t="s">
        <v>307</v>
      </c>
      <c r="B4" s="73"/>
      <c r="C4" s="73">
        <v>10</v>
      </c>
      <c r="D4" s="73" t="s">
        <v>114</v>
      </c>
      <c r="E4" s="138">
        <f>P4</f>
        <v>43291.919999999991</v>
      </c>
      <c r="F4" s="73"/>
      <c r="G4" s="428"/>
      <c r="H4" s="73"/>
      <c r="I4" s="104" t="s">
        <v>178</v>
      </c>
      <c r="J4" s="417" t="s">
        <v>116</v>
      </c>
      <c r="K4" s="417" t="s">
        <v>117</v>
      </c>
      <c r="L4" s="417">
        <v>10</v>
      </c>
      <c r="M4" s="417">
        <v>6131.9999999999991</v>
      </c>
      <c r="N4" s="417">
        <f>L4*M4</f>
        <v>61319.999999999993</v>
      </c>
      <c r="O4" s="425">
        <v>0.70599999999999996</v>
      </c>
      <c r="P4" s="426">
        <f>N4*O4</f>
        <v>43291.919999999991</v>
      </c>
    </row>
    <row r="5" spans="1:16" ht="60" x14ac:dyDescent="0.25">
      <c r="A5" s="133" t="s">
        <v>306</v>
      </c>
      <c r="B5" s="133">
        <v>2019</v>
      </c>
      <c r="C5" s="135">
        <v>10</v>
      </c>
      <c r="D5" s="135" t="s">
        <v>114</v>
      </c>
      <c r="E5" s="138">
        <f>P5</f>
        <v>43291.919999999991</v>
      </c>
      <c r="F5" s="120">
        <v>8.4</v>
      </c>
      <c r="G5" s="427"/>
      <c r="H5" s="417">
        <v>1</v>
      </c>
      <c r="I5" s="104" t="s">
        <v>178</v>
      </c>
      <c r="J5" s="417" t="s">
        <v>116</v>
      </c>
      <c r="K5" s="417" t="s">
        <v>117</v>
      </c>
      <c r="L5" s="417">
        <v>10</v>
      </c>
      <c r="M5" s="417">
        <v>6131.9999999999991</v>
      </c>
      <c r="N5" s="417">
        <f>L5*M5</f>
        <v>61319.999999999993</v>
      </c>
      <c r="O5" s="425">
        <v>0.70599999999999996</v>
      </c>
      <c r="P5" s="426">
        <f>N5*O5</f>
        <v>43291.919999999991</v>
      </c>
    </row>
    <row r="6" spans="1:16" s="91" customFormat="1" ht="60" x14ac:dyDescent="0.25">
      <c r="A6" s="133" t="s">
        <v>308</v>
      </c>
      <c r="B6" s="133">
        <v>2019</v>
      </c>
      <c r="C6" s="135">
        <v>10</v>
      </c>
      <c r="D6" s="135" t="s">
        <v>114</v>
      </c>
      <c r="E6" s="138">
        <f>P6</f>
        <v>43291.919999999991</v>
      </c>
      <c r="F6" s="120">
        <v>8.4</v>
      </c>
      <c r="G6" s="427"/>
      <c r="H6" s="417">
        <v>1</v>
      </c>
      <c r="I6" s="104" t="s">
        <v>178</v>
      </c>
      <c r="J6" s="417" t="s">
        <v>116</v>
      </c>
      <c r="K6" s="417" t="s">
        <v>117</v>
      </c>
      <c r="L6" s="417">
        <v>10</v>
      </c>
      <c r="M6" s="417">
        <v>6131.9999999999991</v>
      </c>
      <c r="N6" s="417">
        <f>L6*M6</f>
        <v>61319.999999999993</v>
      </c>
      <c r="O6" s="425">
        <v>0.70599999999999996</v>
      </c>
      <c r="P6" s="426">
        <f>N6*O6</f>
        <v>43291.919999999991</v>
      </c>
    </row>
    <row r="7" spans="1:16" s="91" customFormat="1" ht="60" x14ac:dyDescent="0.25">
      <c r="A7" s="133" t="s">
        <v>309</v>
      </c>
      <c r="B7" s="133">
        <v>2019</v>
      </c>
      <c r="C7" s="135">
        <v>10</v>
      </c>
      <c r="D7" s="135" t="s">
        <v>114</v>
      </c>
      <c r="E7" s="138">
        <f>P7</f>
        <v>43291.919999999991</v>
      </c>
      <c r="F7" s="120">
        <v>8.4</v>
      </c>
      <c r="G7" s="427"/>
      <c r="H7" s="417">
        <v>1</v>
      </c>
      <c r="I7" s="104" t="s">
        <v>178</v>
      </c>
      <c r="J7" s="417" t="s">
        <v>116</v>
      </c>
      <c r="K7" s="417" t="s">
        <v>117</v>
      </c>
      <c r="L7" s="417">
        <v>10</v>
      </c>
      <c r="M7" s="417">
        <v>6131.9999999999991</v>
      </c>
      <c r="N7" s="417">
        <f>L7*M7</f>
        <v>61319.999999999993</v>
      </c>
      <c r="O7" s="425">
        <v>0.70599999999999996</v>
      </c>
      <c r="P7" s="426">
        <f>N7*O7</f>
        <v>43291.919999999991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opLeftCell="A54" zoomScale="70" zoomScaleNormal="70" workbookViewId="0">
      <selection activeCell="K81" sqref="K81:K101"/>
    </sheetView>
  </sheetViews>
  <sheetFormatPr defaultRowHeight="15" x14ac:dyDescent="0.25"/>
  <cols>
    <col min="1" max="6" width="24" style="119" customWidth="1"/>
    <col min="7" max="8" width="9.140625" style="119"/>
    <col min="9" max="9" width="11.7109375" style="119" bestFit="1" customWidth="1"/>
    <col min="10" max="10" width="9.140625" style="119"/>
    <col min="11" max="11" width="10.140625" style="119" bestFit="1" customWidth="1"/>
    <col min="12" max="17" width="9.140625" style="119"/>
    <col min="18" max="18" width="18.140625" style="119" customWidth="1"/>
    <col min="19" max="30" width="11.85546875" style="119" customWidth="1"/>
    <col min="31" max="16384" width="9.140625" style="119"/>
  </cols>
  <sheetData>
    <row r="1" spans="1:31" x14ac:dyDescent="0.25">
      <c r="A1" s="613" t="s">
        <v>1</v>
      </c>
      <c r="B1" s="613" t="s">
        <v>2</v>
      </c>
      <c r="C1" s="609" t="s">
        <v>3</v>
      </c>
      <c r="D1" s="609" t="s">
        <v>4</v>
      </c>
      <c r="E1" s="613" t="s">
        <v>5</v>
      </c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91"/>
      <c r="Q1" s="609" t="s">
        <v>1</v>
      </c>
      <c r="R1" s="609" t="s">
        <v>2</v>
      </c>
      <c r="S1" s="609" t="s">
        <v>3</v>
      </c>
      <c r="T1" s="609" t="s">
        <v>4</v>
      </c>
      <c r="U1" s="609" t="s">
        <v>5</v>
      </c>
      <c r="V1" s="609"/>
      <c r="W1" s="609"/>
      <c r="X1" s="609"/>
      <c r="Y1" s="609"/>
      <c r="Z1" s="609"/>
      <c r="AA1" s="609"/>
      <c r="AB1" s="609"/>
      <c r="AC1" s="609"/>
      <c r="AD1" s="609"/>
    </row>
    <row r="2" spans="1:31" x14ac:dyDescent="0.25">
      <c r="A2" s="613"/>
      <c r="B2" s="613"/>
      <c r="C2" s="609"/>
      <c r="D2" s="609"/>
      <c r="E2" s="289">
        <v>2010</v>
      </c>
      <c r="F2" s="289">
        <v>2011</v>
      </c>
      <c r="G2" s="289">
        <v>2012</v>
      </c>
      <c r="H2" s="289">
        <v>2013</v>
      </c>
      <c r="I2" s="289">
        <v>2014</v>
      </c>
      <c r="J2" s="289">
        <v>2015</v>
      </c>
      <c r="K2" s="289">
        <v>2016</v>
      </c>
      <c r="L2" s="205">
        <v>2017</v>
      </c>
      <c r="M2" s="289">
        <v>2018</v>
      </c>
      <c r="N2" s="289">
        <v>2019</v>
      </c>
      <c r="O2" s="289">
        <v>2020</v>
      </c>
      <c r="P2" s="91"/>
      <c r="Q2" s="609"/>
      <c r="R2" s="609"/>
      <c r="S2" s="609"/>
      <c r="T2" s="609"/>
      <c r="U2" s="290">
        <v>2021</v>
      </c>
      <c r="V2" s="290">
        <v>2022</v>
      </c>
      <c r="W2" s="290">
        <v>2023</v>
      </c>
      <c r="X2" s="290">
        <v>2024</v>
      </c>
      <c r="Y2" s="290">
        <v>2025</v>
      </c>
      <c r="Z2" s="290">
        <v>2026</v>
      </c>
      <c r="AA2" s="290">
        <v>2027</v>
      </c>
      <c r="AB2" s="290">
        <v>2028</v>
      </c>
      <c r="AC2" s="290">
        <v>2029</v>
      </c>
      <c r="AD2" s="290">
        <v>2030</v>
      </c>
    </row>
    <row r="3" spans="1:31" s="315" customFormat="1" ht="18" customHeight="1" x14ac:dyDescent="0.25">
      <c r="A3" s="697">
        <f>'tabel lanscape+Hitungan biogas '!A56</f>
        <v>8</v>
      </c>
      <c r="B3" s="697" t="str">
        <f>'tabel lanscape+Hitungan biogas '!B56</f>
        <v>Efisiensi Energi untuk Sistem PJU</v>
      </c>
      <c r="C3" s="314" t="str">
        <f>'tabel lanscape+Hitungan biogas '!C56</f>
        <v>Jumlah PJU dengan lampu LED (JALAN UMUM)</v>
      </c>
      <c r="D3" s="697" t="str">
        <f>'tabel lanscape+Hitungan biogas '!D56</f>
        <v>APBN/ APBD Provinsi</v>
      </c>
      <c r="E3" s="314">
        <f>'tabel lanscape+Hitungan biogas '!E56</f>
        <v>0</v>
      </c>
      <c r="F3" s="314">
        <f>'tabel lanscape+Hitungan biogas '!F56</f>
        <v>218</v>
      </c>
      <c r="G3" s="314">
        <f>'tabel lanscape+Hitungan biogas '!G56</f>
        <v>219</v>
      </c>
      <c r="H3" s="314">
        <f>'tabel lanscape+Hitungan biogas '!H56</f>
        <v>219</v>
      </c>
      <c r="I3" s="314">
        <f>'tabel lanscape+Hitungan biogas '!I56</f>
        <v>220</v>
      </c>
      <c r="J3" s="314">
        <f>'tabel lanscape+Hitungan biogas '!J56</f>
        <v>220</v>
      </c>
      <c r="K3" s="314">
        <f>'tabel lanscape+Hitungan biogas '!K56</f>
        <v>220</v>
      </c>
      <c r="L3" s="314">
        <f>'tabel lanscape+Hitungan biogas '!L56</f>
        <v>220</v>
      </c>
      <c r="M3" s="314">
        <f>'tabel lanscape+Hitungan biogas '!M56</f>
        <v>221</v>
      </c>
      <c r="N3" s="314">
        <f>'tabel lanscape+Hitungan biogas '!N56</f>
        <v>221</v>
      </c>
      <c r="O3" s="314">
        <f>'tabel lanscape+Hitungan biogas '!O56</f>
        <v>221</v>
      </c>
      <c r="Q3" s="697">
        <f>'tabel lanscape+Hitungan biogas '!Q56</f>
        <v>9</v>
      </c>
      <c r="R3" s="697" t="str">
        <f>'tabel lanscape+Hitungan biogas '!R56</f>
        <v>Efisiensi Energi untuk Sistem PJU</v>
      </c>
      <c r="S3" s="314" t="str">
        <f>'tabel lanscape+Hitungan biogas '!S56</f>
        <v>Jumlah PJU dengan lampu LED (JALAN UMUM)</v>
      </c>
      <c r="T3" s="697" t="str">
        <f>'tabel lanscape+Hitungan biogas '!T56</f>
        <v>APBN/ APBD Provinsi</v>
      </c>
      <c r="U3" s="314">
        <f>'tabel lanscape+Hitungan biogas '!U56</f>
        <v>221</v>
      </c>
      <c r="V3" s="314">
        <f>'tabel lanscape+Hitungan biogas '!V56</f>
        <v>221</v>
      </c>
      <c r="W3" s="314">
        <f>'tabel lanscape+Hitungan biogas '!W56</f>
        <v>221</v>
      </c>
      <c r="X3" s="314">
        <f>'tabel lanscape+Hitungan biogas '!X56</f>
        <v>221</v>
      </c>
      <c r="Y3" s="314">
        <f>'tabel lanscape+Hitungan biogas '!Y56</f>
        <v>221</v>
      </c>
      <c r="Z3" s="314">
        <f>'tabel lanscape+Hitungan biogas '!Z56</f>
        <v>221</v>
      </c>
      <c r="AA3" s="314">
        <f>'tabel lanscape+Hitungan biogas '!AA56</f>
        <v>221</v>
      </c>
      <c r="AB3" s="314">
        <f>'tabel lanscape+Hitungan biogas '!AB56</f>
        <v>221</v>
      </c>
      <c r="AC3" s="314">
        <f>'tabel lanscape+Hitungan biogas '!AC56</f>
        <v>221</v>
      </c>
      <c r="AD3" s="314">
        <f>'tabel lanscape+Hitungan biogas '!AD56</f>
        <v>221</v>
      </c>
    </row>
    <row r="4" spans="1:31" s="315" customFormat="1" ht="18" customHeight="1" x14ac:dyDescent="0.25">
      <c r="A4" s="697"/>
      <c r="B4" s="697"/>
      <c r="C4" s="314" t="str">
        <f>'tabel lanscape+Hitungan biogas '!C57</f>
        <v>Indikasi Pembiayaan (Ribu Rupiah)</v>
      </c>
      <c r="D4" s="697"/>
      <c r="E4" s="314">
        <f>'tabel lanscape+Hitungan biogas '!E57</f>
        <v>0</v>
      </c>
      <c r="F4" s="448">
        <f>'tabel lanscape+Hitungan biogas '!F57</f>
        <v>392400</v>
      </c>
      <c r="G4" s="314">
        <f>'tabel lanscape+Hitungan biogas '!G57</f>
        <v>394200</v>
      </c>
      <c r="H4" s="314">
        <f>'tabel lanscape+Hitungan biogas '!H57</f>
        <v>394200</v>
      </c>
      <c r="I4" s="314">
        <f>'tabel lanscape+Hitungan biogas '!I57</f>
        <v>396000</v>
      </c>
      <c r="J4" s="314">
        <f>'tabel lanscape+Hitungan biogas '!J57</f>
        <v>396000</v>
      </c>
      <c r="K4" s="314">
        <f>'tabel lanscape+Hitungan biogas '!K57</f>
        <v>396000</v>
      </c>
      <c r="L4" s="314">
        <f>'tabel lanscape+Hitungan biogas '!L57</f>
        <v>396000</v>
      </c>
      <c r="M4" s="314">
        <f>'tabel lanscape+Hitungan biogas '!M57</f>
        <v>397800</v>
      </c>
      <c r="N4" s="314">
        <f>'tabel lanscape+Hitungan biogas '!N57</f>
        <v>397800</v>
      </c>
      <c r="O4" s="314">
        <f>'tabel lanscape+Hitungan biogas '!O57</f>
        <v>397800</v>
      </c>
      <c r="Q4" s="697"/>
      <c r="R4" s="697"/>
      <c r="S4" s="314" t="str">
        <f>'tabel lanscape+Hitungan biogas '!S57</f>
        <v>Indikasi Pembiayaan (Ribu Rupiah)</v>
      </c>
      <c r="T4" s="697"/>
      <c r="U4" s="314">
        <f>'tabel lanscape+Hitungan biogas '!U57</f>
        <v>397800</v>
      </c>
      <c r="V4" s="314">
        <f>'tabel lanscape+Hitungan biogas '!V57</f>
        <v>397800</v>
      </c>
      <c r="W4" s="314">
        <f>'tabel lanscape+Hitungan biogas '!W57</f>
        <v>397800</v>
      </c>
      <c r="X4" s="314">
        <f>'tabel lanscape+Hitungan biogas '!X57</f>
        <v>397800</v>
      </c>
      <c r="Y4" s="314">
        <f>'tabel lanscape+Hitungan biogas '!Y57</f>
        <v>397800</v>
      </c>
      <c r="Z4" s="314">
        <f>'tabel lanscape+Hitungan biogas '!Z57</f>
        <v>397800</v>
      </c>
      <c r="AA4" s="314">
        <f>'tabel lanscape+Hitungan biogas '!AA57</f>
        <v>397800</v>
      </c>
      <c r="AB4" s="314">
        <f>'tabel lanscape+Hitungan biogas '!AB57</f>
        <v>397800</v>
      </c>
      <c r="AC4" s="314">
        <f>'tabel lanscape+Hitungan biogas '!AC57</f>
        <v>397800</v>
      </c>
      <c r="AD4" s="314">
        <f>'tabel lanscape+Hitungan biogas '!AD57</f>
        <v>397800</v>
      </c>
    </row>
    <row r="5" spans="1:31" s="315" customFormat="1" ht="18" customHeight="1" x14ac:dyDescent="0.25">
      <c r="A5" s="697"/>
      <c r="B5" s="697"/>
      <c r="C5" s="314" t="str">
        <f>'tabel lanscape+Hitungan biogas '!C58</f>
        <v>Penurunan Emisi (ton CO2eq)</v>
      </c>
      <c r="D5" s="697"/>
      <c r="E5" s="314">
        <f>'tabel lanscape+Hitungan biogas '!E58</f>
        <v>0</v>
      </c>
      <c r="F5" s="314">
        <f>'tabel lanscape+Hitungan biogas '!F58</f>
        <v>28187.4</v>
      </c>
      <c r="G5" s="314">
        <f>'tabel lanscape+Hitungan biogas '!G58</f>
        <v>28316.7</v>
      </c>
      <c r="H5" s="314">
        <f>'tabel lanscape+Hitungan biogas '!H58</f>
        <v>28316.7</v>
      </c>
      <c r="I5" s="314">
        <f>'tabel lanscape+Hitungan biogas '!I58</f>
        <v>28446.000000000004</v>
      </c>
      <c r="J5" s="314">
        <f>'tabel lanscape+Hitungan biogas '!J58</f>
        <v>28446.000000000004</v>
      </c>
      <c r="K5" s="314">
        <f>'tabel lanscape+Hitungan biogas '!K58</f>
        <v>28446.000000000004</v>
      </c>
      <c r="L5" s="314">
        <f>'tabel lanscape+Hitungan biogas '!L58</f>
        <v>28446</v>
      </c>
      <c r="M5" s="314">
        <f>'tabel lanscape+Hitungan biogas '!M58</f>
        <v>28575.300000000003</v>
      </c>
      <c r="N5" s="314">
        <f>'tabel lanscape+Hitungan biogas '!N58</f>
        <v>28575.300000000003</v>
      </c>
      <c r="O5" s="314">
        <f>'tabel lanscape+Hitungan biogas '!O58</f>
        <v>28575.300000000003</v>
      </c>
      <c r="Q5" s="697"/>
      <c r="R5" s="697"/>
      <c r="S5" s="314" t="str">
        <f>'tabel lanscape+Hitungan biogas '!S58</f>
        <v>Penurunan Emisi (ton CO2eq)</v>
      </c>
      <c r="T5" s="697"/>
      <c r="U5" s="314">
        <f>'tabel lanscape+Hitungan biogas '!U58</f>
        <v>28575.300000000003</v>
      </c>
      <c r="V5" s="314">
        <f>'tabel lanscape+Hitungan biogas '!V58</f>
        <v>28575.300000000003</v>
      </c>
      <c r="W5" s="314">
        <f>'tabel lanscape+Hitungan biogas '!W58</f>
        <v>28575.300000000003</v>
      </c>
      <c r="X5" s="314">
        <f>'tabel lanscape+Hitungan biogas '!X58</f>
        <v>28575.300000000003</v>
      </c>
      <c r="Y5" s="314">
        <f>'tabel lanscape+Hitungan biogas '!Y58</f>
        <v>28575.300000000003</v>
      </c>
      <c r="Z5" s="314">
        <f>'tabel lanscape+Hitungan biogas '!Z58</f>
        <v>28575.300000000003</v>
      </c>
      <c r="AA5" s="314">
        <f>'tabel lanscape+Hitungan biogas '!AA58</f>
        <v>28575.300000000003</v>
      </c>
      <c r="AB5" s="314">
        <f>'tabel lanscape+Hitungan biogas '!AB58</f>
        <v>28575.300000000003</v>
      </c>
      <c r="AC5" s="314">
        <f>'tabel lanscape+Hitungan biogas '!AC58</f>
        <v>28575.300000000003</v>
      </c>
      <c r="AD5" s="314">
        <f>'tabel lanscape+Hitungan biogas '!AD58</f>
        <v>28575.300000000003</v>
      </c>
    </row>
    <row r="6" spans="1:31" s="315" customFormat="1" ht="18" customHeight="1" x14ac:dyDescent="0.25">
      <c r="A6" s="697">
        <f>'tabel lanscape+Hitungan biogas '!A59</f>
        <v>9</v>
      </c>
      <c r="B6" s="697" t="str">
        <f>'tabel lanscape+Hitungan biogas '!B59</f>
        <v>Efisiensi Energi untuk Sistem PJU</v>
      </c>
      <c r="C6" s="314" t="str">
        <f>'tabel lanscape+Hitungan biogas '!C59</f>
        <v>Jumlah PJU dengan lampu LED (JALAN LINGKUNGAN)</v>
      </c>
      <c r="D6" s="697" t="str">
        <f>'tabel lanscape+Hitungan biogas '!D59</f>
        <v>APBN/ APBD Provinsi</v>
      </c>
      <c r="E6" s="314">
        <f>'tabel lanscape+Hitungan biogas '!E59</f>
        <v>0</v>
      </c>
      <c r="F6" s="314">
        <f>'tabel lanscape+Hitungan biogas '!F59</f>
        <v>36</v>
      </c>
      <c r="G6" s="314">
        <f>'tabel lanscape+Hitungan biogas '!G59</f>
        <v>36</v>
      </c>
      <c r="H6" s="314">
        <f>'tabel lanscape+Hitungan biogas '!H59</f>
        <v>36</v>
      </c>
      <c r="I6" s="314">
        <f>'tabel lanscape+Hitungan biogas '!I59</f>
        <v>36</v>
      </c>
      <c r="J6" s="314">
        <f>'tabel lanscape+Hitungan biogas '!J59</f>
        <v>36</v>
      </c>
      <c r="K6" s="314">
        <f>'tabel lanscape+Hitungan biogas '!K59</f>
        <v>37</v>
      </c>
      <c r="L6" s="314">
        <f>'tabel lanscape+Hitungan biogas '!L59</f>
        <v>37</v>
      </c>
      <c r="M6" s="314">
        <f>'tabel lanscape+Hitungan biogas '!M59</f>
        <v>37</v>
      </c>
      <c r="N6" s="314">
        <f>'tabel lanscape+Hitungan biogas '!N59</f>
        <v>37</v>
      </c>
      <c r="O6" s="314">
        <f>'tabel lanscape+Hitungan biogas '!O59</f>
        <v>37</v>
      </c>
      <c r="Q6" s="697">
        <f>'tabel lanscape+Hitungan biogas '!Q59</f>
        <v>9</v>
      </c>
      <c r="R6" s="697" t="str">
        <f>'tabel lanscape+Hitungan biogas '!R59</f>
        <v>Efisiensi Energi untuk Sistem PJU</v>
      </c>
      <c r="S6" s="314" t="str">
        <f>'tabel lanscape+Hitungan biogas '!S59</f>
        <v>Jumlah PJU dengan lampu LED (JALAN LINGKUNGAN)</v>
      </c>
      <c r="T6" s="697" t="str">
        <f>'tabel lanscape+Hitungan biogas '!T59</f>
        <v>APBN/ APBD Provinsi</v>
      </c>
      <c r="U6" s="314">
        <f>'tabel lanscape+Hitungan biogas '!U59</f>
        <v>37</v>
      </c>
      <c r="V6" s="314">
        <f>'tabel lanscape+Hitungan biogas '!V59</f>
        <v>37</v>
      </c>
      <c r="W6" s="314">
        <f>'tabel lanscape+Hitungan biogas '!W59</f>
        <v>37</v>
      </c>
      <c r="X6" s="314">
        <f>'tabel lanscape+Hitungan biogas '!X59</f>
        <v>37</v>
      </c>
      <c r="Y6" s="314">
        <f>'tabel lanscape+Hitungan biogas '!Y59</f>
        <v>37</v>
      </c>
      <c r="Z6" s="314">
        <f>'tabel lanscape+Hitungan biogas '!Z59</f>
        <v>37</v>
      </c>
      <c r="AA6" s="314">
        <f>'tabel lanscape+Hitungan biogas '!AA59</f>
        <v>37</v>
      </c>
      <c r="AB6" s="314">
        <f>'tabel lanscape+Hitungan biogas '!AB59</f>
        <v>37</v>
      </c>
      <c r="AC6" s="314">
        <f>'tabel lanscape+Hitungan biogas '!AC59</f>
        <v>37</v>
      </c>
      <c r="AD6" s="314">
        <f>'tabel lanscape+Hitungan biogas '!AD59</f>
        <v>37</v>
      </c>
    </row>
    <row r="7" spans="1:31" s="315" customFormat="1" ht="18" customHeight="1" x14ac:dyDescent="0.25">
      <c r="A7" s="697"/>
      <c r="B7" s="697"/>
      <c r="C7" s="314" t="str">
        <f>'tabel lanscape+Hitungan biogas '!C60</f>
        <v>Indikasi Pembiayaan (Ribu Rupiah)</v>
      </c>
      <c r="D7" s="697"/>
      <c r="E7" s="314">
        <f>'tabel lanscape+Hitungan biogas '!E60</f>
        <v>0</v>
      </c>
      <c r="F7" s="314">
        <f>'tabel lanscape+Hitungan biogas '!F60</f>
        <v>36000</v>
      </c>
      <c r="G7" s="314">
        <f>'tabel lanscape+Hitungan biogas '!G60</f>
        <v>36000</v>
      </c>
      <c r="H7" s="314">
        <f>'tabel lanscape+Hitungan biogas '!H60</f>
        <v>36000</v>
      </c>
      <c r="I7" s="314">
        <f>'tabel lanscape+Hitungan biogas '!I60</f>
        <v>36000</v>
      </c>
      <c r="J7" s="314">
        <f>'tabel lanscape+Hitungan biogas '!J60</f>
        <v>36000</v>
      </c>
      <c r="K7" s="314">
        <f>'tabel lanscape+Hitungan biogas '!K60</f>
        <v>37000</v>
      </c>
      <c r="L7" s="314">
        <f>'tabel lanscape+Hitungan biogas '!L60</f>
        <v>37000</v>
      </c>
      <c r="M7" s="314">
        <f>'tabel lanscape+Hitungan biogas '!M60</f>
        <v>37000</v>
      </c>
      <c r="N7" s="314">
        <f>'tabel lanscape+Hitungan biogas '!N60</f>
        <v>37000</v>
      </c>
      <c r="O7" s="314">
        <f>'tabel lanscape+Hitungan biogas '!O60</f>
        <v>37000</v>
      </c>
      <c r="Q7" s="697"/>
      <c r="R7" s="697"/>
      <c r="S7" s="314" t="str">
        <f>'tabel lanscape+Hitungan biogas '!S60</f>
        <v>Indikasi Pembiayaan (Ribu Rupiah)</v>
      </c>
      <c r="T7" s="697"/>
      <c r="U7" s="314">
        <f>'tabel lanscape+Hitungan biogas '!U60</f>
        <v>37000</v>
      </c>
      <c r="V7" s="314">
        <f>'tabel lanscape+Hitungan biogas '!V60</f>
        <v>37000</v>
      </c>
      <c r="W7" s="314">
        <f>'tabel lanscape+Hitungan biogas '!W60</f>
        <v>37000</v>
      </c>
      <c r="X7" s="314">
        <f>'tabel lanscape+Hitungan biogas '!X60</f>
        <v>37000</v>
      </c>
      <c r="Y7" s="314">
        <f>'tabel lanscape+Hitungan biogas '!Y60</f>
        <v>37000</v>
      </c>
      <c r="Z7" s="314">
        <f>'tabel lanscape+Hitungan biogas '!Z60</f>
        <v>37000</v>
      </c>
      <c r="AA7" s="314">
        <f>'tabel lanscape+Hitungan biogas '!AA60</f>
        <v>37000</v>
      </c>
      <c r="AB7" s="314">
        <f>'tabel lanscape+Hitungan biogas '!AB60</f>
        <v>37000</v>
      </c>
      <c r="AC7" s="314">
        <f>'tabel lanscape+Hitungan biogas '!AC60</f>
        <v>37000</v>
      </c>
      <c r="AD7" s="314">
        <f>'tabel lanscape+Hitungan biogas '!AD60</f>
        <v>37000</v>
      </c>
    </row>
    <row r="8" spans="1:31" s="315" customFormat="1" ht="18" customHeight="1" x14ac:dyDescent="0.25">
      <c r="A8" s="697"/>
      <c r="B8" s="697"/>
      <c r="C8" s="314" t="str">
        <f>'tabel lanscape+Hitungan biogas '!C61</f>
        <v>Penurunan Emisi (ton CO2eq)</v>
      </c>
      <c r="D8" s="697"/>
      <c r="E8" s="314">
        <f>'tabel lanscape+Hitungan biogas '!E61</f>
        <v>0</v>
      </c>
      <c r="F8" s="314">
        <f>'tabel lanscape+Hitungan biogas '!F61</f>
        <v>3103.2000000000003</v>
      </c>
      <c r="G8" s="314">
        <f>'tabel lanscape+Hitungan biogas '!G61</f>
        <v>3103.2000000000003</v>
      </c>
      <c r="H8" s="314">
        <f>'tabel lanscape+Hitungan biogas '!H61</f>
        <v>3103.2000000000003</v>
      </c>
      <c r="I8" s="314">
        <f>'tabel lanscape+Hitungan biogas '!I61</f>
        <v>3103.2000000000003</v>
      </c>
      <c r="J8" s="314">
        <f>'tabel lanscape+Hitungan biogas '!J61</f>
        <v>3103.2000000000003</v>
      </c>
      <c r="K8" s="314">
        <f>'tabel lanscape+Hitungan biogas '!K61</f>
        <v>3189.4</v>
      </c>
      <c r="L8" s="314">
        <f>'tabel lanscape+Hitungan biogas '!L61</f>
        <v>3189.4</v>
      </c>
      <c r="M8" s="314">
        <f>'tabel lanscape+Hitungan biogas '!M61</f>
        <v>3189.4</v>
      </c>
      <c r="N8" s="314">
        <f>'tabel lanscape+Hitungan biogas '!N61</f>
        <v>3189.4</v>
      </c>
      <c r="O8" s="314">
        <f>'tabel lanscape+Hitungan biogas '!O61</f>
        <v>3189.4</v>
      </c>
      <c r="Q8" s="697"/>
      <c r="R8" s="697"/>
      <c r="S8" s="314" t="str">
        <f>'tabel lanscape+Hitungan biogas '!S61</f>
        <v>Penurunan Emisi (ton CO2eq)</v>
      </c>
      <c r="T8" s="697"/>
      <c r="U8" s="314">
        <f>'tabel lanscape+Hitungan biogas '!U61</f>
        <v>3189.4</v>
      </c>
      <c r="V8" s="314">
        <f>'tabel lanscape+Hitungan biogas '!V61</f>
        <v>3189.4</v>
      </c>
      <c r="W8" s="314">
        <f>'tabel lanscape+Hitungan biogas '!W61</f>
        <v>3189.4</v>
      </c>
      <c r="X8" s="314">
        <f>'tabel lanscape+Hitungan biogas '!X61</f>
        <v>3189.4</v>
      </c>
      <c r="Y8" s="314">
        <f>'tabel lanscape+Hitungan biogas '!Y61</f>
        <v>3189.4</v>
      </c>
      <c r="Z8" s="314">
        <f>'tabel lanscape+Hitungan biogas '!Z61</f>
        <v>3189.4</v>
      </c>
      <c r="AA8" s="314">
        <f>'tabel lanscape+Hitungan biogas '!AA61</f>
        <v>3189.4</v>
      </c>
      <c r="AB8" s="314">
        <f>'tabel lanscape+Hitungan biogas '!AB61</f>
        <v>3189.4</v>
      </c>
      <c r="AC8" s="314">
        <f>'tabel lanscape+Hitungan biogas '!AC61</f>
        <v>3189.4</v>
      </c>
      <c r="AD8" s="314">
        <f>'tabel lanscape+Hitungan biogas '!AD61</f>
        <v>3189.4</v>
      </c>
    </row>
    <row r="9" spans="1:31" x14ac:dyDescent="0.25">
      <c r="A9" s="119" t="s">
        <v>317</v>
      </c>
    </row>
    <row r="10" spans="1:31" s="317" customFormat="1" ht="34.5" customHeight="1" x14ac:dyDescent="0.25">
      <c r="A10" s="698"/>
      <c r="B10" s="708" t="s">
        <v>55</v>
      </c>
      <c r="C10" s="316" t="s">
        <v>318</v>
      </c>
      <c r="D10" s="708" t="s">
        <v>48</v>
      </c>
      <c r="E10" s="316">
        <f>E3+E6</f>
        <v>0</v>
      </c>
      <c r="F10" s="316">
        <f t="shared" ref="F10:O10" si="0">F3+F6</f>
        <v>254</v>
      </c>
      <c r="G10" s="316">
        <f t="shared" si="0"/>
        <v>255</v>
      </c>
      <c r="H10" s="316">
        <f t="shared" si="0"/>
        <v>255</v>
      </c>
      <c r="I10" s="316">
        <f t="shared" si="0"/>
        <v>256</v>
      </c>
      <c r="J10" s="316">
        <f t="shared" si="0"/>
        <v>256</v>
      </c>
      <c r="K10" s="316">
        <f t="shared" si="0"/>
        <v>257</v>
      </c>
      <c r="L10" s="316">
        <f t="shared" si="0"/>
        <v>257</v>
      </c>
      <c r="M10" s="316">
        <f t="shared" si="0"/>
        <v>258</v>
      </c>
      <c r="N10" s="316">
        <f t="shared" si="0"/>
        <v>258</v>
      </c>
      <c r="O10" s="316">
        <f t="shared" si="0"/>
        <v>258</v>
      </c>
      <c r="Q10" s="698"/>
      <c r="R10" s="708" t="s">
        <v>55</v>
      </c>
      <c r="S10" s="316" t="s">
        <v>285</v>
      </c>
      <c r="T10" s="708" t="s">
        <v>48</v>
      </c>
      <c r="U10" s="316">
        <f>U3+U6</f>
        <v>258</v>
      </c>
      <c r="V10" s="316">
        <f t="shared" ref="V10:AE10" si="1">V3+V6</f>
        <v>258</v>
      </c>
      <c r="W10" s="316">
        <f t="shared" si="1"/>
        <v>258</v>
      </c>
      <c r="X10" s="316">
        <f t="shared" si="1"/>
        <v>258</v>
      </c>
      <c r="Y10" s="316">
        <f t="shared" si="1"/>
        <v>258</v>
      </c>
      <c r="Z10" s="316">
        <f t="shared" si="1"/>
        <v>258</v>
      </c>
      <c r="AA10" s="316">
        <f t="shared" si="1"/>
        <v>258</v>
      </c>
      <c r="AB10" s="316">
        <f t="shared" si="1"/>
        <v>258</v>
      </c>
      <c r="AC10" s="316">
        <f t="shared" si="1"/>
        <v>258</v>
      </c>
      <c r="AD10" s="316">
        <f t="shared" si="1"/>
        <v>258</v>
      </c>
      <c r="AE10" s="317">
        <f t="shared" si="1"/>
        <v>0</v>
      </c>
    </row>
    <row r="11" spans="1:31" s="317" customFormat="1" ht="34.5" customHeight="1" x14ac:dyDescent="0.25">
      <c r="A11" s="699"/>
      <c r="B11" s="708"/>
      <c r="C11" s="316" t="s">
        <v>6</v>
      </c>
      <c r="D11" s="708"/>
      <c r="E11" s="316">
        <f t="shared" ref="E11:O12" si="2">E4+E7</f>
        <v>0</v>
      </c>
      <c r="F11" s="316">
        <f>F4+F7</f>
        <v>428400</v>
      </c>
      <c r="G11" s="316">
        <f t="shared" si="2"/>
        <v>430200</v>
      </c>
      <c r="H11" s="316">
        <f t="shared" si="2"/>
        <v>430200</v>
      </c>
      <c r="I11" s="316">
        <f t="shared" si="2"/>
        <v>432000</v>
      </c>
      <c r="J11" s="316">
        <f t="shared" si="2"/>
        <v>432000</v>
      </c>
      <c r="K11" s="316">
        <f t="shared" si="2"/>
        <v>433000</v>
      </c>
      <c r="L11" s="316">
        <f t="shared" si="2"/>
        <v>433000</v>
      </c>
      <c r="M11" s="316">
        <f t="shared" si="2"/>
        <v>434800</v>
      </c>
      <c r="N11" s="316">
        <f t="shared" si="2"/>
        <v>434800</v>
      </c>
      <c r="O11" s="316">
        <f t="shared" si="2"/>
        <v>434800</v>
      </c>
      <c r="Q11" s="699"/>
      <c r="R11" s="708"/>
      <c r="S11" s="316" t="s">
        <v>6</v>
      </c>
      <c r="T11" s="708"/>
      <c r="U11" s="316">
        <f t="shared" ref="U11:AE11" si="3">U4+U7</f>
        <v>434800</v>
      </c>
      <c r="V11" s="316">
        <f t="shared" si="3"/>
        <v>434800</v>
      </c>
      <c r="W11" s="316">
        <f t="shared" si="3"/>
        <v>434800</v>
      </c>
      <c r="X11" s="316">
        <f t="shared" si="3"/>
        <v>434800</v>
      </c>
      <c r="Y11" s="316">
        <f t="shared" si="3"/>
        <v>434800</v>
      </c>
      <c r="Z11" s="316">
        <f t="shared" si="3"/>
        <v>434800</v>
      </c>
      <c r="AA11" s="316">
        <f t="shared" si="3"/>
        <v>434800</v>
      </c>
      <c r="AB11" s="316">
        <f t="shared" si="3"/>
        <v>434800</v>
      </c>
      <c r="AC11" s="316">
        <f t="shared" si="3"/>
        <v>434800</v>
      </c>
      <c r="AD11" s="316">
        <f t="shared" si="3"/>
        <v>434800</v>
      </c>
      <c r="AE11" s="317">
        <f t="shared" si="3"/>
        <v>0</v>
      </c>
    </row>
    <row r="12" spans="1:31" s="317" customFormat="1" ht="34.5" customHeight="1" x14ac:dyDescent="0.25">
      <c r="A12" s="700"/>
      <c r="B12" s="708"/>
      <c r="C12" s="316" t="s">
        <v>7</v>
      </c>
      <c r="D12" s="708"/>
      <c r="E12" s="316">
        <f t="shared" si="2"/>
        <v>0</v>
      </c>
      <c r="F12" s="316">
        <f t="shared" si="2"/>
        <v>31290.600000000002</v>
      </c>
      <c r="G12" s="316">
        <f t="shared" si="2"/>
        <v>31419.9</v>
      </c>
      <c r="H12" s="316">
        <f t="shared" si="2"/>
        <v>31419.9</v>
      </c>
      <c r="I12" s="316">
        <f t="shared" si="2"/>
        <v>31549.200000000004</v>
      </c>
      <c r="J12" s="316">
        <f t="shared" si="2"/>
        <v>31549.200000000004</v>
      </c>
      <c r="K12" s="316">
        <f t="shared" si="2"/>
        <v>31635.400000000005</v>
      </c>
      <c r="L12" s="316">
        <f t="shared" si="2"/>
        <v>31635.4</v>
      </c>
      <c r="M12" s="316">
        <f t="shared" si="2"/>
        <v>31764.700000000004</v>
      </c>
      <c r="N12" s="316">
        <f t="shared" si="2"/>
        <v>31764.700000000004</v>
      </c>
      <c r="O12" s="316">
        <f t="shared" si="2"/>
        <v>31764.700000000004</v>
      </c>
      <c r="Q12" s="700"/>
      <c r="R12" s="708"/>
      <c r="S12" s="316" t="s">
        <v>7</v>
      </c>
      <c r="T12" s="708"/>
      <c r="U12" s="316">
        <f t="shared" ref="U12:AE12" si="4">U5+U8</f>
        <v>31764.700000000004</v>
      </c>
      <c r="V12" s="316">
        <f t="shared" si="4"/>
        <v>31764.700000000004</v>
      </c>
      <c r="W12" s="316">
        <f t="shared" si="4"/>
        <v>31764.700000000004</v>
      </c>
      <c r="X12" s="316">
        <f t="shared" si="4"/>
        <v>31764.700000000004</v>
      </c>
      <c r="Y12" s="316">
        <f t="shared" si="4"/>
        <v>31764.700000000004</v>
      </c>
      <c r="Z12" s="316">
        <f t="shared" si="4"/>
        <v>31764.700000000004</v>
      </c>
      <c r="AA12" s="316">
        <f t="shared" si="4"/>
        <v>31764.700000000004</v>
      </c>
      <c r="AB12" s="316">
        <f t="shared" si="4"/>
        <v>31764.700000000004</v>
      </c>
      <c r="AC12" s="316">
        <f t="shared" si="4"/>
        <v>31764.700000000004</v>
      </c>
      <c r="AD12" s="316">
        <f t="shared" si="4"/>
        <v>31764.700000000004</v>
      </c>
      <c r="AE12" s="317">
        <f t="shared" si="4"/>
        <v>0</v>
      </c>
    </row>
    <row r="18" spans="1:7" ht="19.5" customHeight="1" thickBot="1" x14ac:dyDescent="0.3">
      <c r="A18" s="701" t="s">
        <v>282</v>
      </c>
      <c r="B18" s="701"/>
      <c r="C18" s="701"/>
      <c r="D18" s="701"/>
      <c r="E18" s="701"/>
      <c r="F18" s="701"/>
    </row>
    <row r="19" spans="1:7" ht="15.75" thickBot="1" x14ac:dyDescent="0.3">
      <c r="A19" s="702" t="s">
        <v>283</v>
      </c>
      <c r="B19" s="689" t="s">
        <v>267</v>
      </c>
      <c r="C19" s="690"/>
      <c r="D19" s="690"/>
      <c r="E19" s="690"/>
      <c r="F19" s="691"/>
    </row>
    <row r="20" spans="1:7" ht="30.75" thickBot="1" x14ac:dyDescent="0.3">
      <c r="A20" s="703"/>
      <c r="B20" s="245" t="s">
        <v>268</v>
      </c>
      <c r="C20" s="245" t="s">
        <v>420</v>
      </c>
      <c r="D20" s="245" t="s">
        <v>421</v>
      </c>
      <c r="E20" s="246" t="s">
        <v>422</v>
      </c>
      <c r="F20" s="247" t="s">
        <v>269</v>
      </c>
    </row>
    <row r="21" spans="1:7" ht="15.75" thickBot="1" x14ac:dyDescent="0.3">
      <c r="A21" s="248" t="s">
        <v>270</v>
      </c>
      <c r="B21" s="250">
        <v>189</v>
      </c>
      <c r="C21" s="248">
        <v>150</v>
      </c>
      <c r="D21" s="248">
        <v>90</v>
      </c>
      <c r="E21" s="248" t="s">
        <v>271</v>
      </c>
      <c r="F21" s="692" t="s">
        <v>272</v>
      </c>
    </row>
    <row r="22" spans="1:7" ht="15.75" thickBot="1" x14ac:dyDescent="0.3">
      <c r="A22" s="248" t="s">
        <v>273</v>
      </c>
      <c r="B22" s="250">
        <f>E22</f>
        <v>705</v>
      </c>
      <c r="C22" s="248">
        <v>150</v>
      </c>
      <c r="D22" s="248">
        <v>90</v>
      </c>
      <c r="E22" s="248">
        <v>705</v>
      </c>
      <c r="F22" s="693"/>
    </row>
    <row r="23" spans="1:7" ht="15.75" thickBot="1" x14ac:dyDescent="0.3">
      <c r="A23" s="695" t="s">
        <v>274</v>
      </c>
      <c r="B23" s="250">
        <v>863</v>
      </c>
      <c r="C23" s="248">
        <v>150</v>
      </c>
      <c r="D23" s="248">
        <v>90</v>
      </c>
      <c r="E23" s="248" t="s">
        <v>275</v>
      </c>
      <c r="F23" s="694"/>
    </row>
    <row r="24" spans="1:7" ht="45.75" thickBot="1" x14ac:dyDescent="0.3">
      <c r="A24" s="696"/>
      <c r="B24" s="250">
        <v>291</v>
      </c>
      <c r="C24" s="248">
        <v>100</v>
      </c>
      <c r="D24" s="248">
        <v>60</v>
      </c>
      <c r="E24" s="248" t="s">
        <v>276</v>
      </c>
      <c r="F24" s="248" t="s">
        <v>277</v>
      </c>
    </row>
    <row r="25" spans="1:7" ht="15.75" thickBot="1" x14ac:dyDescent="0.3">
      <c r="A25" s="248"/>
      <c r="B25" s="248"/>
      <c r="C25" s="248">
        <v>30</v>
      </c>
      <c r="D25" s="248">
        <v>10</v>
      </c>
      <c r="E25" s="248" t="s">
        <v>278</v>
      </c>
      <c r="F25" s="248"/>
    </row>
    <row r="26" spans="1:7" x14ac:dyDescent="0.25">
      <c r="A26" s="249"/>
      <c r="B26" s="249"/>
      <c r="C26" s="249"/>
      <c r="D26" s="249"/>
      <c r="E26" s="249"/>
      <c r="F26" s="249"/>
    </row>
    <row r="27" spans="1:7" ht="30" customHeight="1" x14ac:dyDescent="0.25">
      <c r="A27" s="704" t="s">
        <v>284</v>
      </c>
      <c r="B27" s="704"/>
      <c r="C27" s="704"/>
      <c r="D27" s="704"/>
      <c r="E27" s="704"/>
      <c r="F27" s="704"/>
    </row>
    <row r="28" spans="1:7" ht="30" x14ac:dyDescent="0.25">
      <c r="A28" s="242" t="s">
        <v>279</v>
      </c>
      <c r="B28" s="705" t="s">
        <v>280</v>
      </c>
      <c r="C28" s="706"/>
      <c r="D28" s="706"/>
      <c r="E28" s="707"/>
      <c r="F28" s="242" t="s">
        <v>314</v>
      </c>
    </row>
    <row r="29" spans="1:7" x14ac:dyDescent="0.25">
      <c r="A29" s="242"/>
      <c r="B29" s="242" t="str">
        <f>A21</f>
        <v>Kota Sukabumi</v>
      </c>
      <c r="C29" s="242" t="str">
        <f>A22</f>
        <v>Kabupaten Cianjur</v>
      </c>
      <c r="D29" s="242" t="str">
        <f>A23</f>
        <v>Kota Cimahi</v>
      </c>
      <c r="E29" s="74" t="s">
        <v>281</v>
      </c>
      <c r="F29" s="242" t="str">
        <f>A23</f>
        <v>Kota Cimahi</v>
      </c>
    </row>
    <row r="30" spans="1:7" x14ac:dyDescent="0.25">
      <c r="A30" s="242">
        <f>2010</f>
        <v>2010</v>
      </c>
      <c r="B30" s="243">
        <v>0</v>
      </c>
      <c r="C30" s="243">
        <v>0</v>
      </c>
      <c r="D30" s="243">
        <v>0</v>
      </c>
      <c r="E30" s="251">
        <v>0</v>
      </c>
      <c r="F30" s="244">
        <v>0</v>
      </c>
      <c r="G30" s="119">
        <f>E30+F30</f>
        <v>0</v>
      </c>
    </row>
    <row r="31" spans="1:7" x14ac:dyDescent="0.25">
      <c r="A31" s="242">
        <f>A30+1</f>
        <v>2011</v>
      </c>
      <c r="B31" s="243">
        <v>23</v>
      </c>
      <c r="C31" s="243">
        <v>88</v>
      </c>
      <c r="D31" s="243">
        <v>107</v>
      </c>
      <c r="E31" s="251">
        <f>SUM(B31:D31)</f>
        <v>218</v>
      </c>
      <c r="F31" s="244">
        <v>36</v>
      </c>
      <c r="G31" s="119">
        <f t="shared" ref="G31:G50" si="5">E31+F31</f>
        <v>254</v>
      </c>
    </row>
    <row r="32" spans="1:7" x14ac:dyDescent="0.25">
      <c r="A32" s="242">
        <f t="shared" ref="A32:A50" si="6">A31+1</f>
        <v>2012</v>
      </c>
      <c r="B32" s="243">
        <v>23</v>
      </c>
      <c r="C32" s="243">
        <v>88</v>
      </c>
      <c r="D32" s="243">
        <v>108</v>
      </c>
      <c r="E32" s="251">
        <f t="shared" ref="E32:E38" si="7">SUM(B32:D32)</f>
        <v>219</v>
      </c>
      <c r="F32" s="244">
        <v>36</v>
      </c>
      <c r="G32" s="119">
        <f t="shared" si="5"/>
        <v>255</v>
      </c>
    </row>
    <row r="33" spans="1:9" x14ac:dyDescent="0.25">
      <c r="A33" s="242">
        <f t="shared" si="6"/>
        <v>2013</v>
      </c>
      <c r="B33" s="243">
        <v>23</v>
      </c>
      <c r="C33" s="243">
        <v>88</v>
      </c>
      <c r="D33" s="243">
        <v>108</v>
      </c>
      <c r="E33" s="251">
        <f t="shared" si="7"/>
        <v>219</v>
      </c>
      <c r="F33" s="244">
        <v>36</v>
      </c>
      <c r="G33" s="119">
        <f t="shared" si="5"/>
        <v>255</v>
      </c>
    </row>
    <row r="34" spans="1:9" x14ac:dyDescent="0.25">
      <c r="A34" s="242">
        <f t="shared" si="6"/>
        <v>2014</v>
      </c>
      <c r="B34" s="243">
        <v>24</v>
      </c>
      <c r="C34" s="243">
        <v>88</v>
      </c>
      <c r="D34" s="243">
        <v>108</v>
      </c>
      <c r="E34" s="251">
        <f t="shared" si="7"/>
        <v>220</v>
      </c>
      <c r="F34" s="244">
        <v>36</v>
      </c>
      <c r="G34" s="119">
        <f t="shared" si="5"/>
        <v>256</v>
      </c>
    </row>
    <row r="35" spans="1:9" x14ac:dyDescent="0.25">
      <c r="A35" s="242">
        <f t="shared" si="6"/>
        <v>2015</v>
      </c>
      <c r="B35" s="243">
        <v>24</v>
      </c>
      <c r="C35" s="243">
        <v>88</v>
      </c>
      <c r="D35" s="243">
        <v>108</v>
      </c>
      <c r="E35" s="251">
        <f t="shared" si="7"/>
        <v>220</v>
      </c>
      <c r="F35" s="244">
        <v>36</v>
      </c>
      <c r="G35" s="119">
        <f t="shared" si="5"/>
        <v>256</v>
      </c>
    </row>
    <row r="36" spans="1:9" x14ac:dyDescent="0.25">
      <c r="A36" s="242">
        <f t="shared" si="6"/>
        <v>2016</v>
      </c>
      <c r="B36" s="243">
        <v>24</v>
      </c>
      <c r="C36" s="243">
        <v>88</v>
      </c>
      <c r="D36" s="243">
        <v>108</v>
      </c>
      <c r="E36" s="251">
        <f t="shared" si="7"/>
        <v>220</v>
      </c>
      <c r="F36" s="244">
        <v>37</v>
      </c>
      <c r="G36" s="119">
        <f t="shared" si="5"/>
        <v>257</v>
      </c>
    </row>
    <row r="37" spans="1:9" x14ac:dyDescent="0.25">
      <c r="A37" s="242">
        <f t="shared" si="6"/>
        <v>2017</v>
      </c>
      <c r="B37" s="243">
        <v>24</v>
      </c>
      <c r="C37" s="243">
        <v>88</v>
      </c>
      <c r="D37" s="243">
        <v>108</v>
      </c>
      <c r="E37" s="251">
        <f t="shared" si="7"/>
        <v>220</v>
      </c>
      <c r="F37" s="244">
        <v>37</v>
      </c>
      <c r="G37" s="119">
        <f t="shared" si="5"/>
        <v>257</v>
      </c>
    </row>
    <row r="38" spans="1:9" ht="14.25" customHeight="1" x14ac:dyDescent="0.25">
      <c r="A38" s="242">
        <f t="shared" si="6"/>
        <v>2018</v>
      </c>
      <c r="B38" s="264">
        <v>24</v>
      </c>
      <c r="C38" s="264">
        <v>89</v>
      </c>
      <c r="D38" s="264">
        <v>108</v>
      </c>
      <c r="E38" s="265">
        <f t="shared" si="7"/>
        <v>221</v>
      </c>
      <c r="F38" s="266">
        <v>37</v>
      </c>
      <c r="G38" s="119">
        <f t="shared" si="5"/>
        <v>258</v>
      </c>
      <c r="H38" s="291"/>
      <c r="I38" s="291"/>
    </row>
    <row r="39" spans="1:9" x14ac:dyDescent="0.25">
      <c r="A39" s="242">
        <f t="shared" si="6"/>
        <v>2019</v>
      </c>
      <c r="B39" s="264">
        <v>24</v>
      </c>
      <c r="C39" s="264">
        <v>89</v>
      </c>
      <c r="D39" s="264">
        <v>108</v>
      </c>
      <c r="E39" s="265">
        <f t="shared" ref="E39:E50" si="8">SUM(B39:D39)</f>
        <v>221</v>
      </c>
      <c r="F39" s="266">
        <v>37</v>
      </c>
      <c r="G39" s="119">
        <f t="shared" si="5"/>
        <v>258</v>
      </c>
      <c r="H39" s="291"/>
      <c r="I39" s="291"/>
    </row>
    <row r="40" spans="1:9" x14ac:dyDescent="0.25">
      <c r="A40" s="242">
        <f t="shared" si="6"/>
        <v>2020</v>
      </c>
      <c r="B40" s="264">
        <v>24</v>
      </c>
      <c r="C40" s="264">
        <v>89</v>
      </c>
      <c r="D40" s="264">
        <v>108</v>
      </c>
      <c r="E40" s="265">
        <f t="shared" si="8"/>
        <v>221</v>
      </c>
      <c r="F40" s="266">
        <v>37</v>
      </c>
      <c r="G40" s="119">
        <f t="shared" si="5"/>
        <v>258</v>
      </c>
      <c r="H40" s="291"/>
      <c r="I40" s="291"/>
    </row>
    <row r="41" spans="1:9" x14ac:dyDescent="0.25">
      <c r="A41" s="242">
        <f t="shared" si="6"/>
        <v>2021</v>
      </c>
      <c r="B41" s="264">
        <v>24</v>
      </c>
      <c r="C41" s="264">
        <v>89</v>
      </c>
      <c r="D41" s="264">
        <v>108</v>
      </c>
      <c r="E41" s="265">
        <f t="shared" si="8"/>
        <v>221</v>
      </c>
      <c r="F41" s="266">
        <v>37</v>
      </c>
      <c r="G41" s="119">
        <f t="shared" si="5"/>
        <v>258</v>
      </c>
      <c r="H41" s="291"/>
      <c r="I41" s="291"/>
    </row>
    <row r="42" spans="1:9" x14ac:dyDescent="0.25">
      <c r="A42" s="242">
        <f t="shared" si="6"/>
        <v>2022</v>
      </c>
      <c r="B42" s="264">
        <v>24</v>
      </c>
      <c r="C42" s="264">
        <v>89</v>
      </c>
      <c r="D42" s="264">
        <v>108</v>
      </c>
      <c r="E42" s="265">
        <f t="shared" si="8"/>
        <v>221</v>
      </c>
      <c r="F42" s="266">
        <v>37</v>
      </c>
      <c r="G42" s="119">
        <f t="shared" si="5"/>
        <v>258</v>
      </c>
      <c r="H42" s="291"/>
      <c r="I42" s="291"/>
    </row>
    <row r="43" spans="1:9" x14ac:dyDescent="0.25">
      <c r="A43" s="242">
        <f t="shared" si="6"/>
        <v>2023</v>
      </c>
      <c r="B43" s="264">
        <v>24</v>
      </c>
      <c r="C43" s="264">
        <v>89</v>
      </c>
      <c r="D43" s="264">
        <v>108</v>
      </c>
      <c r="E43" s="265">
        <f t="shared" si="8"/>
        <v>221</v>
      </c>
      <c r="F43" s="266">
        <v>37</v>
      </c>
      <c r="G43" s="119">
        <f t="shared" si="5"/>
        <v>258</v>
      </c>
      <c r="H43" s="291"/>
      <c r="I43" s="291"/>
    </row>
    <row r="44" spans="1:9" x14ac:dyDescent="0.25">
      <c r="A44" s="242">
        <f t="shared" si="6"/>
        <v>2024</v>
      </c>
      <c r="B44" s="264">
        <v>24</v>
      </c>
      <c r="C44" s="264">
        <v>89</v>
      </c>
      <c r="D44" s="264">
        <v>108</v>
      </c>
      <c r="E44" s="265">
        <f t="shared" si="8"/>
        <v>221</v>
      </c>
      <c r="F44" s="266">
        <v>37</v>
      </c>
      <c r="G44" s="119">
        <f t="shared" si="5"/>
        <v>258</v>
      </c>
      <c r="H44" s="291"/>
      <c r="I44" s="291"/>
    </row>
    <row r="45" spans="1:9" x14ac:dyDescent="0.25">
      <c r="A45" s="242">
        <f t="shared" si="6"/>
        <v>2025</v>
      </c>
      <c r="B45" s="264">
        <v>24</v>
      </c>
      <c r="C45" s="264">
        <v>89</v>
      </c>
      <c r="D45" s="264">
        <v>108</v>
      </c>
      <c r="E45" s="265">
        <f t="shared" si="8"/>
        <v>221</v>
      </c>
      <c r="F45" s="266">
        <v>37</v>
      </c>
      <c r="G45" s="119">
        <f t="shared" si="5"/>
        <v>258</v>
      </c>
      <c r="H45" s="291"/>
      <c r="I45" s="291"/>
    </row>
    <row r="46" spans="1:9" x14ac:dyDescent="0.25">
      <c r="A46" s="242">
        <f t="shared" si="6"/>
        <v>2026</v>
      </c>
      <c r="B46" s="264">
        <v>24</v>
      </c>
      <c r="C46" s="264">
        <v>89</v>
      </c>
      <c r="D46" s="264">
        <v>108</v>
      </c>
      <c r="E46" s="265">
        <f t="shared" si="8"/>
        <v>221</v>
      </c>
      <c r="F46" s="266">
        <v>37</v>
      </c>
      <c r="G46" s="119">
        <f t="shared" si="5"/>
        <v>258</v>
      </c>
      <c r="H46" s="291"/>
      <c r="I46" s="291"/>
    </row>
    <row r="47" spans="1:9" x14ac:dyDescent="0.25">
      <c r="A47" s="242">
        <f t="shared" si="6"/>
        <v>2027</v>
      </c>
      <c r="B47" s="264">
        <v>24</v>
      </c>
      <c r="C47" s="264">
        <v>89</v>
      </c>
      <c r="D47" s="264">
        <v>108</v>
      </c>
      <c r="E47" s="265">
        <f t="shared" si="8"/>
        <v>221</v>
      </c>
      <c r="F47" s="266">
        <v>37</v>
      </c>
      <c r="G47" s="119">
        <f t="shared" si="5"/>
        <v>258</v>
      </c>
      <c r="H47" s="291"/>
      <c r="I47" s="291"/>
    </row>
    <row r="48" spans="1:9" x14ac:dyDescent="0.25">
      <c r="A48" s="242">
        <f t="shared" si="6"/>
        <v>2028</v>
      </c>
      <c r="B48" s="264">
        <v>24</v>
      </c>
      <c r="C48" s="264">
        <v>89</v>
      </c>
      <c r="D48" s="264">
        <v>108</v>
      </c>
      <c r="E48" s="265">
        <f t="shared" si="8"/>
        <v>221</v>
      </c>
      <c r="F48" s="266">
        <v>37</v>
      </c>
      <c r="G48" s="119">
        <f t="shared" si="5"/>
        <v>258</v>
      </c>
      <c r="H48" s="291"/>
      <c r="I48" s="291"/>
    </row>
    <row r="49" spans="1:13" x14ac:dyDescent="0.25">
      <c r="A49" s="242">
        <f t="shared" si="6"/>
        <v>2029</v>
      </c>
      <c r="B49" s="264">
        <v>24</v>
      </c>
      <c r="C49" s="264">
        <v>89</v>
      </c>
      <c r="D49" s="264">
        <v>108</v>
      </c>
      <c r="E49" s="265">
        <f t="shared" si="8"/>
        <v>221</v>
      </c>
      <c r="F49" s="266">
        <v>37</v>
      </c>
      <c r="G49" s="119">
        <f t="shared" si="5"/>
        <v>258</v>
      </c>
      <c r="H49" s="291"/>
      <c r="I49" s="291"/>
    </row>
    <row r="50" spans="1:13" x14ac:dyDescent="0.25">
      <c r="A50" s="242">
        <f t="shared" si="6"/>
        <v>2030</v>
      </c>
      <c r="B50" s="264">
        <v>24</v>
      </c>
      <c r="C50" s="264">
        <v>89</v>
      </c>
      <c r="D50" s="264">
        <v>108</v>
      </c>
      <c r="E50" s="265">
        <f t="shared" si="8"/>
        <v>221</v>
      </c>
      <c r="F50" s="266">
        <v>37</v>
      </c>
      <c r="G50" s="119">
        <f t="shared" si="5"/>
        <v>258</v>
      </c>
      <c r="H50" s="291"/>
      <c r="I50" s="291"/>
    </row>
    <row r="51" spans="1:13" x14ac:dyDescent="0.25">
      <c r="A51" s="242"/>
      <c r="B51" s="242">
        <f>SUM(B31:B38)</f>
        <v>189</v>
      </c>
      <c r="C51" s="242">
        <f>SUM(C31:C38)</f>
        <v>705</v>
      </c>
      <c r="D51" s="242">
        <f>SUM(D31:D38)</f>
        <v>863</v>
      </c>
      <c r="E51" s="252">
        <f>SUM(E31:E38)</f>
        <v>1757</v>
      </c>
      <c r="F51" s="242">
        <f>SUM(F30:F38)</f>
        <v>291</v>
      </c>
      <c r="G51" s="94" t="s">
        <v>319</v>
      </c>
    </row>
    <row r="55" spans="1:13" ht="30" customHeight="1" x14ac:dyDescent="0.25">
      <c r="A55" s="687" t="s">
        <v>296</v>
      </c>
      <c r="B55" s="688"/>
      <c r="C55" s="688"/>
      <c r="D55" s="688"/>
      <c r="E55" s="688"/>
      <c r="F55" s="688"/>
      <c r="G55" s="688"/>
      <c r="H55" s="688"/>
      <c r="I55" s="688"/>
      <c r="J55" s="688"/>
      <c r="K55" s="688"/>
    </row>
    <row r="56" spans="1:13" ht="94.5" x14ac:dyDescent="0.25">
      <c r="A56" s="206" t="s">
        <v>107</v>
      </c>
      <c r="B56" s="207" t="s">
        <v>295</v>
      </c>
      <c r="C56" s="207" t="s">
        <v>20</v>
      </c>
      <c r="D56" s="253" t="s">
        <v>21</v>
      </c>
      <c r="E56" s="208" t="s">
        <v>464</v>
      </c>
      <c r="F56" s="208" t="s">
        <v>465</v>
      </c>
      <c r="G56" s="259" t="s">
        <v>466</v>
      </c>
      <c r="H56" s="209" t="s">
        <v>110</v>
      </c>
      <c r="I56" s="119" t="s">
        <v>287</v>
      </c>
      <c r="J56" s="209" t="s">
        <v>286</v>
      </c>
      <c r="K56" s="210" t="s">
        <v>291</v>
      </c>
      <c r="L56" s="260" t="s">
        <v>292</v>
      </c>
      <c r="M56" s="261" t="s">
        <v>293</v>
      </c>
    </row>
    <row r="57" spans="1:13" s="270" customFormat="1" x14ac:dyDescent="0.25">
      <c r="A57" s="214">
        <v>1</v>
      </c>
      <c r="B57" s="213">
        <v>2010</v>
      </c>
      <c r="C57" s="213" t="s">
        <v>287</v>
      </c>
      <c r="D57" s="267" t="s">
        <v>294</v>
      </c>
      <c r="E57" s="268">
        <f>$C$21/1000000</f>
        <v>1.4999999999999999E-4</v>
      </c>
      <c r="F57" s="268">
        <f>$D$21/1000000</f>
        <v>9.0000000000000006E-5</v>
      </c>
      <c r="G57" s="212">
        <f>E57-F57</f>
        <v>5.9999999999999981E-5</v>
      </c>
      <c r="H57" s="451">
        <f>0.5*365*24</f>
        <v>4380</v>
      </c>
      <c r="I57" s="270">
        <f>G57*H57</f>
        <v>0.26279999999999992</v>
      </c>
      <c r="J57" s="257">
        <v>0.86199999999999999</v>
      </c>
      <c r="K57" s="213">
        <f>I57*J57</f>
        <v>0.22653359999999992</v>
      </c>
      <c r="L57" s="269">
        <f>E30</f>
        <v>0</v>
      </c>
      <c r="M57" s="444">
        <f>L57*K57</f>
        <v>0</v>
      </c>
    </row>
    <row r="58" spans="1:13" x14ac:dyDescent="0.25">
      <c r="A58" s="254">
        <f>A57+1</f>
        <v>2</v>
      </c>
      <c r="B58" s="262">
        <v>2011</v>
      </c>
      <c r="C58" s="255" t="s">
        <v>287</v>
      </c>
      <c r="D58" s="256" t="s">
        <v>294</v>
      </c>
      <c r="E58" s="268">
        <f>$C$21/1000000</f>
        <v>1.4999999999999999E-4</v>
      </c>
      <c r="F58" s="268">
        <f>$D$21/1000000</f>
        <v>9.0000000000000006E-5</v>
      </c>
      <c r="G58" s="258">
        <f>E58-F58</f>
        <v>5.9999999999999981E-5</v>
      </c>
      <c r="H58" s="451">
        <f t="shared" ref="H58:H77" si="9">0.5*365*24</f>
        <v>4380</v>
      </c>
      <c r="I58" s="270">
        <f t="shared" ref="I58:I77" si="10">G58*H58</f>
        <v>0.26279999999999992</v>
      </c>
      <c r="J58" s="257">
        <v>0.86199999999999999</v>
      </c>
      <c r="K58" s="213">
        <f t="shared" ref="K58:K77" si="11">I58*J58</f>
        <v>0.22653359999999992</v>
      </c>
      <c r="L58" s="263">
        <f>E31</f>
        <v>218</v>
      </c>
      <c r="M58" s="445">
        <f>L58*K58</f>
        <v>49.38432479999998</v>
      </c>
    </row>
    <row r="59" spans="1:13" x14ac:dyDescent="0.25">
      <c r="A59" s="254">
        <f t="shared" ref="A59:A77" si="12">A58+1</f>
        <v>3</v>
      </c>
      <c r="B59" s="262">
        <f>B58+1</f>
        <v>2012</v>
      </c>
      <c r="C59" s="255" t="s">
        <v>287</v>
      </c>
      <c r="D59" s="256" t="s">
        <v>294</v>
      </c>
      <c r="E59" s="268">
        <f t="shared" ref="E58:E77" si="13">$C$21/1000000</f>
        <v>1.4999999999999999E-4</v>
      </c>
      <c r="F59" s="268">
        <f t="shared" ref="F58:F77" si="14">$D$21/1000000</f>
        <v>9.0000000000000006E-5</v>
      </c>
      <c r="G59" s="258">
        <f t="shared" ref="G59:G65" si="15">E59-F59</f>
        <v>5.9999999999999981E-5</v>
      </c>
      <c r="H59" s="451">
        <f t="shared" si="9"/>
        <v>4380</v>
      </c>
      <c r="I59" s="270">
        <f t="shared" si="10"/>
        <v>0.26279999999999992</v>
      </c>
      <c r="J59" s="257">
        <v>0.86199999999999999</v>
      </c>
      <c r="K59" s="213">
        <f t="shared" si="11"/>
        <v>0.22653359999999992</v>
      </c>
      <c r="L59" s="263">
        <f>E32</f>
        <v>219</v>
      </c>
      <c r="M59" s="445">
        <f t="shared" ref="M59:M65" si="16">L59*K59</f>
        <v>49.610858399999984</v>
      </c>
    </row>
    <row r="60" spans="1:13" x14ac:dyDescent="0.25">
      <c r="A60" s="254">
        <f t="shared" si="12"/>
        <v>4</v>
      </c>
      <c r="B60" s="262">
        <f t="shared" ref="B60:B65" si="17">B59+1</f>
        <v>2013</v>
      </c>
      <c r="C60" s="255" t="s">
        <v>287</v>
      </c>
      <c r="D60" s="256" t="s">
        <v>294</v>
      </c>
      <c r="E60" s="268">
        <f t="shared" si="13"/>
        <v>1.4999999999999999E-4</v>
      </c>
      <c r="F60" s="268">
        <f t="shared" si="14"/>
        <v>9.0000000000000006E-5</v>
      </c>
      <c r="G60" s="258">
        <f t="shared" si="15"/>
        <v>5.9999999999999981E-5</v>
      </c>
      <c r="H60" s="451">
        <f t="shared" si="9"/>
        <v>4380</v>
      </c>
      <c r="I60" s="270">
        <f t="shared" si="10"/>
        <v>0.26279999999999992</v>
      </c>
      <c r="J60" s="257">
        <v>0.86199999999999999</v>
      </c>
      <c r="K60" s="213">
        <f t="shared" si="11"/>
        <v>0.22653359999999992</v>
      </c>
      <c r="L60" s="263">
        <f>E33</f>
        <v>219</v>
      </c>
      <c r="M60" s="445">
        <f t="shared" si="16"/>
        <v>49.610858399999984</v>
      </c>
    </row>
    <row r="61" spans="1:13" x14ac:dyDescent="0.25">
      <c r="A61" s="254">
        <f t="shared" si="12"/>
        <v>5</v>
      </c>
      <c r="B61" s="262">
        <f t="shared" si="17"/>
        <v>2014</v>
      </c>
      <c r="C61" s="255" t="s">
        <v>287</v>
      </c>
      <c r="D61" s="256" t="s">
        <v>294</v>
      </c>
      <c r="E61" s="268">
        <f t="shared" si="13"/>
        <v>1.4999999999999999E-4</v>
      </c>
      <c r="F61" s="268">
        <f t="shared" si="14"/>
        <v>9.0000000000000006E-5</v>
      </c>
      <c r="G61" s="258">
        <f t="shared" si="15"/>
        <v>5.9999999999999981E-5</v>
      </c>
      <c r="H61" s="451">
        <f t="shared" si="9"/>
        <v>4380</v>
      </c>
      <c r="I61" s="270">
        <f t="shared" si="10"/>
        <v>0.26279999999999992</v>
      </c>
      <c r="J61" s="257">
        <v>0.86199999999999999</v>
      </c>
      <c r="K61" s="213">
        <f t="shared" si="11"/>
        <v>0.22653359999999992</v>
      </c>
      <c r="L61" s="263">
        <f>E34</f>
        <v>220</v>
      </c>
      <c r="M61" s="445">
        <f t="shared" si="16"/>
        <v>49.83739199999998</v>
      </c>
    </row>
    <row r="62" spans="1:13" x14ac:dyDescent="0.25">
      <c r="A62" s="254">
        <f t="shared" si="12"/>
        <v>6</v>
      </c>
      <c r="B62" s="262">
        <f t="shared" si="17"/>
        <v>2015</v>
      </c>
      <c r="C62" s="255" t="s">
        <v>287</v>
      </c>
      <c r="D62" s="256" t="s">
        <v>294</v>
      </c>
      <c r="E62" s="268">
        <f t="shared" si="13"/>
        <v>1.4999999999999999E-4</v>
      </c>
      <c r="F62" s="268">
        <f t="shared" si="14"/>
        <v>9.0000000000000006E-5</v>
      </c>
      <c r="G62" s="258">
        <f t="shared" si="15"/>
        <v>5.9999999999999981E-5</v>
      </c>
      <c r="H62" s="451">
        <f t="shared" si="9"/>
        <v>4380</v>
      </c>
      <c r="I62" s="270">
        <f t="shared" si="10"/>
        <v>0.26279999999999992</v>
      </c>
      <c r="J62" s="257">
        <v>0.86199999999999999</v>
      </c>
      <c r="K62" s="213">
        <f t="shared" si="11"/>
        <v>0.22653359999999992</v>
      </c>
      <c r="L62" s="263">
        <f>E35</f>
        <v>220</v>
      </c>
      <c r="M62" s="445">
        <f t="shared" si="16"/>
        <v>49.83739199999998</v>
      </c>
    </row>
    <row r="63" spans="1:13" x14ac:dyDescent="0.25">
      <c r="A63" s="254">
        <f t="shared" si="12"/>
        <v>7</v>
      </c>
      <c r="B63" s="262">
        <f t="shared" si="17"/>
        <v>2016</v>
      </c>
      <c r="C63" s="255" t="s">
        <v>287</v>
      </c>
      <c r="D63" s="256" t="s">
        <v>294</v>
      </c>
      <c r="E63" s="268">
        <f t="shared" si="13"/>
        <v>1.4999999999999999E-4</v>
      </c>
      <c r="F63" s="268">
        <f t="shared" si="14"/>
        <v>9.0000000000000006E-5</v>
      </c>
      <c r="G63" s="258">
        <f t="shared" si="15"/>
        <v>5.9999999999999981E-5</v>
      </c>
      <c r="H63" s="451">
        <f t="shared" si="9"/>
        <v>4380</v>
      </c>
      <c r="I63" s="270">
        <f t="shared" si="10"/>
        <v>0.26279999999999992</v>
      </c>
      <c r="J63" s="257">
        <v>0.86199999999999999</v>
      </c>
      <c r="K63" s="213">
        <f t="shared" si="11"/>
        <v>0.22653359999999992</v>
      </c>
      <c r="L63" s="263">
        <f>E36</f>
        <v>220</v>
      </c>
      <c r="M63" s="445">
        <f t="shared" si="16"/>
        <v>49.83739199999998</v>
      </c>
    </row>
    <row r="64" spans="1:13" x14ac:dyDescent="0.25">
      <c r="A64" s="254">
        <f t="shared" si="12"/>
        <v>8</v>
      </c>
      <c r="B64" s="262">
        <f t="shared" si="17"/>
        <v>2017</v>
      </c>
      <c r="C64" s="255" t="s">
        <v>287</v>
      </c>
      <c r="D64" s="256" t="s">
        <v>294</v>
      </c>
      <c r="E64" s="268">
        <f t="shared" si="13"/>
        <v>1.4999999999999999E-4</v>
      </c>
      <c r="F64" s="268">
        <f t="shared" si="14"/>
        <v>9.0000000000000006E-5</v>
      </c>
      <c r="G64" s="258">
        <f t="shared" si="15"/>
        <v>5.9999999999999981E-5</v>
      </c>
      <c r="H64" s="451">
        <f t="shared" si="9"/>
        <v>4380</v>
      </c>
      <c r="I64" s="270">
        <f t="shared" si="10"/>
        <v>0.26279999999999992</v>
      </c>
      <c r="J64" s="257">
        <v>0.86199999999999999</v>
      </c>
      <c r="K64" s="213">
        <f t="shared" si="11"/>
        <v>0.22653359999999992</v>
      </c>
      <c r="L64" s="263">
        <f>E37</f>
        <v>220</v>
      </c>
      <c r="M64" s="445">
        <f t="shared" si="16"/>
        <v>49.83739199999998</v>
      </c>
    </row>
    <row r="65" spans="1:13" x14ac:dyDescent="0.25">
      <c r="A65" s="254">
        <f t="shared" si="12"/>
        <v>9</v>
      </c>
      <c r="B65" s="262">
        <f t="shared" si="17"/>
        <v>2018</v>
      </c>
      <c r="C65" s="255" t="s">
        <v>287</v>
      </c>
      <c r="D65" s="256" t="s">
        <v>294</v>
      </c>
      <c r="E65" s="268">
        <f t="shared" si="13"/>
        <v>1.4999999999999999E-4</v>
      </c>
      <c r="F65" s="268">
        <f t="shared" si="14"/>
        <v>9.0000000000000006E-5</v>
      </c>
      <c r="G65" s="258">
        <f t="shared" si="15"/>
        <v>5.9999999999999981E-5</v>
      </c>
      <c r="H65" s="451">
        <f t="shared" si="9"/>
        <v>4380</v>
      </c>
      <c r="I65" s="270">
        <f t="shared" si="10"/>
        <v>0.26279999999999992</v>
      </c>
      <c r="J65" s="257">
        <v>0.86199999999999999</v>
      </c>
      <c r="K65" s="213">
        <f t="shared" si="11"/>
        <v>0.22653359999999992</v>
      </c>
      <c r="L65" s="263">
        <f>E38</f>
        <v>221</v>
      </c>
      <c r="M65" s="445">
        <f t="shared" si="16"/>
        <v>50.063925599999983</v>
      </c>
    </row>
    <row r="66" spans="1:13" x14ac:dyDescent="0.25">
      <c r="A66" s="254">
        <f t="shared" si="12"/>
        <v>10</v>
      </c>
      <c r="B66" s="262">
        <f t="shared" ref="B66:B77" si="18">B65+1</f>
        <v>2019</v>
      </c>
      <c r="C66" s="255" t="s">
        <v>287</v>
      </c>
      <c r="D66" s="256" t="s">
        <v>294</v>
      </c>
      <c r="E66" s="268">
        <f t="shared" si="13"/>
        <v>1.4999999999999999E-4</v>
      </c>
      <c r="F66" s="268">
        <f t="shared" si="14"/>
        <v>9.0000000000000006E-5</v>
      </c>
      <c r="G66" s="258">
        <f t="shared" ref="G66:G77" si="19">E66-F66</f>
        <v>5.9999999999999981E-5</v>
      </c>
      <c r="H66" s="451">
        <f t="shared" si="9"/>
        <v>4380</v>
      </c>
      <c r="I66" s="270">
        <f t="shared" si="10"/>
        <v>0.26279999999999992</v>
      </c>
      <c r="J66" s="257">
        <v>0.86199999999999999</v>
      </c>
      <c r="K66" s="213">
        <f t="shared" si="11"/>
        <v>0.22653359999999992</v>
      </c>
      <c r="L66" s="263">
        <f>E39</f>
        <v>221</v>
      </c>
      <c r="M66" s="445">
        <f t="shared" ref="M66:M77" si="20">L66*K66</f>
        <v>50.063925599999983</v>
      </c>
    </row>
    <row r="67" spans="1:13" x14ac:dyDescent="0.25">
      <c r="A67" s="254">
        <f t="shared" si="12"/>
        <v>11</v>
      </c>
      <c r="B67" s="262">
        <f t="shared" si="18"/>
        <v>2020</v>
      </c>
      <c r="C67" s="255" t="s">
        <v>287</v>
      </c>
      <c r="D67" s="256" t="s">
        <v>294</v>
      </c>
      <c r="E67" s="268">
        <f t="shared" si="13"/>
        <v>1.4999999999999999E-4</v>
      </c>
      <c r="F67" s="268">
        <f t="shared" si="14"/>
        <v>9.0000000000000006E-5</v>
      </c>
      <c r="G67" s="258">
        <f t="shared" si="19"/>
        <v>5.9999999999999981E-5</v>
      </c>
      <c r="H67" s="451">
        <f t="shared" si="9"/>
        <v>4380</v>
      </c>
      <c r="I67" s="270">
        <f t="shared" si="10"/>
        <v>0.26279999999999992</v>
      </c>
      <c r="J67" s="257">
        <v>0.86199999999999999</v>
      </c>
      <c r="K67" s="213">
        <f t="shared" si="11"/>
        <v>0.22653359999999992</v>
      </c>
      <c r="L67" s="263">
        <f>E40</f>
        <v>221</v>
      </c>
      <c r="M67" s="445">
        <f t="shared" si="20"/>
        <v>50.063925599999983</v>
      </c>
    </row>
    <row r="68" spans="1:13" x14ac:dyDescent="0.25">
      <c r="A68" s="254">
        <f t="shared" si="12"/>
        <v>12</v>
      </c>
      <c r="B68" s="262">
        <f t="shared" si="18"/>
        <v>2021</v>
      </c>
      <c r="C68" s="255" t="s">
        <v>287</v>
      </c>
      <c r="D68" s="256" t="s">
        <v>294</v>
      </c>
      <c r="E68" s="268">
        <f t="shared" si="13"/>
        <v>1.4999999999999999E-4</v>
      </c>
      <c r="F68" s="268">
        <f t="shared" si="14"/>
        <v>9.0000000000000006E-5</v>
      </c>
      <c r="G68" s="258">
        <f t="shared" si="19"/>
        <v>5.9999999999999981E-5</v>
      </c>
      <c r="H68" s="451">
        <f t="shared" si="9"/>
        <v>4380</v>
      </c>
      <c r="I68" s="270">
        <f t="shared" si="10"/>
        <v>0.26279999999999992</v>
      </c>
      <c r="J68" s="257">
        <v>0.86199999999999999</v>
      </c>
      <c r="K68" s="213">
        <f t="shared" si="11"/>
        <v>0.22653359999999992</v>
      </c>
      <c r="L68" s="263">
        <f>E41</f>
        <v>221</v>
      </c>
      <c r="M68" s="445">
        <f t="shared" si="20"/>
        <v>50.063925599999983</v>
      </c>
    </row>
    <row r="69" spans="1:13" x14ac:dyDescent="0.25">
      <c r="A69" s="254">
        <f t="shared" si="12"/>
        <v>13</v>
      </c>
      <c r="B69" s="262">
        <f t="shared" si="18"/>
        <v>2022</v>
      </c>
      <c r="C69" s="255" t="s">
        <v>287</v>
      </c>
      <c r="D69" s="256" t="s">
        <v>294</v>
      </c>
      <c r="E69" s="268">
        <f t="shared" si="13"/>
        <v>1.4999999999999999E-4</v>
      </c>
      <c r="F69" s="268">
        <f t="shared" si="14"/>
        <v>9.0000000000000006E-5</v>
      </c>
      <c r="G69" s="258">
        <f t="shared" si="19"/>
        <v>5.9999999999999981E-5</v>
      </c>
      <c r="H69" s="451">
        <f t="shared" si="9"/>
        <v>4380</v>
      </c>
      <c r="I69" s="270">
        <f t="shared" si="10"/>
        <v>0.26279999999999992</v>
      </c>
      <c r="J69" s="257">
        <v>0.86199999999999999</v>
      </c>
      <c r="K69" s="213">
        <f t="shared" si="11"/>
        <v>0.22653359999999992</v>
      </c>
      <c r="L69" s="263">
        <f>E42</f>
        <v>221</v>
      </c>
      <c r="M69" s="445">
        <f t="shared" si="20"/>
        <v>50.063925599999983</v>
      </c>
    </row>
    <row r="70" spans="1:13" x14ac:dyDescent="0.25">
      <c r="A70" s="254">
        <f t="shared" si="12"/>
        <v>14</v>
      </c>
      <c r="B70" s="262">
        <f t="shared" si="18"/>
        <v>2023</v>
      </c>
      <c r="C70" s="255" t="s">
        <v>287</v>
      </c>
      <c r="D70" s="256" t="s">
        <v>294</v>
      </c>
      <c r="E70" s="268">
        <f t="shared" si="13"/>
        <v>1.4999999999999999E-4</v>
      </c>
      <c r="F70" s="268">
        <f t="shared" si="14"/>
        <v>9.0000000000000006E-5</v>
      </c>
      <c r="G70" s="258">
        <f t="shared" si="19"/>
        <v>5.9999999999999981E-5</v>
      </c>
      <c r="H70" s="451">
        <f t="shared" si="9"/>
        <v>4380</v>
      </c>
      <c r="I70" s="270">
        <f t="shared" si="10"/>
        <v>0.26279999999999992</v>
      </c>
      <c r="J70" s="257">
        <v>0.86199999999999999</v>
      </c>
      <c r="K70" s="213">
        <f t="shared" si="11"/>
        <v>0.22653359999999992</v>
      </c>
      <c r="L70" s="263">
        <f>E43</f>
        <v>221</v>
      </c>
      <c r="M70" s="445">
        <f t="shared" si="20"/>
        <v>50.063925599999983</v>
      </c>
    </row>
    <row r="71" spans="1:13" x14ac:dyDescent="0.25">
      <c r="A71" s="254">
        <f t="shared" si="12"/>
        <v>15</v>
      </c>
      <c r="B71" s="262">
        <f t="shared" si="18"/>
        <v>2024</v>
      </c>
      <c r="C71" s="255" t="s">
        <v>287</v>
      </c>
      <c r="D71" s="256" t="s">
        <v>294</v>
      </c>
      <c r="E71" s="268">
        <f t="shared" si="13"/>
        <v>1.4999999999999999E-4</v>
      </c>
      <c r="F71" s="268">
        <f t="shared" si="14"/>
        <v>9.0000000000000006E-5</v>
      </c>
      <c r="G71" s="258">
        <f t="shared" si="19"/>
        <v>5.9999999999999981E-5</v>
      </c>
      <c r="H71" s="451">
        <f t="shared" si="9"/>
        <v>4380</v>
      </c>
      <c r="I71" s="270">
        <f t="shared" si="10"/>
        <v>0.26279999999999992</v>
      </c>
      <c r="J71" s="257">
        <v>0.86199999999999999</v>
      </c>
      <c r="K71" s="213">
        <f t="shared" si="11"/>
        <v>0.22653359999999992</v>
      </c>
      <c r="L71" s="263">
        <f>E44</f>
        <v>221</v>
      </c>
      <c r="M71" s="445">
        <f t="shared" si="20"/>
        <v>50.063925599999983</v>
      </c>
    </row>
    <row r="72" spans="1:13" x14ac:dyDescent="0.25">
      <c r="A72" s="254">
        <f t="shared" si="12"/>
        <v>16</v>
      </c>
      <c r="B72" s="262">
        <f t="shared" si="18"/>
        <v>2025</v>
      </c>
      <c r="C72" s="255" t="s">
        <v>287</v>
      </c>
      <c r="D72" s="256" t="s">
        <v>294</v>
      </c>
      <c r="E72" s="268">
        <f t="shared" si="13"/>
        <v>1.4999999999999999E-4</v>
      </c>
      <c r="F72" s="268">
        <f t="shared" si="14"/>
        <v>9.0000000000000006E-5</v>
      </c>
      <c r="G72" s="258">
        <f t="shared" si="19"/>
        <v>5.9999999999999981E-5</v>
      </c>
      <c r="H72" s="451">
        <f t="shared" si="9"/>
        <v>4380</v>
      </c>
      <c r="I72" s="270">
        <f t="shared" si="10"/>
        <v>0.26279999999999992</v>
      </c>
      <c r="J72" s="257">
        <v>0.86199999999999999</v>
      </c>
      <c r="K72" s="213">
        <f t="shared" si="11"/>
        <v>0.22653359999999992</v>
      </c>
      <c r="L72" s="263">
        <f>E45</f>
        <v>221</v>
      </c>
      <c r="M72" s="445">
        <f t="shared" si="20"/>
        <v>50.063925599999983</v>
      </c>
    </row>
    <row r="73" spans="1:13" x14ac:dyDescent="0.25">
      <c r="A73" s="254">
        <f t="shared" si="12"/>
        <v>17</v>
      </c>
      <c r="B73" s="262">
        <f t="shared" si="18"/>
        <v>2026</v>
      </c>
      <c r="C73" s="255" t="s">
        <v>287</v>
      </c>
      <c r="D73" s="256" t="s">
        <v>294</v>
      </c>
      <c r="E73" s="268">
        <f t="shared" si="13"/>
        <v>1.4999999999999999E-4</v>
      </c>
      <c r="F73" s="268">
        <f t="shared" si="14"/>
        <v>9.0000000000000006E-5</v>
      </c>
      <c r="G73" s="258">
        <f t="shared" si="19"/>
        <v>5.9999999999999981E-5</v>
      </c>
      <c r="H73" s="451">
        <f t="shared" si="9"/>
        <v>4380</v>
      </c>
      <c r="I73" s="270">
        <f t="shared" si="10"/>
        <v>0.26279999999999992</v>
      </c>
      <c r="J73" s="257">
        <v>0.86199999999999999</v>
      </c>
      <c r="K73" s="213">
        <f t="shared" si="11"/>
        <v>0.22653359999999992</v>
      </c>
      <c r="L73" s="263">
        <f>E46</f>
        <v>221</v>
      </c>
      <c r="M73" s="445">
        <f t="shared" si="20"/>
        <v>50.063925599999983</v>
      </c>
    </row>
    <row r="74" spans="1:13" x14ac:dyDescent="0.25">
      <c r="A74" s="254">
        <f t="shared" si="12"/>
        <v>18</v>
      </c>
      <c r="B74" s="262">
        <f t="shared" si="18"/>
        <v>2027</v>
      </c>
      <c r="C74" s="255" t="s">
        <v>287</v>
      </c>
      <c r="D74" s="256" t="s">
        <v>294</v>
      </c>
      <c r="E74" s="268">
        <f t="shared" si="13"/>
        <v>1.4999999999999999E-4</v>
      </c>
      <c r="F74" s="268">
        <f t="shared" si="14"/>
        <v>9.0000000000000006E-5</v>
      </c>
      <c r="G74" s="258">
        <f t="shared" si="19"/>
        <v>5.9999999999999981E-5</v>
      </c>
      <c r="H74" s="451">
        <f t="shared" si="9"/>
        <v>4380</v>
      </c>
      <c r="I74" s="270">
        <f t="shared" si="10"/>
        <v>0.26279999999999992</v>
      </c>
      <c r="J74" s="257">
        <v>0.86199999999999999</v>
      </c>
      <c r="K74" s="213">
        <f t="shared" si="11"/>
        <v>0.22653359999999992</v>
      </c>
      <c r="L74" s="263">
        <f>E47</f>
        <v>221</v>
      </c>
      <c r="M74" s="445">
        <f t="shared" si="20"/>
        <v>50.063925599999983</v>
      </c>
    </row>
    <row r="75" spans="1:13" x14ac:dyDescent="0.25">
      <c r="A75" s="254">
        <f t="shared" si="12"/>
        <v>19</v>
      </c>
      <c r="B75" s="262">
        <f t="shared" si="18"/>
        <v>2028</v>
      </c>
      <c r="C75" s="255" t="s">
        <v>287</v>
      </c>
      <c r="D75" s="256" t="s">
        <v>294</v>
      </c>
      <c r="E75" s="268">
        <f t="shared" si="13"/>
        <v>1.4999999999999999E-4</v>
      </c>
      <c r="F75" s="268">
        <f t="shared" si="14"/>
        <v>9.0000000000000006E-5</v>
      </c>
      <c r="G75" s="258">
        <f t="shared" si="19"/>
        <v>5.9999999999999981E-5</v>
      </c>
      <c r="H75" s="451">
        <f t="shared" si="9"/>
        <v>4380</v>
      </c>
      <c r="I75" s="270">
        <f t="shared" si="10"/>
        <v>0.26279999999999992</v>
      </c>
      <c r="J75" s="257">
        <v>0.86199999999999999</v>
      </c>
      <c r="K75" s="213">
        <f t="shared" si="11"/>
        <v>0.22653359999999992</v>
      </c>
      <c r="L75" s="263">
        <f>E48</f>
        <v>221</v>
      </c>
      <c r="M75" s="445">
        <f t="shared" si="20"/>
        <v>50.063925599999983</v>
      </c>
    </row>
    <row r="76" spans="1:13" x14ac:dyDescent="0.25">
      <c r="A76" s="254">
        <f t="shared" si="12"/>
        <v>20</v>
      </c>
      <c r="B76" s="262">
        <f t="shared" si="18"/>
        <v>2029</v>
      </c>
      <c r="C76" s="255" t="s">
        <v>287</v>
      </c>
      <c r="D76" s="256" t="s">
        <v>294</v>
      </c>
      <c r="E76" s="268">
        <f t="shared" si="13"/>
        <v>1.4999999999999999E-4</v>
      </c>
      <c r="F76" s="268">
        <f t="shared" si="14"/>
        <v>9.0000000000000006E-5</v>
      </c>
      <c r="G76" s="258">
        <f t="shared" si="19"/>
        <v>5.9999999999999981E-5</v>
      </c>
      <c r="H76" s="451">
        <f t="shared" si="9"/>
        <v>4380</v>
      </c>
      <c r="I76" s="270">
        <f t="shared" si="10"/>
        <v>0.26279999999999992</v>
      </c>
      <c r="J76" s="257">
        <v>0.86199999999999999</v>
      </c>
      <c r="K76" s="213">
        <f t="shared" si="11"/>
        <v>0.22653359999999992</v>
      </c>
      <c r="L76" s="263">
        <f>E49</f>
        <v>221</v>
      </c>
      <c r="M76" s="445">
        <f t="shared" si="20"/>
        <v>50.063925599999983</v>
      </c>
    </row>
    <row r="77" spans="1:13" x14ac:dyDescent="0.25">
      <c r="A77" s="254">
        <f t="shared" si="12"/>
        <v>21</v>
      </c>
      <c r="B77" s="262">
        <f t="shared" si="18"/>
        <v>2030</v>
      </c>
      <c r="C77" s="255" t="s">
        <v>287</v>
      </c>
      <c r="D77" s="256" t="s">
        <v>294</v>
      </c>
      <c r="E77" s="268">
        <f t="shared" si="13"/>
        <v>1.4999999999999999E-4</v>
      </c>
      <c r="F77" s="268">
        <f t="shared" si="14"/>
        <v>9.0000000000000006E-5</v>
      </c>
      <c r="G77" s="258">
        <f t="shared" si="19"/>
        <v>5.9999999999999981E-5</v>
      </c>
      <c r="H77" s="451">
        <f t="shared" si="9"/>
        <v>4380</v>
      </c>
      <c r="I77" s="270">
        <f t="shared" si="10"/>
        <v>0.26279999999999992</v>
      </c>
      <c r="J77" s="257">
        <v>0.86199999999999999</v>
      </c>
      <c r="K77" s="213">
        <f t="shared" si="11"/>
        <v>0.22653359999999992</v>
      </c>
      <c r="L77" s="263">
        <f>E50</f>
        <v>221</v>
      </c>
      <c r="M77" s="445">
        <f t="shared" si="20"/>
        <v>50.063925599999983</v>
      </c>
    </row>
    <row r="79" spans="1:13" x14ac:dyDescent="0.25">
      <c r="A79" s="687" t="s">
        <v>297</v>
      </c>
      <c r="B79" s="688"/>
      <c r="C79" s="688"/>
      <c r="D79" s="688"/>
      <c r="E79" s="688"/>
      <c r="F79" s="688"/>
      <c r="G79" s="688"/>
      <c r="H79" s="688"/>
      <c r="I79" s="688"/>
      <c r="J79" s="688"/>
      <c r="K79" s="688"/>
    </row>
    <row r="80" spans="1:13" ht="94.5" x14ac:dyDescent="0.25">
      <c r="A80" s="206" t="s">
        <v>107</v>
      </c>
      <c r="B80" s="207" t="s">
        <v>295</v>
      </c>
      <c r="C80" s="207" t="s">
        <v>20</v>
      </c>
      <c r="D80" s="253" t="s">
        <v>21</v>
      </c>
      <c r="E80" s="208" t="s">
        <v>288</v>
      </c>
      <c r="F80" s="208" t="s">
        <v>289</v>
      </c>
      <c r="G80" s="259" t="s">
        <v>290</v>
      </c>
      <c r="H80" s="209" t="s">
        <v>110</v>
      </c>
      <c r="I80" s="119" t="s">
        <v>287</v>
      </c>
      <c r="J80" s="209" t="s">
        <v>286</v>
      </c>
      <c r="K80" s="210" t="s">
        <v>291</v>
      </c>
      <c r="L80" s="260" t="s">
        <v>292</v>
      </c>
      <c r="M80" s="261" t="s">
        <v>293</v>
      </c>
    </row>
    <row r="81" spans="1:13" x14ac:dyDescent="0.25">
      <c r="A81" s="214">
        <v>1</v>
      </c>
      <c r="B81" s="213">
        <v>2010</v>
      </c>
      <c r="C81" s="213" t="s">
        <v>287</v>
      </c>
      <c r="D81" s="267" t="s">
        <v>294</v>
      </c>
      <c r="E81" s="268">
        <f>$C$24/1000000</f>
        <v>1E-4</v>
      </c>
      <c r="F81" s="268">
        <f>$D$24/1000000</f>
        <v>6.0000000000000002E-5</v>
      </c>
      <c r="G81" s="212">
        <f>E81-F81</f>
        <v>4.0000000000000003E-5</v>
      </c>
      <c r="H81" s="451">
        <f>0.5*365*24</f>
        <v>4380</v>
      </c>
      <c r="I81" s="270">
        <f>G81*H81</f>
        <v>0.17520000000000002</v>
      </c>
      <c r="J81" s="257">
        <v>0.86199999999999999</v>
      </c>
      <c r="K81" s="213">
        <f>I81*J81</f>
        <v>0.15102240000000003</v>
      </c>
      <c r="L81" s="269">
        <f>F30</f>
        <v>0</v>
      </c>
      <c r="M81" s="444">
        <f t="shared" ref="M81:M101" si="21">L81*K81</f>
        <v>0</v>
      </c>
    </row>
    <row r="82" spans="1:13" x14ac:dyDescent="0.25">
      <c r="A82" s="254">
        <f>A81+1</f>
        <v>2</v>
      </c>
      <c r="B82" s="262">
        <v>2011</v>
      </c>
      <c r="C82" s="255" t="s">
        <v>287</v>
      </c>
      <c r="D82" s="256" t="s">
        <v>294</v>
      </c>
      <c r="E82" s="268">
        <f t="shared" ref="E82:E101" si="22">$C$24/1000000</f>
        <v>1E-4</v>
      </c>
      <c r="F82" s="268">
        <f t="shared" ref="F82:F101" si="23">$D$24/1000000</f>
        <v>6.0000000000000002E-5</v>
      </c>
      <c r="G82" s="212">
        <f t="shared" ref="G82:G101" si="24">E82-F82</f>
        <v>4.0000000000000003E-5</v>
      </c>
      <c r="H82" s="451">
        <f t="shared" ref="H82:H101" si="25">0.5*365*24</f>
        <v>4380</v>
      </c>
      <c r="I82" s="270">
        <f t="shared" ref="I82:I101" si="26">G82*H82</f>
        <v>0.17520000000000002</v>
      </c>
      <c r="J82" s="257">
        <v>0.86199999999999999</v>
      </c>
      <c r="K82" s="213">
        <f t="shared" ref="K82:K101" si="27">I82*J82</f>
        <v>0.15102240000000003</v>
      </c>
      <c r="L82" s="269">
        <f>F31</f>
        <v>36</v>
      </c>
      <c r="M82" s="444">
        <f>L82*K82</f>
        <v>5.4368064000000009</v>
      </c>
    </row>
    <row r="83" spans="1:13" x14ac:dyDescent="0.25">
      <c r="A83" s="254">
        <f t="shared" ref="A83:A101" si="28">A82+1</f>
        <v>3</v>
      </c>
      <c r="B83" s="262">
        <f>B82+1</f>
        <v>2012</v>
      </c>
      <c r="C83" s="255" t="s">
        <v>287</v>
      </c>
      <c r="D83" s="256" t="s">
        <v>294</v>
      </c>
      <c r="E83" s="268">
        <f t="shared" si="22"/>
        <v>1E-4</v>
      </c>
      <c r="F83" s="268">
        <f t="shared" si="23"/>
        <v>6.0000000000000002E-5</v>
      </c>
      <c r="G83" s="212">
        <f t="shared" si="24"/>
        <v>4.0000000000000003E-5</v>
      </c>
      <c r="H83" s="451">
        <f t="shared" si="25"/>
        <v>4380</v>
      </c>
      <c r="I83" s="270">
        <f t="shared" si="26"/>
        <v>0.17520000000000002</v>
      </c>
      <c r="J83" s="257">
        <v>0.86199999999999999</v>
      </c>
      <c r="K83" s="213">
        <f t="shared" si="27"/>
        <v>0.15102240000000003</v>
      </c>
      <c r="L83" s="269">
        <f>F32</f>
        <v>36</v>
      </c>
      <c r="M83" s="444">
        <f t="shared" si="21"/>
        <v>5.4368064000000009</v>
      </c>
    </row>
    <row r="84" spans="1:13" x14ac:dyDescent="0.25">
      <c r="A84" s="254">
        <f t="shared" si="28"/>
        <v>4</v>
      </c>
      <c r="B84" s="262">
        <f t="shared" ref="B84:B101" si="29">B83+1</f>
        <v>2013</v>
      </c>
      <c r="C84" s="255" t="s">
        <v>287</v>
      </c>
      <c r="D84" s="256" t="s">
        <v>294</v>
      </c>
      <c r="E84" s="268">
        <f t="shared" si="22"/>
        <v>1E-4</v>
      </c>
      <c r="F84" s="268">
        <f t="shared" si="23"/>
        <v>6.0000000000000002E-5</v>
      </c>
      <c r="G84" s="212">
        <f t="shared" si="24"/>
        <v>4.0000000000000003E-5</v>
      </c>
      <c r="H84" s="451">
        <f t="shared" si="25"/>
        <v>4380</v>
      </c>
      <c r="I84" s="270">
        <f t="shared" si="26"/>
        <v>0.17520000000000002</v>
      </c>
      <c r="J84" s="257">
        <v>0.86199999999999999</v>
      </c>
      <c r="K84" s="213">
        <f t="shared" si="27"/>
        <v>0.15102240000000003</v>
      </c>
      <c r="L84" s="269">
        <f>F33</f>
        <v>36</v>
      </c>
      <c r="M84" s="444">
        <f>L84*K84</f>
        <v>5.4368064000000009</v>
      </c>
    </row>
    <row r="85" spans="1:13" x14ac:dyDescent="0.25">
      <c r="A85" s="254">
        <f t="shared" si="28"/>
        <v>5</v>
      </c>
      <c r="B85" s="262">
        <f t="shared" si="29"/>
        <v>2014</v>
      </c>
      <c r="C85" s="255" t="s">
        <v>287</v>
      </c>
      <c r="D85" s="256" t="s">
        <v>294</v>
      </c>
      <c r="E85" s="268">
        <f t="shared" si="22"/>
        <v>1E-4</v>
      </c>
      <c r="F85" s="268">
        <f t="shared" si="23"/>
        <v>6.0000000000000002E-5</v>
      </c>
      <c r="G85" s="212">
        <f t="shared" si="24"/>
        <v>4.0000000000000003E-5</v>
      </c>
      <c r="H85" s="451">
        <f t="shared" si="25"/>
        <v>4380</v>
      </c>
      <c r="I85" s="270">
        <f t="shared" si="26"/>
        <v>0.17520000000000002</v>
      </c>
      <c r="J85" s="257">
        <v>0.86199999999999999</v>
      </c>
      <c r="K85" s="213">
        <f t="shared" si="27"/>
        <v>0.15102240000000003</v>
      </c>
      <c r="L85" s="269">
        <f>F34</f>
        <v>36</v>
      </c>
      <c r="M85" s="444">
        <f t="shared" si="21"/>
        <v>5.4368064000000009</v>
      </c>
    </row>
    <row r="86" spans="1:13" x14ac:dyDescent="0.25">
      <c r="A86" s="254">
        <f t="shared" si="28"/>
        <v>6</v>
      </c>
      <c r="B86" s="262">
        <f t="shared" si="29"/>
        <v>2015</v>
      </c>
      <c r="C86" s="255" t="s">
        <v>287</v>
      </c>
      <c r="D86" s="256" t="s">
        <v>294</v>
      </c>
      <c r="E86" s="268">
        <f t="shared" si="22"/>
        <v>1E-4</v>
      </c>
      <c r="F86" s="268">
        <f t="shared" si="23"/>
        <v>6.0000000000000002E-5</v>
      </c>
      <c r="G86" s="212">
        <f t="shared" si="24"/>
        <v>4.0000000000000003E-5</v>
      </c>
      <c r="H86" s="451">
        <f t="shared" si="25"/>
        <v>4380</v>
      </c>
      <c r="I86" s="270">
        <f t="shared" si="26"/>
        <v>0.17520000000000002</v>
      </c>
      <c r="J86" s="257">
        <v>0.86199999999999999</v>
      </c>
      <c r="K86" s="213">
        <f t="shared" si="27"/>
        <v>0.15102240000000003</v>
      </c>
      <c r="L86" s="269">
        <f>F35</f>
        <v>36</v>
      </c>
      <c r="M86" s="444">
        <f t="shared" si="21"/>
        <v>5.4368064000000009</v>
      </c>
    </row>
    <row r="87" spans="1:13" x14ac:dyDescent="0.25">
      <c r="A87" s="254">
        <f t="shared" si="28"/>
        <v>7</v>
      </c>
      <c r="B87" s="262">
        <f t="shared" si="29"/>
        <v>2016</v>
      </c>
      <c r="C87" s="255" t="s">
        <v>287</v>
      </c>
      <c r="D87" s="256" t="s">
        <v>294</v>
      </c>
      <c r="E87" s="268">
        <f t="shared" si="22"/>
        <v>1E-4</v>
      </c>
      <c r="F87" s="268">
        <f t="shared" si="23"/>
        <v>6.0000000000000002E-5</v>
      </c>
      <c r="G87" s="212">
        <f t="shared" si="24"/>
        <v>4.0000000000000003E-5</v>
      </c>
      <c r="H87" s="451">
        <f t="shared" si="25"/>
        <v>4380</v>
      </c>
      <c r="I87" s="270">
        <f t="shared" si="26"/>
        <v>0.17520000000000002</v>
      </c>
      <c r="J87" s="257">
        <v>0.86199999999999999</v>
      </c>
      <c r="K87" s="213">
        <f t="shared" si="27"/>
        <v>0.15102240000000003</v>
      </c>
      <c r="L87" s="269">
        <f>F36</f>
        <v>37</v>
      </c>
      <c r="M87" s="444">
        <f t="shared" si="21"/>
        <v>5.5878288000000014</v>
      </c>
    </row>
    <row r="88" spans="1:13" x14ac:dyDescent="0.25">
      <c r="A88" s="254">
        <f t="shared" si="28"/>
        <v>8</v>
      </c>
      <c r="B88" s="262">
        <f t="shared" si="29"/>
        <v>2017</v>
      </c>
      <c r="C88" s="255" t="s">
        <v>287</v>
      </c>
      <c r="D88" s="256" t="s">
        <v>294</v>
      </c>
      <c r="E88" s="268">
        <f t="shared" si="22"/>
        <v>1E-4</v>
      </c>
      <c r="F88" s="268">
        <f t="shared" si="23"/>
        <v>6.0000000000000002E-5</v>
      </c>
      <c r="G88" s="212">
        <f t="shared" si="24"/>
        <v>4.0000000000000003E-5</v>
      </c>
      <c r="H88" s="451">
        <f t="shared" si="25"/>
        <v>4380</v>
      </c>
      <c r="I88" s="270">
        <f t="shared" si="26"/>
        <v>0.17520000000000002</v>
      </c>
      <c r="J88" s="257">
        <v>0.86199999999999999</v>
      </c>
      <c r="K88" s="213">
        <f t="shared" si="27"/>
        <v>0.15102240000000003</v>
      </c>
      <c r="L88" s="269">
        <f>F37</f>
        <v>37</v>
      </c>
      <c r="M88" s="444">
        <f t="shared" si="21"/>
        <v>5.5878288000000014</v>
      </c>
    </row>
    <row r="89" spans="1:13" x14ac:dyDescent="0.25">
      <c r="A89" s="254">
        <f t="shared" si="28"/>
        <v>9</v>
      </c>
      <c r="B89" s="262">
        <f t="shared" si="29"/>
        <v>2018</v>
      </c>
      <c r="C89" s="255" t="s">
        <v>287</v>
      </c>
      <c r="D89" s="256" t="s">
        <v>294</v>
      </c>
      <c r="E89" s="268">
        <f t="shared" si="22"/>
        <v>1E-4</v>
      </c>
      <c r="F89" s="268">
        <f t="shared" si="23"/>
        <v>6.0000000000000002E-5</v>
      </c>
      <c r="G89" s="212">
        <f t="shared" si="24"/>
        <v>4.0000000000000003E-5</v>
      </c>
      <c r="H89" s="451">
        <f t="shared" si="25"/>
        <v>4380</v>
      </c>
      <c r="I89" s="270">
        <f t="shared" si="26"/>
        <v>0.17520000000000002</v>
      </c>
      <c r="J89" s="257">
        <v>0.86199999999999999</v>
      </c>
      <c r="K89" s="213">
        <f t="shared" si="27"/>
        <v>0.15102240000000003</v>
      </c>
      <c r="L89" s="269">
        <f>F38</f>
        <v>37</v>
      </c>
      <c r="M89" s="444">
        <f t="shared" si="21"/>
        <v>5.5878288000000014</v>
      </c>
    </row>
    <row r="90" spans="1:13" x14ac:dyDescent="0.25">
      <c r="A90" s="254">
        <f t="shared" si="28"/>
        <v>10</v>
      </c>
      <c r="B90" s="262">
        <f t="shared" si="29"/>
        <v>2019</v>
      </c>
      <c r="C90" s="255" t="s">
        <v>287</v>
      </c>
      <c r="D90" s="256" t="s">
        <v>294</v>
      </c>
      <c r="E90" s="268">
        <f t="shared" si="22"/>
        <v>1E-4</v>
      </c>
      <c r="F90" s="268">
        <f t="shared" si="23"/>
        <v>6.0000000000000002E-5</v>
      </c>
      <c r="G90" s="212">
        <f t="shared" si="24"/>
        <v>4.0000000000000003E-5</v>
      </c>
      <c r="H90" s="451">
        <f t="shared" si="25"/>
        <v>4380</v>
      </c>
      <c r="I90" s="270">
        <f t="shared" si="26"/>
        <v>0.17520000000000002</v>
      </c>
      <c r="J90" s="257">
        <v>0.86199999999999999</v>
      </c>
      <c r="K90" s="213">
        <f t="shared" si="27"/>
        <v>0.15102240000000003</v>
      </c>
      <c r="L90" s="269">
        <f>F39</f>
        <v>37</v>
      </c>
      <c r="M90" s="444">
        <f t="shared" si="21"/>
        <v>5.5878288000000014</v>
      </c>
    </row>
    <row r="91" spans="1:13" x14ac:dyDescent="0.25">
      <c r="A91" s="254">
        <f t="shared" si="28"/>
        <v>11</v>
      </c>
      <c r="B91" s="262">
        <f t="shared" si="29"/>
        <v>2020</v>
      </c>
      <c r="C91" s="255" t="s">
        <v>287</v>
      </c>
      <c r="D91" s="256" t="s">
        <v>294</v>
      </c>
      <c r="E91" s="268">
        <f t="shared" si="22"/>
        <v>1E-4</v>
      </c>
      <c r="F91" s="268">
        <f t="shared" si="23"/>
        <v>6.0000000000000002E-5</v>
      </c>
      <c r="G91" s="212">
        <f t="shared" si="24"/>
        <v>4.0000000000000003E-5</v>
      </c>
      <c r="H91" s="451">
        <f t="shared" si="25"/>
        <v>4380</v>
      </c>
      <c r="I91" s="270">
        <f t="shared" si="26"/>
        <v>0.17520000000000002</v>
      </c>
      <c r="J91" s="257">
        <v>0.86199999999999999</v>
      </c>
      <c r="K91" s="213">
        <f t="shared" si="27"/>
        <v>0.15102240000000003</v>
      </c>
      <c r="L91" s="269">
        <f>F40</f>
        <v>37</v>
      </c>
      <c r="M91" s="444">
        <f t="shared" si="21"/>
        <v>5.5878288000000014</v>
      </c>
    </row>
    <row r="92" spans="1:13" x14ac:dyDescent="0.25">
      <c r="A92" s="254">
        <f t="shared" si="28"/>
        <v>12</v>
      </c>
      <c r="B92" s="262">
        <f t="shared" si="29"/>
        <v>2021</v>
      </c>
      <c r="C92" s="255" t="s">
        <v>287</v>
      </c>
      <c r="D92" s="256" t="s">
        <v>294</v>
      </c>
      <c r="E92" s="268">
        <f t="shared" si="22"/>
        <v>1E-4</v>
      </c>
      <c r="F92" s="268">
        <f t="shared" si="23"/>
        <v>6.0000000000000002E-5</v>
      </c>
      <c r="G92" s="212">
        <f t="shared" si="24"/>
        <v>4.0000000000000003E-5</v>
      </c>
      <c r="H92" s="451">
        <f t="shared" si="25"/>
        <v>4380</v>
      </c>
      <c r="I92" s="270">
        <f t="shared" si="26"/>
        <v>0.17520000000000002</v>
      </c>
      <c r="J92" s="257">
        <v>0.86199999999999999</v>
      </c>
      <c r="K92" s="213">
        <f t="shared" si="27"/>
        <v>0.15102240000000003</v>
      </c>
      <c r="L92" s="269">
        <f>F41</f>
        <v>37</v>
      </c>
      <c r="M92" s="444">
        <f t="shared" si="21"/>
        <v>5.5878288000000014</v>
      </c>
    </row>
    <row r="93" spans="1:13" x14ac:dyDescent="0.25">
      <c r="A93" s="254">
        <f t="shared" si="28"/>
        <v>13</v>
      </c>
      <c r="B93" s="262">
        <f t="shared" si="29"/>
        <v>2022</v>
      </c>
      <c r="C93" s="255" t="s">
        <v>287</v>
      </c>
      <c r="D93" s="256" t="s">
        <v>294</v>
      </c>
      <c r="E93" s="268">
        <f t="shared" si="22"/>
        <v>1E-4</v>
      </c>
      <c r="F93" s="268">
        <f t="shared" si="23"/>
        <v>6.0000000000000002E-5</v>
      </c>
      <c r="G93" s="212">
        <f t="shared" si="24"/>
        <v>4.0000000000000003E-5</v>
      </c>
      <c r="H93" s="451">
        <f t="shared" si="25"/>
        <v>4380</v>
      </c>
      <c r="I93" s="270">
        <f t="shared" si="26"/>
        <v>0.17520000000000002</v>
      </c>
      <c r="J93" s="257">
        <v>0.86199999999999999</v>
      </c>
      <c r="K93" s="213">
        <f t="shared" si="27"/>
        <v>0.15102240000000003</v>
      </c>
      <c r="L93" s="269">
        <f>F42</f>
        <v>37</v>
      </c>
      <c r="M93" s="444">
        <f t="shared" si="21"/>
        <v>5.5878288000000014</v>
      </c>
    </row>
    <row r="94" spans="1:13" x14ac:dyDescent="0.25">
      <c r="A94" s="254">
        <f t="shared" si="28"/>
        <v>14</v>
      </c>
      <c r="B94" s="262">
        <f t="shared" si="29"/>
        <v>2023</v>
      </c>
      <c r="C94" s="255" t="s">
        <v>287</v>
      </c>
      <c r="D94" s="256" t="s">
        <v>294</v>
      </c>
      <c r="E94" s="268">
        <f t="shared" si="22"/>
        <v>1E-4</v>
      </c>
      <c r="F94" s="268">
        <f t="shared" si="23"/>
        <v>6.0000000000000002E-5</v>
      </c>
      <c r="G94" s="212">
        <f t="shared" si="24"/>
        <v>4.0000000000000003E-5</v>
      </c>
      <c r="H94" s="451">
        <f t="shared" si="25"/>
        <v>4380</v>
      </c>
      <c r="I94" s="270">
        <f t="shared" si="26"/>
        <v>0.17520000000000002</v>
      </c>
      <c r="J94" s="257">
        <v>0.86199999999999999</v>
      </c>
      <c r="K94" s="213">
        <f t="shared" si="27"/>
        <v>0.15102240000000003</v>
      </c>
      <c r="L94" s="269">
        <f>F43</f>
        <v>37</v>
      </c>
      <c r="M94" s="444">
        <f t="shared" si="21"/>
        <v>5.5878288000000014</v>
      </c>
    </row>
    <row r="95" spans="1:13" x14ac:dyDescent="0.25">
      <c r="A95" s="254">
        <f t="shared" si="28"/>
        <v>15</v>
      </c>
      <c r="B95" s="262">
        <f t="shared" si="29"/>
        <v>2024</v>
      </c>
      <c r="C95" s="255" t="s">
        <v>287</v>
      </c>
      <c r="D95" s="256" t="s">
        <v>294</v>
      </c>
      <c r="E95" s="268">
        <f t="shared" si="22"/>
        <v>1E-4</v>
      </c>
      <c r="F95" s="268">
        <f t="shared" si="23"/>
        <v>6.0000000000000002E-5</v>
      </c>
      <c r="G95" s="212">
        <f t="shared" si="24"/>
        <v>4.0000000000000003E-5</v>
      </c>
      <c r="H95" s="451">
        <f t="shared" si="25"/>
        <v>4380</v>
      </c>
      <c r="I95" s="270">
        <f t="shared" si="26"/>
        <v>0.17520000000000002</v>
      </c>
      <c r="J95" s="257">
        <v>0.86199999999999999</v>
      </c>
      <c r="K95" s="213">
        <f t="shared" si="27"/>
        <v>0.15102240000000003</v>
      </c>
      <c r="L95" s="269">
        <f>F44</f>
        <v>37</v>
      </c>
      <c r="M95" s="444">
        <f t="shared" si="21"/>
        <v>5.5878288000000014</v>
      </c>
    </row>
    <row r="96" spans="1:13" x14ac:dyDescent="0.25">
      <c r="A96" s="254">
        <f t="shared" si="28"/>
        <v>16</v>
      </c>
      <c r="B96" s="262">
        <f t="shared" si="29"/>
        <v>2025</v>
      </c>
      <c r="C96" s="255" t="s">
        <v>287</v>
      </c>
      <c r="D96" s="256" t="s">
        <v>294</v>
      </c>
      <c r="E96" s="268">
        <f t="shared" si="22"/>
        <v>1E-4</v>
      </c>
      <c r="F96" s="268">
        <f t="shared" si="23"/>
        <v>6.0000000000000002E-5</v>
      </c>
      <c r="G96" s="212">
        <f t="shared" si="24"/>
        <v>4.0000000000000003E-5</v>
      </c>
      <c r="H96" s="451">
        <f t="shared" si="25"/>
        <v>4380</v>
      </c>
      <c r="I96" s="270">
        <f t="shared" si="26"/>
        <v>0.17520000000000002</v>
      </c>
      <c r="J96" s="257">
        <v>0.86199999999999999</v>
      </c>
      <c r="K96" s="213">
        <f t="shared" si="27"/>
        <v>0.15102240000000003</v>
      </c>
      <c r="L96" s="269">
        <f>F45</f>
        <v>37</v>
      </c>
      <c r="M96" s="444">
        <f t="shared" si="21"/>
        <v>5.5878288000000014</v>
      </c>
    </row>
    <row r="97" spans="1:13" x14ac:dyDescent="0.25">
      <c r="A97" s="254">
        <f t="shared" si="28"/>
        <v>17</v>
      </c>
      <c r="B97" s="262">
        <f t="shared" si="29"/>
        <v>2026</v>
      </c>
      <c r="C97" s="255" t="s">
        <v>287</v>
      </c>
      <c r="D97" s="256" t="s">
        <v>294</v>
      </c>
      <c r="E97" s="268">
        <f t="shared" si="22"/>
        <v>1E-4</v>
      </c>
      <c r="F97" s="268">
        <f t="shared" si="23"/>
        <v>6.0000000000000002E-5</v>
      </c>
      <c r="G97" s="212">
        <f t="shared" si="24"/>
        <v>4.0000000000000003E-5</v>
      </c>
      <c r="H97" s="451">
        <f t="shared" si="25"/>
        <v>4380</v>
      </c>
      <c r="I97" s="270">
        <f t="shared" si="26"/>
        <v>0.17520000000000002</v>
      </c>
      <c r="J97" s="257">
        <v>0.86199999999999999</v>
      </c>
      <c r="K97" s="213">
        <f t="shared" si="27"/>
        <v>0.15102240000000003</v>
      </c>
      <c r="L97" s="269">
        <f>F46</f>
        <v>37</v>
      </c>
      <c r="M97" s="444">
        <f t="shared" si="21"/>
        <v>5.5878288000000014</v>
      </c>
    </row>
    <row r="98" spans="1:13" x14ac:dyDescent="0.25">
      <c r="A98" s="254">
        <f t="shared" si="28"/>
        <v>18</v>
      </c>
      <c r="B98" s="262">
        <f t="shared" si="29"/>
        <v>2027</v>
      </c>
      <c r="C98" s="255" t="s">
        <v>287</v>
      </c>
      <c r="D98" s="256" t="s">
        <v>294</v>
      </c>
      <c r="E98" s="268">
        <f t="shared" si="22"/>
        <v>1E-4</v>
      </c>
      <c r="F98" s="268">
        <f t="shared" si="23"/>
        <v>6.0000000000000002E-5</v>
      </c>
      <c r="G98" s="212">
        <f t="shared" si="24"/>
        <v>4.0000000000000003E-5</v>
      </c>
      <c r="H98" s="451">
        <f t="shared" si="25"/>
        <v>4380</v>
      </c>
      <c r="I98" s="270">
        <f t="shared" si="26"/>
        <v>0.17520000000000002</v>
      </c>
      <c r="J98" s="257">
        <v>0.86199999999999999</v>
      </c>
      <c r="K98" s="213">
        <f t="shared" si="27"/>
        <v>0.15102240000000003</v>
      </c>
      <c r="L98" s="269">
        <f>F47</f>
        <v>37</v>
      </c>
      <c r="M98" s="444">
        <f t="shared" si="21"/>
        <v>5.5878288000000014</v>
      </c>
    </row>
    <row r="99" spans="1:13" x14ac:dyDescent="0.25">
      <c r="A99" s="254">
        <f t="shared" si="28"/>
        <v>19</v>
      </c>
      <c r="B99" s="262">
        <f t="shared" si="29"/>
        <v>2028</v>
      </c>
      <c r="C99" s="255" t="s">
        <v>287</v>
      </c>
      <c r="D99" s="256" t="s">
        <v>294</v>
      </c>
      <c r="E99" s="268">
        <f t="shared" si="22"/>
        <v>1E-4</v>
      </c>
      <c r="F99" s="268">
        <f t="shared" si="23"/>
        <v>6.0000000000000002E-5</v>
      </c>
      <c r="G99" s="212">
        <f t="shared" si="24"/>
        <v>4.0000000000000003E-5</v>
      </c>
      <c r="H99" s="451">
        <f t="shared" si="25"/>
        <v>4380</v>
      </c>
      <c r="I99" s="270">
        <f t="shared" si="26"/>
        <v>0.17520000000000002</v>
      </c>
      <c r="J99" s="257">
        <v>0.86199999999999999</v>
      </c>
      <c r="K99" s="213">
        <f t="shared" si="27"/>
        <v>0.15102240000000003</v>
      </c>
      <c r="L99" s="269">
        <f>F48</f>
        <v>37</v>
      </c>
      <c r="M99" s="444">
        <f t="shared" si="21"/>
        <v>5.5878288000000014</v>
      </c>
    </row>
    <row r="100" spans="1:13" x14ac:dyDescent="0.25">
      <c r="A100" s="254">
        <f t="shared" si="28"/>
        <v>20</v>
      </c>
      <c r="B100" s="262">
        <f t="shared" si="29"/>
        <v>2029</v>
      </c>
      <c r="C100" s="255" t="s">
        <v>287</v>
      </c>
      <c r="D100" s="256" t="s">
        <v>294</v>
      </c>
      <c r="E100" s="268">
        <f t="shared" si="22"/>
        <v>1E-4</v>
      </c>
      <c r="F100" s="268">
        <f t="shared" si="23"/>
        <v>6.0000000000000002E-5</v>
      </c>
      <c r="G100" s="212">
        <f t="shared" si="24"/>
        <v>4.0000000000000003E-5</v>
      </c>
      <c r="H100" s="451">
        <f t="shared" si="25"/>
        <v>4380</v>
      </c>
      <c r="I100" s="270">
        <f t="shared" si="26"/>
        <v>0.17520000000000002</v>
      </c>
      <c r="J100" s="257">
        <v>0.86199999999999999</v>
      </c>
      <c r="K100" s="213">
        <f t="shared" si="27"/>
        <v>0.15102240000000003</v>
      </c>
      <c r="L100" s="269">
        <f>F49</f>
        <v>37</v>
      </c>
      <c r="M100" s="444">
        <f t="shared" si="21"/>
        <v>5.5878288000000014</v>
      </c>
    </row>
    <row r="101" spans="1:13" x14ac:dyDescent="0.25">
      <c r="A101" s="254">
        <f t="shared" si="28"/>
        <v>21</v>
      </c>
      <c r="B101" s="262">
        <f t="shared" si="29"/>
        <v>2030</v>
      </c>
      <c r="C101" s="255" t="s">
        <v>287</v>
      </c>
      <c r="D101" s="256" t="s">
        <v>294</v>
      </c>
      <c r="E101" s="268">
        <f t="shared" si="22"/>
        <v>1E-4</v>
      </c>
      <c r="F101" s="268">
        <f t="shared" si="23"/>
        <v>6.0000000000000002E-5</v>
      </c>
      <c r="G101" s="212">
        <f t="shared" si="24"/>
        <v>4.0000000000000003E-5</v>
      </c>
      <c r="H101" s="451">
        <f t="shared" si="25"/>
        <v>4380</v>
      </c>
      <c r="I101" s="270">
        <f t="shared" si="26"/>
        <v>0.17520000000000002</v>
      </c>
      <c r="J101" s="257">
        <v>0.86199999999999999</v>
      </c>
      <c r="K101" s="213">
        <f t="shared" si="27"/>
        <v>0.15102240000000003</v>
      </c>
      <c r="L101" s="269">
        <f>F50</f>
        <v>37</v>
      </c>
      <c r="M101" s="444">
        <f t="shared" si="21"/>
        <v>5.5878288000000014</v>
      </c>
    </row>
  </sheetData>
  <mergeCells count="37">
    <mergeCell ref="R10:R12"/>
    <mergeCell ref="T10:T12"/>
    <mergeCell ref="B10:B12"/>
    <mergeCell ref="D10:D12"/>
    <mergeCell ref="Q10:Q12"/>
    <mergeCell ref="Q1:Q2"/>
    <mergeCell ref="R1:R2"/>
    <mergeCell ref="S1:S2"/>
    <mergeCell ref="T1:T2"/>
    <mergeCell ref="U1:AD1"/>
    <mergeCell ref="A1:A2"/>
    <mergeCell ref="B1:B2"/>
    <mergeCell ref="C1:C2"/>
    <mergeCell ref="D1:D2"/>
    <mergeCell ref="E1:O1"/>
    <mergeCell ref="Q3:Q5"/>
    <mergeCell ref="Q6:Q8"/>
    <mergeCell ref="R3:R5"/>
    <mergeCell ref="R6:R8"/>
    <mergeCell ref="T3:T5"/>
    <mergeCell ref="T6:T8"/>
    <mergeCell ref="A79:K79"/>
    <mergeCell ref="B19:F19"/>
    <mergeCell ref="F21:F23"/>
    <mergeCell ref="A23:A24"/>
    <mergeCell ref="B3:B5"/>
    <mergeCell ref="B6:B8"/>
    <mergeCell ref="A3:A5"/>
    <mergeCell ref="A6:A8"/>
    <mergeCell ref="D3:D5"/>
    <mergeCell ref="D6:D8"/>
    <mergeCell ref="A10:A12"/>
    <mergeCell ref="A18:F18"/>
    <mergeCell ref="A19:A20"/>
    <mergeCell ref="A27:F27"/>
    <mergeCell ref="B28:E28"/>
    <mergeCell ref="A55:K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3"/>
  <sheetViews>
    <sheetView topLeftCell="A47" zoomScale="55" zoomScaleNormal="55" workbookViewId="0">
      <selection activeCell="K62" sqref="K62"/>
    </sheetView>
  </sheetViews>
  <sheetFormatPr defaultRowHeight="15" x14ac:dyDescent="0.25"/>
  <cols>
    <col min="1" max="1" width="4.85546875" customWidth="1"/>
    <col min="2" max="2" width="19.42578125" customWidth="1"/>
    <col min="3" max="3" width="25" customWidth="1"/>
    <col min="4" max="4" width="10.85546875" customWidth="1"/>
    <col min="5" max="5" width="27.5703125" customWidth="1"/>
    <col min="6" max="6" width="11.7109375" customWidth="1"/>
    <col min="7" max="7" width="17.5703125" customWidth="1"/>
    <col min="8" max="8" width="11.5703125" customWidth="1"/>
    <col min="9" max="9" width="14.28515625" customWidth="1"/>
    <col min="10" max="10" width="12.140625" customWidth="1"/>
    <col min="11" max="11" width="10.140625" customWidth="1"/>
    <col min="12" max="12" width="14.5703125" style="159" customWidth="1"/>
    <col min="13" max="13" width="18.140625" style="159" customWidth="1"/>
    <col min="14" max="14" width="21.140625" style="159" customWidth="1"/>
    <col min="15" max="15" width="23.7109375" style="159" customWidth="1"/>
    <col min="16" max="18" width="18.140625" style="159" customWidth="1"/>
    <col min="19" max="19" width="20.85546875" style="91" customWidth="1"/>
    <col min="20" max="20" width="16.28515625" style="28" customWidth="1"/>
  </cols>
  <sheetData>
    <row r="1" spans="1:24" s="91" customFormat="1" x14ac:dyDescent="0.25">
      <c r="A1" s="91" t="s">
        <v>434</v>
      </c>
      <c r="L1" s="159"/>
      <c r="M1" s="159"/>
      <c r="N1" s="159"/>
      <c r="O1" s="159"/>
      <c r="P1" s="159"/>
      <c r="Q1" s="159"/>
      <c r="R1" s="159"/>
      <c r="T1" s="28"/>
    </row>
    <row r="2" spans="1:24" ht="15" customHeight="1" x14ac:dyDescent="0.25">
      <c r="A2" s="721" t="s">
        <v>57</v>
      </c>
      <c r="B2" s="722" t="s">
        <v>58</v>
      </c>
      <c r="C2" s="721" t="s">
        <v>59</v>
      </c>
      <c r="D2" s="723" t="s">
        <v>60</v>
      </c>
      <c r="E2" s="75" t="s">
        <v>34</v>
      </c>
      <c r="F2" s="716" t="s">
        <v>97</v>
      </c>
      <c r="G2" s="717"/>
      <c r="H2" s="717"/>
      <c r="I2" s="717"/>
      <c r="J2" s="718"/>
      <c r="L2" s="164" t="s">
        <v>215</v>
      </c>
    </row>
    <row r="3" spans="1:24" ht="92.25" customHeight="1" x14ac:dyDescent="0.25">
      <c r="A3" s="721"/>
      <c r="B3" s="722"/>
      <c r="C3" s="721"/>
      <c r="D3" s="724"/>
      <c r="E3" s="76" t="s">
        <v>61</v>
      </c>
      <c r="F3" s="81" t="s">
        <v>52</v>
      </c>
      <c r="G3" s="82" t="s">
        <v>54</v>
      </c>
      <c r="H3" s="76" t="s">
        <v>96</v>
      </c>
      <c r="I3" s="76" t="s">
        <v>53</v>
      </c>
      <c r="J3" s="76" t="s">
        <v>28</v>
      </c>
      <c r="L3" s="87" t="s">
        <v>5</v>
      </c>
      <c r="M3" s="86" t="s">
        <v>183</v>
      </c>
      <c r="N3" s="86" t="s">
        <v>214</v>
      </c>
      <c r="O3" s="86" t="s">
        <v>210</v>
      </c>
      <c r="P3" s="86" t="s">
        <v>222</v>
      </c>
      <c r="Q3" s="86" t="s">
        <v>213</v>
      </c>
      <c r="R3" s="86" t="s">
        <v>212</v>
      </c>
      <c r="S3" s="174" t="s">
        <v>254</v>
      </c>
      <c r="T3" s="161"/>
    </row>
    <row r="4" spans="1:24" s="91" customFormat="1" ht="13.5" customHeight="1" thickBot="1" x14ac:dyDescent="0.3">
      <c r="A4" s="95"/>
      <c r="B4" s="93"/>
      <c r="C4" s="95"/>
      <c r="D4" s="89"/>
      <c r="E4" s="93"/>
      <c r="F4" s="81"/>
      <c r="G4" s="82"/>
      <c r="H4" s="93"/>
      <c r="I4" s="93"/>
      <c r="J4" s="93"/>
      <c r="L4" s="165">
        <v>2010</v>
      </c>
      <c r="M4" s="81">
        <v>0</v>
      </c>
      <c r="N4" s="160" t="s">
        <v>223</v>
      </c>
      <c r="O4" s="160" t="s">
        <v>211</v>
      </c>
      <c r="P4" s="160">
        <f t="shared" ref="P4:P24" si="0">$X$6</f>
        <v>3.0000000000000001E-3</v>
      </c>
      <c r="Q4" s="88">
        <v>0.86199999999999999</v>
      </c>
      <c r="R4" s="180">
        <v>0</v>
      </c>
      <c r="S4" s="163">
        <f>R4*Q4</f>
        <v>0</v>
      </c>
      <c r="T4" s="161"/>
    </row>
    <row r="5" spans="1:24" s="91" customFormat="1" ht="13.5" customHeight="1" thickBot="1" x14ac:dyDescent="0.3">
      <c r="A5" s="95"/>
      <c r="B5" s="93"/>
      <c r="C5" s="95"/>
      <c r="D5" s="89"/>
      <c r="E5" s="93"/>
      <c r="F5" s="81"/>
      <c r="G5" s="82"/>
      <c r="H5" s="93"/>
      <c r="I5" s="93"/>
      <c r="J5" s="93"/>
      <c r="L5" s="165">
        <v>2011</v>
      </c>
      <c r="M5" s="81">
        <v>30</v>
      </c>
      <c r="N5" s="160" t="s">
        <v>223</v>
      </c>
      <c r="O5" s="160" t="s">
        <v>211</v>
      </c>
      <c r="P5" s="160">
        <f t="shared" si="0"/>
        <v>3.0000000000000001E-3</v>
      </c>
      <c r="Q5" s="88">
        <v>0.86199999999999999</v>
      </c>
      <c r="R5" s="180">
        <v>26.06</v>
      </c>
      <c r="S5" s="163">
        <f>R5*Q5</f>
        <v>22.463719999999999</v>
      </c>
      <c r="T5" s="161"/>
      <c r="U5" t="s">
        <v>218</v>
      </c>
      <c r="V5" t="s">
        <v>219</v>
      </c>
      <c r="W5" t="s">
        <v>220</v>
      </c>
      <c r="X5" t="s">
        <v>221</v>
      </c>
    </row>
    <row r="6" spans="1:24" ht="15.75" thickBot="1" x14ac:dyDescent="0.3">
      <c r="A6" s="719">
        <v>1</v>
      </c>
      <c r="B6" s="73" t="s">
        <v>62</v>
      </c>
      <c r="C6" s="73"/>
      <c r="D6" s="73"/>
      <c r="E6" s="73"/>
      <c r="F6" s="73"/>
      <c r="G6" s="73"/>
      <c r="H6" s="73"/>
      <c r="I6" s="73"/>
      <c r="J6" s="73"/>
      <c r="L6" s="160">
        <v>2012</v>
      </c>
      <c r="M6" s="160">
        <v>50</v>
      </c>
      <c r="N6" s="160" t="s">
        <v>223</v>
      </c>
      <c r="O6" s="160" t="s">
        <v>211</v>
      </c>
      <c r="P6" s="160">
        <f t="shared" si="0"/>
        <v>3.0000000000000001E-3</v>
      </c>
      <c r="Q6" s="88">
        <v>0.86199999999999999</v>
      </c>
      <c r="R6" s="180">
        <v>52.12</v>
      </c>
      <c r="S6" s="163">
        <f t="shared" ref="S6:S17" si="1">R6*Q6</f>
        <v>44.927439999999997</v>
      </c>
      <c r="T6" s="162"/>
      <c r="U6">
        <v>250</v>
      </c>
      <c r="V6">
        <v>12</v>
      </c>
      <c r="W6">
        <f>V6*U6</f>
        <v>3000</v>
      </c>
      <c r="X6">
        <f>W6/(10^6)</f>
        <v>3.0000000000000001E-3</v>
      </c>
    </row>
    <row r="7" spans="1:24" ht="30.75" thickBot="1" x14ac:dyDescent="0.3">
      <c r="A7" s="719"/>
      <c r="B7" s="720" t="s">
        <v>63</v>
      </c>
      <c r="C7" s="77" t="s">
        <v>64</v>
      </c>
      <c r="D7" s="80">
        <v>2013</v>
      </c>
      <c r="E7" s="80">
        <v>6</v>
      </c>
      <c r="F7" s="175">
        <f>E7*0.238*365</f>
        <v>521.22</v>
      </c>
      <c r="G7" s="79">
        <f>E7*0.011*365</f>
        <v>24.09</v>
      </c>
      <c r="H7" s="79">
        <f>F7-G7</f>
        <v>497.13000000000005</v>
      </c>
      <c r="I7" s="78">
        <v>0.86199999999999999</v>
      </c>
      <c r="J7" s="83">
        <f>H7*I7</f>
        <v>428.52606000000003</v>
      </c>
      <c r="L7" s="160">
        <v>2013</v>
      </c>
      <c r="M7" s="160">
        <v>60</v>
      </c>
      <c r="N7" s="160" t="s">
        <v>223</v>
      </c>
      <c r="O7" s="160" t="s">
        <v>211</v>
      </c>
      <c r="P7" s="160">
        <f t="shared" si="0"/>
        <v>3.0000000000000001E-3</v>
      </c>
      <c r="Q7" s="88">
        <v>0.86199999999999999</v>
      </c>
      <c r="R7" s="180">
        <v>52.12</v>
      </c>
      <c r="S7" s="163">
        <f t="shared" si="1"/>
        <v>44.927439999999997</v>
      </c>
      <c r="T7" s="162"/>
      <c r="W7">
        <f>W6/1752</f>
        <v>1.7123287671232876</v>
      </c>
      <c r="X7" t="s">
        <v>427</v>
      </c>
    </row>
    <row r="8" spans="1:24" ht="30.75" thickBot="1" x14ac:dyDescent="0.3">
      <c r="A8" s="719"/>
      <c r="B8" s="720"/>
      <c r="C8" s="77" t="s">
        <v>65</v>
      </c>
      <c r="D8" s="80">
        <v>2013</v>
      </c>
      <c r="E8" s="80">
        <v>6</v>
      </c>
      <c r="F8" s="175">
        <f>E8*0.238*365</f>
        <v>521.22</v>
      </c>
      <c r="G8" s="79">
        <f t="shared" ref="G8:G18" si="2">E8*0.011*365</f>
        <v>24.09</v>
      </c>
      <c r="H8" s="79">
        <f>F8-G8</f>
        <v>497.13000000000005</v>
      </c>
      <c r="I8" s="78">
        <v>0.86199999999999999</v>
      </c>
      <c r="J8" s="83">
        <f>H8*I8</f>
        <v>428.52606000000003</v>
      </c>
      <c r="L8" s="160">
        <v>2014</v>
      </c>
      <c r="M8" s="160">
        <v>60</v>
      </c>
      <c r="N8" s="160" t="s">
        <v>223</v>
      </c>
      <c r="O8" s="160" t="s">
        <v>211</v>
      </c>
      <c r="P8" s="160">
        <f t="shared" si="0"/>
        <v>3.0000000000000001E-3</v>
      </c>
      <c r="Q8" s="88">
        <v>0.86199999999999999</v>
      </c>
      <c r="R8" s="180">
        <v>52.12</v>
      </c>
      <c r="S8" s="163">
        <f t="shared" si="1"/>
        <v>44.927439999999997</v>
      </c>
      <c r="T8" s="162"/>
    </row>
    <row r="9" spans="1:24" ht="51.75" customHeight="1" thickBot="1" x14ac:dyDescent="0.3">
      <c r="A9" s="719"/>
      <c r="B9" s="720"/>
      <c r="C9" s="77" t="s">
        <v>66</v>
      </c>
      <c r="D9" s="80">
        <v>2014</v>
      </c>
      <c r="E9" s="80">
        <v>35</v>
      </c>
      <c r="F9" s="175">
        <f t="shared" ref="F9:F24" si="3">E9*0.238*365</f>
        <v>3040.45</v>
      </c>
      <c r="G9" s="79">
        <f t="shared" si="2"/>
        <v>140.52499999999998</v>
      </c>
      <c r="H9" s="79">
        <f t="shared" ref="H9" si="4">F9-G9</f>
        <v>2899.9249999999997</v>
      </c>
      <c r="I9" s="78">
        <v>0.86199999999999999</v>
      </c>
      <c r="J9" s="83">
        <f t="shared" ref="J9" si="5">H9*I9</f>
        <v>2499.7353499999999</v>
      </c>
      <c r="L9" s="160">
        <v>2015</v>
      </c>
      <c r="M9" s="160">
        <v>60</v>
      </c>
      <c r="N9" s="160" t="s">
        <v>223</v>
      </c>
      <c r="O9" s="160" t="s">
        <v>211</v>
      </c>
      <c r="P9" s="160">
        <f t="shared" si="0"/>
        <v>3.0000000000000001E-3</v>
      </c>
      <c r="Q9" s="88">
        <v>0.86199999999999999</v>
      </c>
      <c r="R9" s="180">
        <v>52.12</v>
      </c>
      <c r="S9" s="163">
        <f t="shared" si="1"/>
        <v>44.927439999999997</v>
      </c>
      <c r="T9" s="162"/>
    </row>
    <row r="10" spans="1:24" ht="15.75" thickBot="1" x14ac:dyDescent="0.3">
      <c r="A10" s="719">
        <v>2</v>
      </c>
      <c r="B10" s="73" t="s">
        <v>67</v>
      </c>
      <c r="C10" s="74"/>
      <c r="D10" s="78"/>
      <c r="E10" s="78"/>
      <c r="F10" s="175"/>
      <c r="G10" s="78"/>
      <c r="H10" s="78"/>
      <c r="I10" s="78"/>
      <c r="J10" s="51"/>
      <c r="L10" s="160">
        <f>L9+1</f>
        <v>2016</v>
      </c>
      <c r="M10" s="160">
        <v>60</v>
      </c>
      <c r="N10" s="160" t="s">
        <v>223</v>
      </c>
      <c r="O10" s="160" t="s">
        <v>211</v>
      </c>
      <c r="P10" s="160">
        <f t="shared" si="0"/>
        <v>3.0000000000000001E-3</v>
      </c>
      <c r="Q10" s="88">
        <v>0.86199999999999999</v>
      </c>
      <c r="R10" s="180">
        <v>52.12</v>
      </c>
      <c r="S10" s="163">
        <f t="shared" si="1"/>
        <v>44.927439999999997</v>
      </c>
      <c r="U10" s="156"/>
      <c r="V10" s="157"/>
      <c r="W10" s="158"/>
    </row>
    <row r="11" spans="1:24" ht="30.75" thickBot="1" x14ac:dyDescent="0.3">
      <c r="A11" s="719"/>
      <c r="B11" s="720" t="s">
        <v>68</v>
      </c>
      <c r="C11" s="77" t="s">
        <v>69</v>
      </c>
      <c r="D11" s="80">
        <v>2013</v>
      </c>
      <c r="E11" s="80">
        <v>5</v>
      </c>
      <c r="F11" s="175">
        <f t="shared" si="3"/>
        <v>434.34999999999997</v>
      </c>
      <c r="G11" s="79">
        <f t="shared" si="2"/>
        <v>20.074999999999999</v>
      </c>
      <c r="H11" s="79">
        <f>F11-G11</f>
        <v>414.27499999999998</v>
      </c>
      <c r="I11" s="78">
        <v>0.86199999999999999</v>
      </c>
      <c r="J11" s="84">
        <f>H11*I11</f>
        <v>357.10504999999995</v>
      </c>
      <c r="L11" s="160">
        <f t="shared" ref="L11:L23" si="6">L10+1</f>
        <v>2017</v>
      </c>
      <c r="M11" s="160">
        <v>60</v>
      </c>
      <c r="N11" s="160" t="s">
        <v>223</v>
      </c>
      <c r="O11" s="160" t="s">
        <v>211</v>
      </c>
      <c r="P11" s="160">
        <f t="shared" si="0"/>
        <v>3.0000000000000001E-3</v>
      </c>
      <c r="Q11" s="88">
        <v>0.86199999999999999</v>
      </c>
      <c r="R11" s="180">
        <v>52.12</v>
      </c>
      <c r="S11" s="163">
        <f t="shared" si="1"/>
        <v>44.927439999999997</v>
      </c>
    </row>
    <row r="12" spans="1:24" ht="30.75" thickBot="1" x14ac:dyDescent="0.3">
      <c r="A12" s="719"/>
      <c r="B12" s="720"/>
      <c r="C12" s="77" t="s">
        <v>70</v>
      </c>
      <c r="D12" s="80">
        <v>2013</v>
      </c>
      <c r="E12" s="80">
        <v>5</v>
      </c>
      <c r="F12" s="175">
        <f t="shared" si="3"/>
        <v>434.34999999999997</v>
      </c>
      <c r="G12" s="79">
        <f t="shared" si="2"/>
        <v>20.074999999999999</v>
      </c>
      <c r="H12" s="79">
        <f>F12-G12</f>
        <v>414.27499999999998</v>
      </c>
      <c r="I12" s="78">
        <v>0.86199999999999999</v>
      </c>
      <c r="J12" s="84">
        <f t="shared" ref="J12:J24" si="7">H12*I12</f>
        <v>357.10504999999995</v>
      </c>
      <c r="L12" s="160">
        <f t="shared" si="6"/>
        <v>2018</v>
      </c>
      <c r="M12" s="160">
        <v>60</v>
      </c>
      <c r="N12" s="160" t="s">
        <v>223</v>
      </c>
      <c r="O12" s="160" t="s">
        <v>211</v>
      </c>
      <c r="P12" s="160">
        <f t="shared" si="0"/>
        <v>3.0000000000000001E-3</v>
      </c>
      <c r="Q12" s="88">
        <v>0.86199999999999999</v>
      </c>
      <c r="R12" s="180">
        <v>52.12</v>
      </c>
      <c r="S12" s="163">
        <f t="shared" si="1"/>
        <v>44.927439999999997</v>
      </c>
    </row>
    <row r="13" spans="1:24" ht="30.75" thickBot="1" x14ac:dyDescent="0.3">
      <c r="A13" s="719"/>
      <c r="B13" s="720"/>
      <c r="C13" s="77" t="s">
        <v>71</v>
      </c>
      <c r="D13" s="80">
        <v>2013</v>
      </c>
      <c r="E13" s="80">
        <v>5</v>
      </c>
      <c r="F13" s="175">
        <f t="shared" si="3"/>
        <v>434.34999999999997</v>
      </c>
      <c r="G13" s="79">
        <f t="shared" si="2"/>
        <v>20.074999999999999</v>
      </c>
      <c r="H13" s="79">
        <f>F13-G13</f>
        <v>414.27499999999998</v>
      </c>
      <c r="I13" s="78">
        <v>0.86199999999999999</v>
      </c>
      <c r="J13" s="84">
        <f t="shared" si="7"/>
        <v>357.10504999999995</v>
      </c>
      <c r="L13" s="160">
        <f t="shared" si="6"/>
        <v>2019</v>
      </c>
      <c r="M13" s="160">
        <v>60</v>
      </c>
      <c r="N13" s="160" t="s">
        <v>223</v>
      </c>
      <c r="O13" s="160" t="s">
        <v>211</v>
      </c>
      <c r="P13" s="160">
        <f t="shared" si="0"/>
        <v>3.0000000000000001E-3</v>
      </c>
      <c r="Q13" s="88">
        <v>0.86199999999999999</v>
      </c>
      <c r="R13" s="180">
        <v>52.12</v>
      </c>
      <c r="S13" s="163">
        <f t="shared" si="1"/>
        <v>44.927439999999997</v>
      </c>
    </row>
    <row r="14" spans="1:24" ht="64.5" customHeight="1" thickBot="1" x14ac:dyDescent="0.3">
      <c r="A14" s="719"/>
      <c r="B14" s="720"/>
      <c r="C14" s="77" t="s">
        <v>72</v>
      </c>
      <c r="D14" s="80">
        <v>2014</v>
      </c>
      <c r="E14" s="80">
        <v>65</v>
      </c>
      <c r="F14" s="175">
        <f t="shared" si="3"/>
        <v>5646.5499999999993</v>
      </c>
      <c r="G14" s="79">
        <f t="shared" si="2"/>
        <v>260.97499999999997</v>
      </c>
      <c r="H14" s="79">
        <f>F14-G14</f>
        <v>5385.5749999999989</v>
      </c>
      <c r="I14" s="78">
        <v>0.86199999999999999</v>
      </c>
      <c r="J14" s="84">
        <f t="shared" si="7"/>
        <v>4642.3656499999988</v>
      </c>
      <c r="L14" s="160">
        <f t="shared" si="6"/>
        <v>2020</v>
      </c>
      <c r="M14" s="160">
        <v>60</v>
      </c>
      <c r="N14" s="160" t="s">
        <v>223</v>
      </c>
      <c r="O14" s="160" t="s">
        <v>211</v>
      </c>
      <c r="P14" s="160">
        <f t="shared" si="0"/>
        <v>3.0000000000000001E-3</v>
      </c>
      <c r="Q14" s="88">
        <v>0.86199999999999999</v>
      </c>
      <c r="R14" s="180">
        <v>52.12</v>
      </c>
      <c r="S14" s="163">
        <f t="shared" si="1"/>
        <v>44.927439999999997</v>
      </c>
    </row>
    <row r="15" spans="1:24" ht="15.75" thickBot="1" x14ac:dyDescent="0.3">
      <c r="A15" s="618">
        <v>3</v>
      </c>
      <c r="B15" s="73" t="s">
        <v>73</v>
      </c>
      <c r="C15" s="74"/>
      <c r="D15" s="78"/>
      <c r="E15" s="78"/>
      <c r="F15" s="175"/>
      <c r="G15" s="78"/>
      <c r="H15" s="78"/>
      <c r="I15" s="78"/>
      <c r="J15" s="51"/>
      <c r="L15" s="160">
        <f t="shared" si="6"/>
        <v>2021</v>
      </c>
      <c r="M15" s="160">
        <v>60</v>
      </c>
      <c r="N15" s="160" t="s">
        <v>223</v>
      </c>
      <c r="O15" s="160" t="s">
        <v>211</v>
      </c>
      <c r="P15" s="160">
        <f t="shared" si="0"/>
        <v>3.0000000000000001E-3</v>
      </c>
      <c r="Q15" s="88">
        <v>0.86199999999999999</v>
      </c>
      <c r="R15" s="180">
        <v>52.12</v>
      </c>
      <c r="S15" s="163">
        <f t="shared" si="1"/>
        <v>44.927439999999997</v>
      </c>
    </row>
    <row r="16" spans="1:24" ht="30.75" thickBot="1" x14ac:dyDescent="0.3">
      <c r="A16" s="619"/>
      <c r="B16" s="720" t="s">
        <v>74</v>
      </c>
      <c r="C16" s="77" t="s">
        <v>75</v>
      </c>
      <c r="D16" s="80">
        <v>2013</v>
      </c>
      <c r="E16" s="80">
        <v>8</v>
      </c>
      <c r="F16" s="175">
        <f t="shared" si="3"/>
        <v>694.95999999999992</v>
      </c>
      <c r="G16" s="79">
        <f t="shared" si="2"/>
        <v>32.119999999999997</v>
      </c>
      <c r="H16" s="79">
        <f>F16-G16</f>
        <v>662.83999999999992</v>
      </c>
      <c r="I16" s="78">
        <v>0.86199999999999999</v>
      </c>
      <c r="J16" s="84">
        <f t="shared" si="7"/>
        <v>571.36807999999996</v>
      </c>
      <c r="L16" s="160">
        <f t="shared" si="6"/>
        <v>2022</v>
      </c>
      <c r="M16" s="160">
        <v>60</v>
      </c>
      <c r="N16" s="160" t="s">
        <v>223</v>
      </c>
      <c r="O16" s="160" t="s">
        <v>211</v>
      </c>
      <c r="P16" s="160">
        <f t="shared" si="0"/>
        <v>3.0000000000000001E-3</v>
      </c>
      <c r="Q16" s="88">
        <v>0.86199999999999999</v>
      </c>
      <c r="R16" s="180">
        <v>52.12</v>
      </c>
      <c r="S16" s="163">
        <f t="shared" si="1"/>
        <v>44.927439999999997</v>
      </c>
    </row>
    <row r="17" spans="1:20" ht="45.75" thickBot="1" x14ac:dyDescent="0.3">
      <c r="A17" s="619"/>
      <c r="B17" s="720"/>
      <c r="C17" s="77" t="s">
        <v>76</v>
      </c>
      <c r="D17" s="80">
        <v>2013</v>
      </c>
      <c r="E17" s="80">
        <v>7</v>
      </c>
      <c r="F17" s="175">
        <f t="shared" si="3"/>
        <v>608.08999999999992</v>
      </c>
      <c r="G17" s="79">
        <f t="shared" si="2"/>
        <v>28.105</v>
      </c>
      <c r="H17" s="79">
        <f t="shared" ref="H17:H24" si="8">F17-G17</f>
        <v>579.9849999999999</v>
      </c>
      <c r="I17" s="78">
        <v>0.86199999999999999</v>
      </c>
      <c r="J17" s="84">
        <f t="shared" si="7"/>
        <v>499.94706999999988</v>
      </c>
      <c r="L17" s="160">
        <f t="shared" si="6"/>
        <v>2023</v>
      </c>
      <c r="M17" s="160">
        <v>60</v>
      </c>
      <c r="N17" s="160" t="s">
        <v>223</v>
      </c>
      <c r="O17" s="160" t="s">
        <v>211</v>
      </c>
      <c r="P17" s="160">
        <f t="shared" si="0"/>
        <v>3.0000000000000001E-3</v>
      </c>
      <c r="Q17" s="88">
        <v>0.86199999999999999</v>
      </c>
      <c r="R17" s="180">
        <v>52.12</v>
      </c>
      <c r="S17" s="163">
        <f t="shared" si="1"/>
        <v>44.927439999999997</v>
      </c>
    </row>
    <row r="18" spans="1:20" ht="64.5" customHeight="1" thickBot="1" x14ac:dyDescent="0.3">
      <c r="A18" s="620"/>
      <c r="B18" s="720"/>
      <c r="C18" s="77" t="s">
        <v>77</v>
      </c>
      <c r="D18" s="80">
        <v>2014</v>
      </c>
      <c r="E18" s="80">
        <v>35</v>
      </c>
      <c r="F18" s="175">
        <f>E18*0.238*365</f>
        <v>3040.45</v>
      </c>
      <c r="G18" s="79">
        <f t="shared" si="2"/>
        <v>140.52499999999998</v>
      </c>
      <c r="H18" s="79">
        <f t="shared" si="8"/>
        <v>2899.9249999999997</v>
      </c>
      <c r="I18" s="78">
        <v>0.86199999999999999</v>
      </c>
      <c r="J18" s="84">
        <f t="shared" si="7"/>
        <v>2499.7353499999999</v>
      </c>
      <c r="L18" s="160">
        <f t="shared" si="6"/>
        <v>2024</v>
      </c>
      <c r="M18" s="160">
        <v>60</v>
      </c>
      <c r="N18" s="160" t="s">
        <v>223</v>
      </c>
      <c r="O18" s="160" t="s">
        <v>211</v>
      </c>
      <c r="P18" s="160">
        <f t="shared" si="0"/>
        <v>3.0000000000000001E-3</v>
      </c>
      <c r="Q18" s="88">
        <v>0.86199999999999999</v>
      </c>
      <c r="R18" s="180">
        <v>52.12</v>
      </c>
      <c r="S18" s="163">
        <f>R18*Q18</f>
        <v>44.927439999999997</v>
      </c>
    </row>
    <row r="19" spans="1:20" ht="15.75" thickBot="1" x14ac:dyDescent="0.3">
      <c r="A19" s="618">
        <v>4</v>
      </c>
      <c r="B19" s="73" t="s">
        <v>78</v>
      </c>
      <c r="C19" s="74"/>
      <c r="D19" s="78"/>
      <c r="E19" s="78"/>
      <c r="F19" s="175"/>
      <c r="G19" s="78"/>
      <c r="H19" s="78"/>
      <c r="I19" s="78"/>
      <c r="J19" s="51"/>
      <c r="L19" s="160">
        <f t="shared" si="6"/>
        <v>2025</v>
      </c>
      <c r="M19" s="160">
        <v>60</v>
      </c>
      <c r="N19" s="160" t="s">
        <v>223</v>
      </c>
      <c r="O19" s="160" t="s">
        <v>211</v>
      </c>
      <c r="P19" s="160">
        <f t="shared" si="0"/>
        <v>3.0000000000000001E-3</v>
      </c>
      <c r="Q19" s="88">
        <v>0.86199999999999999</v>
      </c>
      <c r="R19" s="180">
        <v>52.12</v>
      </c>
      <c r="S19" s="163">
        <f t="shared" ref="S19:S24" si="9">R19*Q19</f>
        <v>44.927439999999997</v>
      </c>
    </row>
    <row r="20" spans="1:20" ht="30.75" thickBot="1" x14ac:dyDescent="0.3">
      <c r="A20" s="619"/>
      <c r="B20" s="720" t="s">
        <v>79</v>
      </c>
      <c r="C20" s="77" t="s">
        <v>80</v>
      </c>
      <c r="D20" s="80">
        <v>2012</v>
      </c>
      <c r="E20" s="80">
        <v>20</v>
      </c>
      <c r="F20" s="175">
        <f t="shared" si="3"/>
        <v>1737.3999999999999</v>
      </c>
      <c r="G20" s="79">
        <f t="shared" ref="G20:G24" si="10">E20*0.011*365</f>
        <v>80.3</v>
      </c>
      <c r="H20" s="79">
        <f>F20-G20</f>
        <v>1657.1</v>
      </c>
      <c r="I20" s="78">
        <v>0.86199999999999999</v>
      </c>
      <c r="J20" s="84">
        <f>H20*I20</f>
        <v>1428.4201999999998</v>
      </c>
      <c r="L20" s="160">
        <f t="shared" si="6"/>
        <v>2026</v>
      </c>
      <c r="M20" s="160">
        <v>60</v>
      </c>
      <c r="N20" s="160" t="s">
        <v>223</v>
      </c>
      <c r="O20" s="160" t="s">
        <v>211</v>
      </c>
      <c r="P20" s="160">
        <f t="shared" si="0"/>
        <v>3.0000000000000001E-3</v>
      </c>
      <c r="Q20" s="88">
        <v>0.86199999999999999</v>
      </c>
      <c r="R20" s="180">
        <v>52.12</v>
      </c>
      <c r="S20" s="163">
        <f t="shared" si="9"/>
        <v>44.927439999999997</v>
      </c>
    </row>
    <row r="21" spans="1:20" ht="15.75" thickBot="1" x14ac:dyDescent="0.3">
      <c r="A21" s="619"/>
      <c r="B21" s="720"/>
      <c r="C21" s="77" t="s">
        <v>81</v>
      </c>
      <c r="D21" s="80">
        <v>2012</v>
      </c>
      <c r="E21" s="80">
        <v>10</v>
      </c>
      <c r="F21" s="175">
        <f t="shared" si="3"/>
        <v>868.69999999999993</v>
      </c>
      <c r="G21" s="79">
        <f t="shared" si="10"/>
        <v>40.15</v>
      </c>
      <c r="H21" s="79">
        <f t="shared" si="8"/>
        <v>828.55</v>
      </c>
      <c r="I21" s="78">
        <v>0.86199999999999999</v>
      </c>
      <c r="J21" s="84">
        <f t="shared" si="7"/>
        <v>714.2100999999999</v>
      </c>
      <c r="L21" s="160">
        <f t="shared" si="6"/>
        <v>2027</v>
      </c>
      <c r="M21" s="160">
        <v>60</v>
      </c>
      <c r="N21" s="160" t="s">
        <v>223</v>
      </c>
      <c r="O21" s="160" t="s">
        <v>211</v>
      </c>
      <c r="P21" s="160">
        <f t="shared" si="0"/>
        <v>3.0000000000000001E-3</v>
      </c>
      <c r="Q21" s="88">
        <v>0.86199999999999999</v>
      </c>
      <c r="R21" s="180">
        <v>52.12</v>
      </c>
      <c r="S21" s="163">
        <f t="shared" si="9"/>
        <v>44.927439999999997</v>
      </c>
    </row>
    <row r="22" spans="1:20" ht="15.75" thickBot="1" x14ac:dyDescent="0.3">
      <c r="A22" s="619"/>
      <c r="B22" s="720"/>
      <c r="C22" s="77" t="s">
        <v>82</v>
      </c>
      <c r="D22" s="80">
        <v>2012</v>
      </c>
      <c r="E22" s="80">
        <v>20</v>
      </c>
      <c r="F22" s="175">
        <f t="shared" si="3"/>
        <v>1737.3999999999999</v>
      </c>
      <c r="G22" s="79">
        <f t="shared" si="10"/>
        <v>80.3</v>
      </c>
      <c r="H22" s="79">
        <f t="shared" si="8"/>
        <v>1657.1</v>
      </c>
      <c r="I22" s="78">
        <v>0.86199999999999999</v>
      </c>
      <c r="J22" s="84">
        <f t="shared" si="7"/>
        <v>1428.4201999999998</v>
      </c>
      <c r="L22" s="160">
        <f t="shared" si="6"/>
        <v>2028</v>
      </c>
      <c r="M22" s="160">
        <v>60</v>
      </c>
      <c r="N22" s="160" t="s">
        <v>223</v>
      </c>
      <c r="O22" s="160" t="s">
        <v>211</v>
      </c>
      <c r="P22" s="160">
        <f t="shared" si="0"/>
        <v>3.0000000000000001E-3</v>
      </c>
      <c r="Q22" s="88">
        <v>0.86199999999999999</v>
      </c>
      <c r="R22" s="180">
        <v>52.12</v>
      </c>
      <c r="S22" s="163">
        <f t="shared" si="9"/>
        <v>44.927439999999997</v>
      </c>
    </row>
    <row r="23" spans="1:20" ht="15.75" thickBot="1" x14ac:dyDescent="0.3">
      <c r="A23" s="619"/>
      <c r="B23" s="720"/>
      <c r="C23" s="77" t="s">
        <v>83</v>
      </c>
      <c r="D23" s="80">
        <v>2012</v>
      </c>
      <c r="E23" s="80">
        <v>10</v>
      </c>
      <c r="F23" s="175">
        <f t="shared" si="3"/>
        <v>868.69999999999993</v>
      </c>
      <c r="G23" s="79">
        <f t="shared" si="10"/>
        <v>40.15</v>
      </c>
      <c r="H23" s="79">
        <f t="shared" si="8"/>
        <v>828.55</v>
      </c>
      <c r="I23" s="78">
        <v>0.86199999999999999</v>
      </c>
      <c r="J23" s="84">
        <f t="shared" si="7"/>
        <v>714.2100999999999</v>
      </c>
      <c r="L23" s="160">
        <f t="shared" si="6"/>
        <v>2029</v>
      </c>
      <c r="M23" s="160">
        <v>60</v>
      </c>
      <c r="N23" s="160" t="s">
        <v>223</v>
      </c>
      <c r="O23" s="160" t="s">
        <v>211</v>
      </c>
      <c r="P23" s="160">
        <f t="shared" si="0"/>
        <v>3.0000000000000001E-3</v>
      </c>
      <c r="Q23" s="88">
        <v>0.86199999999999999</v>
      </c>
      <c r="R23" s="180">
        <v>52.12</v>
      </c>
      <c r="S23" s="163">
        <f t="shared" si="9"/>
        <v>44.927439999999997</v>
      </c>
    </row>
    <row r="24" spans="1:20" ht="30.75" thickBot="1" x14ac:dyDescent="0.3">
      <c r="A24" s="619"/>
      <c r="B24" s="720"/>
      <c r="C24" s="77" t="s">
        <v>84</v>
      </c>
      <c r="D24" s="80">
        <v>2013</v>
      </c>
      <c r="E24" s="80">
        <v>5</v>
      </c>
      <c r="F24" s="175">
        <f t="shared" si="3"/>
        <v>434.34999999999997</v>
      </c>
      <c r="G24" s="79">
        <f t="shared" si="10"/>
        <v>20.074999999999999</v>
      </c>
      <c r="H24" s="79">
        <f t="shared" si="8"/>
        <v>414.27499999999998</v>
      </c>
      <c r="I24" s="78">
        <v>0.86199999999999999</v>
      </c>
      <c r="J24" s="84">
        <f t="shared" si="7"/>
        <v>357.10504999999995</v>
      </c>
      <c r="L24" s="160">
        <f t="shared" ref="L24" si="11">L23+1</f>
        <v>2030</v>
      </c>
      <c r="M24" s="160">
        <v>60</v>
      </c>
      <c r="N24" s="160" t="s">
        <v>223</v>
      </c>
      <c r="O24" s="160" t="s">
        <v>211</v>
      </c>
      <c r="P24" s="160">
        <f t="shared" si="0"/>
        <v>3.0000000000000001E-3</v>
      </c>
      <c r="Q24" s="88">
        <v>0.86199999999999999</v>
      </c>
      <c r="R24" s="180">
        <v>52.12</v>
      </c>
      <c r="S24" s="163">
        <f t="shared" si="9"/>
        <v>44.927439999999997</v>
      </c>
    </row>
    <row r="25" spans="1:20" ht="50.25" customHeight="1" x14ac:dyDescent="0.25">
      <c r="A25" s="72" t="s">
        <v>95</v>
      </c>
      <c r="B25" s="72"/>
      <c r="C25" s="72"/>
      <c r="D25" s="72"/>
      <c r="E25" s="72"/>
      <c r="L25" s="715" t="s">
        <v>224</v>
      </c>
      <c r="M25" s="715"/>
      <c r="N25" s="715"/>
      <c r="O25" s="715"/>
      <c r="P25" s="715"/>
      <c r="Q25" s="715"/>
      <c r="R25" s="715"/>
      <c r="S25" s="715"/>
    </row>
    <row r="28" spans="1:20" ht="15.75" thickBot="1" x14ac:dyDescent="0.3">
      <c r="L28" s="222" t="s">
        <v>258</v>
      </c>
      <c r="M28" s="223"/>
      <c r="R28" s="159" t="s">
        <v>259</v>
      </c>
    </row>
    <row r="29" spans="1:20" ht="26.25" thickBot="1" x14ac:dyDescent="0.3">
      <c r="L29" s="235" t="s">
        <v>57</v>
      </c>
      <c r="M29" s="236" t="s">
        <v>58</v>
      </c>
      <c r="N29" s="236" t="s">
        <v>59</v>
      </c>
      <c r="O29" s="236" t="s">
        <v>60</v>
      </c>
      <c r="P29" s="236" t="s">
        <v>255</v>
      </c>
      <c r="R29" s="224" t="s">
        <v>256</v>
      </c>
      <c r="S29" s="73"/>
    </row>
    <row r="30" spans="1:20" ht="15.75" thickBot="1" x14ac:dyDescent="0.3">
      <c r="L30" s="709">
        <v>1</v>
      </c>
      <c r="M30" s="237" t="s">
        <v>62</v>
      </c>
      <c r="N30" s="237"/>
      <c r="O30" s="238"/>
      <c r="P30" s="238"/>
      <c r="R30" s="73">
        <v>2012</v>
      </c>
      <c r="S30" s="73">
        <f>P44+P45+P46+P47</f>
        <v>60</v>
      </c>
      <c r="T30" s="28" t="s">
        <v>261</v>
      </c>
    </row>
    <row r="31" spans="1:20" ht="26.25" thickBot="1" x14ac:dyDescent="0.3">
      <c r="L31" s="710"/>
      <c r="M31" s="709" t="s">
        <v>63</v>
      </c>
      <c r="N31" s="237" t="s">
        <v>64</v>
      </c>
      <c r="O31" s="239">
        <v>2013</v>
      </c>
      <c r="P31" s="239">
        <v>6</v>
      </c>
      <c r="R31" s="73">
        <v>2013</v>
      </c>
      <c r="S31" s="73">
        <f>P31+P35+P36+P37+P40+P41+P48+P49+P50+P53+P54</f>
        <v>66</v>
      </c>
      <c r="T31" s="28" t="s">
        <v>261</v>
      </c>
    </row>
    <row r="32" spans="1:20" ht="26.25" thickBot="1" x14ac:dyDescent="0.3">
      <c r="L32" s="710"/>
      <c r="M32" s="710"/>
      <c r="N32" s="237" t="s">
        <v>65</v>
      </c>
      <c r="O32" s="239">
        <v>2013</v>
      </c>
      <c r="P32" s="239">
        <v>6</v>
      </c>
      <c r="R32" s="73">
        <f>R31+1</f>
        <v>2014</v>
      </c>
      <c r="S32" s="73">
        <f>+P33+P38+P42+P51+P55</f>
        <v>189</v>
      </c>
      <c r="T32" s="28" t="s">
        <v>261</v>
      </c>
    </row>
    <row r="33" spans="2:20" ht="15.75" thickBot="1" x14ac:dyDescent="0.3">
      <c r="L33" s="711"/>
      <c r="M33" s="711"/>
      <c r="N33" s="237" t="s">
        <v>66</v>
      </c>
      <c r="O33" s="239">
        <v>2014</v>
      </c>
      <c r="P33" s="239">
        <v>35</v>
      </c>
      <c r="R33" s="73">
        <f t="shared" ref="R33:R48" si="12">R32+1</f>
        <v>2015</v>
      </c>
      <c r="S33" s="73">
        <f>+P56+P57+P58</f>
        <v>51</v>
      </c>
      <c r="T33" s="28" t="s">
        <v>261</v>
      </c>
    </row>
    <row r="34" spans="2:20" ht="15.75" thickBot="1" x14ac:dyDescent="0.3">
      <c r="L34" s="709">
        <v>2</v>
      </c>
      <c r="M34" s="237" t="s">
        <v>67</v>
      </c>
      <c r="N34" s="237"/>
      <c r="O34" s="240"/>
      <c r="P34" s="240"/>
      <c r="R34" s="73">
        <f t="shared" si="12"/>
        <v>2016</v>
      </c>
      <c r="S34" s="73">
        <v>60</v>
      </c>
      <c r="T34" s="28" t="s">
        <v>260</v>
      </c>
    </row>
    <row r="35" spans="2:20" ht="26.25" thickBot="1" x14ac:dyDescent="0.3">
      <c r="L35" s="710"/>
      <c r="M35" s="709" t="s">
        <v>68</v>
      </c>
      <c r="N35" s="237" t="s">
        <v>69</v>
      </c>
      <c r="O35" s="239">
        <v>2013</v>
      </c>
      <c r="P35" s="239">
        <v>5</v>
      </c>
      <c r="R35" s="73">
        <f t="shared" si="12"/>
        <v>2017</v>
      </c>
      <c r="S35" s="73">
        <v>60</v>
      </c>
      <c r="T35" s="28" t="s">
        <v>260</v>
      </c>
    </row>
    <row r="36" spans="2:20" ht="26.25" thickBot="1" x14ac:dyDescent="0.3">
      <c r="B36">
        <v>2010</v>
      </c>
      <c r="C36">
        <v>2011</v>
      </c>
      <c r="D36">
        <v>2012</v>
      </c>
      <c r="E36">
        <v>2013</v>
      </c>
      <c r="F36">
        <v>2014</v>
      </c>
      <c r="G36">
        <v>2015</v>
      </c>
      <c r="H36">
        <v>2016</v>
      </c>
      <c r="I36">
        <v>2017</v>
      </c>
      <c r="J36">
        <v>2018</v>
      </c>
      <c r="L36" s="710"/>
      <c r="M36" s="710"/>
      <c r="N36" s="237" t="s">
        <v>70</v>
      </c>
      <c r="O36" s="239">
        <v>2013</v>
      </c>
      <c r="P36" s="239">
        <v>5</v>
      </c>
      <c r="R36" s="73">
        <f t="shared" si="12"/>
        <v>2018</v>
      </c>
      <c r="S36" s="73">
        <v>60</v>
      </c>
      <c r="T36" s="28" t="s">
        <v>260</v>
      </c>
    </row>
    <row r="37" spans="2:20" s="166" customFormat="1" ht="26.25" thickBot="1" x14ac:dyDescent="0.3">
      <c r="B37" s="181">
        <v>0</v>
      </c>
      <c r="C37" s="181">
        <v>22.463719999999999</v>
      </c>
      <c r="D37" s="181">
        <v>44.927439999999997</v>
      </c>
      <c r="E37" s="181">
        <v>44.927439999999997</v>
      </c>
      <c r="F37" s="181">
        <v>44.927439999999997</v>
      </c>
      <c r="G37" s="181">
        <v>44.927439999999997</v>
      </c>
      <c r="H37" s="181">
        <v>44.927439999999997</v>
      </c>
      <c r="I37" s="181">
        <v>44.927439999999997</v>
      </c>
      <c r="J37" s="181">
        <v>44.927439999999997</v>
      </c>
      <c r="K37" s="181"/>
      <c r="L37" s="710"/>
      <c r="M37" s="710"/>
      <c r="N37" s="237" t="s">
        <v>71</v>
      </c>
      <c r="O37" s="239">
        <v>2013</v>
      </c>
      <c r="P37" s="239">
        <v>5</v>
      </c>
      <c r="R37" s="73">
        <f t="shared" si="12"/>
        <v>2019</v>
      </c>
      <c r="S37" s="73">
        <v>60</v>
      </c>
      <c r="T37" s="28" t="s">
        <v>260</v>
      </c>
    </row>
    <row r="38" spans="2:20" ht="39" thickBot="1" x14ac:dyDescent="0.3">
      <c r="L38" s="711"/>
      <c r="M38" s="711"/>
      <c r="N38" s="237" t="s">
        <v>72</v>
      </c>
      <c r="O38" s="239">
        <v>2014</v>
      </c>
      <c r="P38" s="239">
        <v>65</v>
      </c>
      <c r="R38" s="73">
        <f t="shared" si="12"/>
        <v>2020</v>
      </c>
      <c r="S38" s="73">
        <v>60</v>
      </c>
      <c r="T38" s="28" t="s">
        <v>260</v>
      </c>
    </row>
    <row r="39" spans="2:20" ht="15.75" thickBot="1" x14ac:dyDescent="0.3">
      <c r="L39" s="709">
        <v>3</v>
      </c>
      <c r="M39" s="237" t="s">
        <v>73</v>
      </c>
      <c r="N39" s="237"/>
      <c r="O39" s="240"/>
      <c r="P39" s="240"/>
      <c r="R39" s="73">
        <f t="shared" si="12"/>
        <v>2021</v>
      </c>
      <c r="S39" s="73">
        <v>60</v>
      </c>
      <c r="T39" s="28" t="s">
        <v>260</v>
      </c>
    </row>
    <row r="40" spans="2:20" ht="26.25" thickBot="1" x14ac:dyDescent="0.3">
      <c r="L40" s="710"/>
      <c r="M40" s="709" t="s">
        <v>74</v>
      </c>
      <c r="N40" s="237" t="s">
        <v>75</v>
      </c>
      <c r="O40" s="239">
        <v>2013</v>
      </c>
      <c r="P40" s="239">
        <v>8</v>
      </c>
      <c r="R40" s="73">
        <f t="shared" si="12"/>
        <v>2022</v>
      </c>
      <c r="S40" s="73">
        <v>60</v>
      </c>
      <c r="T40" s="28" t="s">
        <v>260</v>
      </c>
    </row>
    <row r="41" spans="2:20" ht="39" thickBot="1" x14ac:dyDescent="0.3">
      <c r="L41" s="710"/>
      <c r="M41" s="710"/>
      <c r="N41" s="237" t="s">
        <v>76</v>
      </c>
      <c r="O41" s="239">
        <v>2013</v>
      </c>
      <c r="P41" s="239">
        <v>7</v>
      </c>
      <c r="R41" s="73">
        <f t="shared" si="12"/>
        <v>2023</v>
      </c>
      <c r="S41" s="73">
        <v>60</v>
      </c>
      <c r="T41" s="28" t="s">
        <v>260</v>
      </c>
    </row>
    <row r="42" spans="2:20" ht="26.25" thickBot="1" x14ac:dyDescent="0.3">
      <c r="L42" s="711"/>
      <c r="M42" s="711"/>
      <c r="N42" s="237" t="s">
        <v>77</v>
      </c>
      <c r="O42" s="239">
        <v>2014</v>
      </c>
      <c r="P42" s="239">
        <v>35</v>
      </c>
      <c r="R42" s="73">
        <f t="shared" si="12"/>
        <v>2024</v>
      </c>
      <c r="S42" s="73">
        <v>60</v>
      </c>
      <c r="T42" s="28" t="s">
        <v>260</v>
      </c>
    </row>
    <row r="43" spans="2:20" ht="15.75" thickBot="1" x14ac:dyDescent="0.3">
      <c r="L43" s="709">
        <v>4</v>
      </c>
      <c r="M43" s="237" t="s">
        <v>78</v>
      </c>
      <c r="N43" s="237"/>
      <c r="O43" s="240"/>
      <c r="P43" s="240"/>
      <c r="R43" s="73">
        <f t="shared" si="12"/>
        <v>2025</v>
      </c>
      <c r="S43" s="73">
        <v>60</v>
      </c>
      <c r="T43" s="28" t="s">
        <v>260</v>
      </c>
    </row>
    <row r="44" spans="2:20" ht="26.25" thickBot="1" x14ac:dyDescent="0.3">
      <c r="L44" s="710"/>
      <c r="M44" s="709" t="s">
        <v>79</v>
      </c>
      <c r="N44" s="237" t="s">
        <v>80</v>
      </c>
      <c r="O44" s="239">
        <v>2012</v>
      </c>
      <c r="P44" s="239">
        <v>20</v>
      </c>
      <c r="R44" s="73">
        <f t="shared" si="12"/>
        <v>2026</v>
      </c>
      <c r="S44" s="73">
        <v>60</v>
      </c>
      <c r="T44" s="28" t="s">
        <v>260</v>
      </c>
    </row>
    <row r="45" spans="2:20" ht="15.75" thickBot="1" x14ac:dyDescent="0.3">
      <c r="L45" s="710"/>
      <c r="M45" s="710"/>
      <c r="N45" s="237" t="s">
        <v>81</v>
      </c>
      <c r="O45" s="239">
        <v>2012</v>
      </c>
      <c r="P45" s="239">
        <v>10</v>
      </c>
      <c r="R45" s="73">
        <f t="shared" si="12"/>
        <v>2027</v>
      </c>
      <c r="S45" s="73">
        <v>60</v>
      </c>
      <c r="T45" s="28" t="s">
        <v>260</v>
      </c>
    </row>
    <row r="46" spans="2:20" ht="15.75" thickBot="1" x14ac:dyDescent="0.3">
      <c r="L46" s="710"/>
      <c r="M46" s="710"/>
      <c r="N46" s="237" t="s">
        <v>82</v>
      </c>
      <c r="O46" s="239">
        <v>2012</v>
      </c>
      <c r="P46" s="239">
        <v>20</v>
      </c>
      <c r="R46" s="73">
        <f t="shared" si="12"/>
        <v>2028</v>
      </c>
      <c r="S46" s="73">
        <v>60</v>
      </c>
      <c r="T46" s="28" t="s">
        <v>260</v>
      </c>
    </row>
    <row r="47" spans="2:20" ht="15.75" thickBot="1" x14ac:dyDescent="0.3">
      <c r="L47" s="710"/>
      <c r="M47" s="710"/>
      <c r="N47" s="237" t="s">
        <v>83</v>
      </c>
      <c r="O47" s="239">
        <v>2012</v>
      </c>
      <c r="P47" s="239">
        <v>10</v>
      </c>
      <c r="R47" s="73">
        <f t="shared" si="12"/>
        <v>2029</v>
      </c>
      <c r="S47" s="73">
        <v>60</v>
      </c>
      <c r="T47" s="28" t="s">
        <v>260</v>
      </c>
    </row>
    <row r="48" spans="2:20" ht="26.25" thickBot="1" x14ac:dyDescent="0.3">
      <c r="L48" s="710"/>
      <c r="M48" s="710"/>
      <c r="N48" s="237" t="s">
        <v>84</v>
      </c>
      <c r="O48" s="239">
        <v>2013</v>
      </c>
      <c r="P48" s="239">
        <v>5</v>
      </c>
      <c r="R48" s="73">
        <f t="shared" si="12"/>
        <v>2030</v>
      </c>
      <c r="S48" s="73">
        <v>60</v>
      </c>
      <c r="T48" s="28" t="s">
        <v>260</v>
      </c>
    </row>
    <row r="49" spans="2:20" ht="39" thickBot="1" x14ac:dyDescent="0.3">
      <c r="L49" s="710"/>
      <c r="M49" s="710"/>
      <c r="N49" s="237" t="s">
        <v>85</v>
      </c>
      <c r="O49" s="239">
        <v>2013</v>
      </c>
      <c r="P49" s="239">
        <v>5</v>
      </c>
      <c r="Q49" s="91"/>
      <c r="R49" s="91"/>
    </row>
    <row r="50" spans="2:20" ht="26.25" thickBot="1" x14ac:dyDescent="0.3">
      <c r="L50" s="710"/>
      <c r="M50" s="710"/>
      <c r="N50" s="237" t="s">
        <v>86</v>
      </c>
      <c r="O50" s="239">
        <v>2013</v>
      </c>
      <c r="P50" s="239">
        <v>5</v>
      </c>
      <c r="Q50" s="91"/>
      <c r="R50" s="91"/>
    </row>
    <row r="51" spans="2:20" ht="51.75" thickBot="1" x14ac:dyDescent="0.3">
      <c r="L51" s="711"/>
      <c r="M51" s="711"/>
      <c r="N51" s="237" t="s">
        <v>87</v>
      </c>
      <c r="O51" s="239">
        <v>2014</v>
      </c>
      <c r="P51" s="239">
        <v>34</v>
      </c>
      <c r="Q51" s="91"/>
      <c r="R51" s="91"/>
    </row>
    <row r="52" spans="2:20" ht="15.75" thickBot="1" x14ac:dyDescent="0.3">
      <c r="L52" s="709">
        <v>5</v>
      </c>
      <c r="M52" s="237" t="s">
        <v>78</v>
      </c>
      <c r="N52" s="237"/>
      <c r="O52" s="240"/>
      <c r="P52" s="240"/>
      <c r="Q52" s="91"/>
      <c r="R52" s="91"/>
    </row>
    <row r="53" spans="2:20" ht="26.25" thickBot="1" x14ac:dyDescent="0.3">
      <c r="L53" s="710"/>
      <c r="M53" s="709" t="s">
        <v>88</v>
      </c>
      <c r="N53" s="237" t="s">
        <v>89</v>
      </c>
      <c r="O53" s="239">
        <v>2013</v>
      </c>
      <c r="P53" s="239">
        <v>5</v>
      </c>
      <c r="Q53" s="91"/>
      <c r="R53" s="91"/>
    </row>
    <row r="54" spans="2:20" ht="26.25" thickBot="1" x14ac:dyDescent="0.3">
      <c r="L54" s="710"/>
      <c r="M54" s="710"/>
      <c r="N54" s="237" t="s">
        <v>90</v>
      </c>
      <c r="O54" s="239">
        <v>2013</v>
      </c>
      <c r="P54" s="239">
        <v>10</v>
      </c>
      <c r="Q54" s="91"/>
      <c r="R54" s="91"/>
    </row>
    <row r="55" spans="2:20" ht="51.75" thickBot="1" x14ac:dyDescent="0.3">
      <c r="L55" s="710"/>
      <c r="M55" s="710"/>
      <c r="N55" s="237" t="s">
        <v>91</v>
      </c>
      <c r="O55" s="239">
        <v>2014</v>
      </c>
      <c r="P55" s="239">
        <v>20</v>
      </c>
      <c r="Q55" s="91"/>
      <c r="R55" s="91"/>
    </row>
    <row r="56" spans="2:20" ht="15.75" thickBot="1" x14ac:dyDescent="0.3">
      <c r="L56" s="710"/>
      <c r="M56" s="710"/>
      <c r="N56" s="237" t="s">
        <v>92</v>
      </c>
      <c r="O56" s="239">
        <v>2015</v>
      </c>
      <c r="P56" s="239">
        <v>17</v>
      </c>
      <c r="Q56" s="91"/>
      <c r="R56" s="91"/>
    </row>
    <row r="57" spans="2:20" ht="26.25" thickBot="1" x14ac:dyDescent="0.3">
      <c r="L57" s="710"/>
      <c r="M57" s="710"/>
      <c r="N57" s="237" t="s">
        <v>93</v>
      </c>
      <c r="O57" s="239">
        <v>2015</v>
      </c>
      <c r="P57" s="239">
        <v>17</v>
      </c>
      <c r="Q57" s="91"/>
      <c r="R57" s="91"/>
    </row>
    <row r="58" spans="2:20" ht="39" thickBot="1" x14ac:dyDescent="0.3">
      <c r="L58" s="711"/>
      <c r="M58" s="711"/>
      <c r="N58" s="237" t="s">
        <v>94</v>
      </c>
      <c r="O58" s="239">
        <v>2015</v>
      </c>
      <c r="P58" s="239">
        <v>17</v>
      </c>
      <c r="Q58" s="91"/>
      <c r="R58" s="91"/>
    </row>
    <row r="59" spans="2:20" ht="15.75" thickBot="1" x14ac:dyDescent="0.3">
      <c r="B59" t="s">
        <v>430</v>
      </c>
      <c r="L59" s="712" t="s">
        <v>257</v>
      </c>
      <c r="M59" s="713"/>
      <c r="N59" s="713"/>
      <c r="O59" s="714"/>
      <c r="P59" s="241">
        <v>372</v>
      </c>
      <c r="Q59" s="91"/>
      <c r="R59" s="91"/>
    </row>
    <row r="60" spans="2:20" x14ac:dyDescent="0.25">
      <c r="B60" s="91" t="s">
        <v>431</v>
      </c>
      <c r="C60" s="91"/>
      <c r="D60" s="91"/>
      <c r="E60" s="91"/>
      <c r="F60" s="91"/>
      <c r="G60" s="91"/>
      <c r="H60" s="91"/>
      <c r="I60" s="91"/>
      <c r="J60" s="416"/>
      <c r="K60" s="416"/>
    </row>
    <row r="61" spans="2:20" ht="15" customHeight="1" x14ac:dyDescent="0.25">
      <c r="B61" s="458" t="s">
        <v>424</v>
      </c>
      <c r="C61" s="459"/>
      <c r="D61" s="459"/>
      <c r="E61" s="459"/>
      <c r="F61" s="459"/>
      <c r="G61" s="459"/>
      <c r="H61" s="459"/>
      <c r="I61" s="459"/>
      <c r="J61" s="460"/>
      <c r="K61" s="416"/>
      <c r="L61" s="461" t="s">
        <v>432</v>
      </c>
    </row>
    <row r="62" spans="2:20" s="119" customFormat="1" ht="47.25" x14ac:dyDescent="0.25">
      <c r="B62" s="206" t="s">
        <v>107</v>
      </c>
      <c r="C62" s="207" t="s">
        <v>108</v>
      </c>
      <c r="D62" s="207" t="s">
        <v>20</v>
      </c>
      <c r="E62" s="253" t="s">
        <v>21</v>
      </c>
      <c r="F62" s="208" t="s">
        <v>109</v>
      </c>
      <c r="G62" s="209" t="s">
        <v>110</v>
      </c>
      <c r="H62" s="210" t="s">
        <v>111</v>
      </c>
      <c r="I62" s="291" t="s">
        <v>428</v>
      </c>
      <c r="J62" s="209" t="s">
        <v>429</v>
      </c>
      <c r="K62" s="210" t="s">
        <v>28</v>
      </c>
      <c r="L62" s="462" t="s">
        <v>433</v>
      </c>
      <c r="N62" s="291"/>
      <c r="O62" s="291"/>
      <c r="P62" s="291"/>
      <c r="Q62" s="291"/>
      <c r="R62" s="291"/>
      <c r="T62" s="456"/>
    </row>
    <row r="63" spans="2:20" s="119" customFormat="1" ht="39" customHeight="1" x14ac:dyDescent="0.25">
      <c r="B63" s="449">
        <f t="shared" ref="B63:B83" si="13">L4</f>
        <v>2010</v>
      </c>
      <c r="C63" s="450" t="s">
        <v>426</v>
      </c>
      <c r="D63" s="451" t="s">
        <v>287</v>
      </c>
      <c r="E63" s="452" t="s">
        <v>425</v>
      </c>
      <c r="F63" s="453">
        <f>90/1000000</f>
        <v>9.0000000000000006E-5</v>
      </c>
      <c r="G63" s="451">
        <f>0.2*365*24</f>
        <v>1752</v>
      </c>
      <c r="H63" s="451">
        <f>F63*G63</f>
        <v>0.15768000000000001</v>
      </c>
      <c r="I63" s="81">
        <v>0</v>
      </c>
      <c r="J63" s="454">
        <v>0.86199999999999999</v>
      </c>
      <c r="K63" s="457">
        <f>H63*J63*I63</f>
        <v>0</v>
      </c>
      <c r="L63" s="463">
        <f>18000000/1000*I63</f>
        <v>0</v>
      </c>
      <c r="N63" s="291"/>
      <c r="O63" s="291"/>
      <c r="P63" s="291"/>
      <c r="Q63" s="291"/>
      <c r="R63" s="291"/>
      <c r="T63" s="456"/>
    </row>
    <row r="64" spans="2:20" s="119" customFormat="1" ht="39" customHeight="1" x14ac:dyDescent="0.25">
      <c r="B64" s="449">
        <f t="shared" si="13"/>
        <v>2011</v>
      </c>
      <c r="C64" s="450" t="s">
        <v>426</v>
      </c>
      <c r="D64" s="451" t="s">
        <v>287</v>
      </c>
      <c r="E64" s="452" t="s">
        <v>425</v>
      </c>
      <c r="F64" s="453">
        <f t="shared" ref="F64:F83" si="14">90/1000000</f>
        <v>9.0000000000000006E-5</v>
      </c>
      <c r="G64" s="451">
        <f t="shared" ref="G64:G83" si="15">0.2*365*24</f>
        <v>1752</v>
      </c>
      <c r="H64" s="451">
        <f>F64*G64</f>
        <v>0.15768000000000001</v>
      </c>
      <c r="I64" s="81">
        <v>30</v>
      </c>
      <c r="J64" s="454">
        <v>0.86199999999999999</v>
      </c>
      <c r="K64" s="457">
        <f>H64*J64*I64</f>
        <v>4.0776048000000005</v>
      </c>
      <c r="L64" s="463">
        <f t="shared" ref="L64:L83" si="16">18000000/1000*I64</f>
        <v>540000</v>
      </c>
      <c r="N64" s="291"/>
      <c r="O64" s="291"/>
      <c r="P64" s="291"/>
      <c r="Q64" s="291"/>
      <c r="R64" s="291"/>
      <c r="T64" s="456"/>
    </row>
    <row r="65" spans="2:20" s="119" customFormat="1" ht="39" customHeight="1" x14ac:dyDescent="0.25">
      <c r="B65" s="449">
        <f t="shared" si="13"/>
        <v>2012</v>
      </c>
      <c r="C65" s="450" t="s">
        <v>426</v>
      </c>
      <c r="D65" s="451" t="s">
        <v>287</v>
      </c>
      <c r="E65" s="452" t="s">
        <v>425</v>
      </c>
      <c r="F65" s="453">
        <f t="shared" si="14"/>
        <v>9.0000000000000006E-5</v>
      </c>
      <c r="G65" s="451">
        <f t="shared" si="15"/>
        <v>1752</v>
      </c>
      <c r="H65" s="451">
        <f t="shared" ref="H65:H83" si="17">F65*G65</f>
        <v>0.15768000000000001</v>
      </c>
      <c r="I65" s="251">
        <v>50</v>
      </c>
      <c r="J65" s="454">
        <v>0.86199999999999999</v>
      </c>
      <c r="K65" s="457">
        <f t="shared" ref="K65:K83" si="18">H65*J65*I65</f>
        <v>6.7960080000000005</v>
      </c>
      <c r="L65" s="463">
        <f t="shared" si="16"/>
        <v>900000</v>
      </c>
      <c r="N65" s="291"/>
      <c r="O65" s="291"/>
      <c r="P65" s="291"/>
      <c r="Q65" s="291"/>
      <c r="R65" s="291"/>
      <c r="T65" s="456"/>
    </row>
    <row r="66" spans="2:20" s="119" customFormat="1" ht="39" customHeight="1" x14ac:dyDescent="0.25">
      <c r="B66" s="449">
        <f t="shared" si="13"/>
        <v>2013</v>
      </c>
      <c r="C66" s="450" t="s">
        <v>426</v>
      </c>
      <c r="D66" s="451" t="s">
        <v>287</v>
      </c>
      <c r="E66" s="452" t="s">
        <v>425</v>
      </c>
      <c r="F66" s="453">
        <f t="shared" si="14"/>
        <v>9.0000000000000006E-5</v>
      </c>
      <c r="G66" s="451">
        <f t="shared" si="15"/>
        <v>1752</v>
      </c>
      <c r="H66" s="451">
        <f t="shared" si="17"/>
        <v>0.15768000000000001</v>
      </c>
      <c r="I66" s="251">
        <v>60</v>
      </c>
      <c r="J66" s="454">
        <v>0.86199999999999999</v>
      </c>
      <c r="K66" s="457">
        <f t="shared" si="18"/>
        <v>8.1552096000000009</v>
      </c>
      <c r="L66" s="463">
        <f t="shared" si="16"/>
        <v>1080000</v>
      </c>
      <c r="N66" s="291"/>
      <c r="O66" s="291"/>
      <c r="P66" s="291"/>
      <c r="Q66" s="291"/>
      <c r="R66" s="291"/>
      <c r="T66" s="456"/>
    </row>
    <row r="67" spans="2:20" s="119" customFormat="1" ht="39" customHeight="1" x14ac:dyDescent="0.25">
      <c r="B67" s="449">
        <f t="shared" si="13"/>
        <v>2014</v>
      </c>
      <c r="C67" s="450" t="s">
        <v>426</v>
      </c>
      <c r="D67" s="451" t="s">
        <v>287</v>
      </c>
      <c r="E67" s="452" t="s">
        <v>425</v>
      </c>
      <c r="F67" s="453">
        <f t="shared" si="14"/>
        <v>9.0000000000000006E-5</v>
      </c>
      <c r="G67" s="451">
        <f t="shared" si="15"/>
        <v>1752</v>
      </c>
      <c r="H67" s="451">
        <f t="shared" si="17"/>
        <v>0.15768000000000001</v>
      </c>
      <c r="I67" s="251">
        <v>60</v>
      </c>
      <c r="J67" s="454">
        <v>0.86199999999999999</v>
      </c>
      <c r="K67" s="457">
        <f t="shared" si="18"/>
        <v>8.1552096000000009</v>
      </c>
      <c r="L67" s="463">
        <f t="shared" si="16"/>
        <v>1080000</v>
      </c>
      <c r="N67" s="291"/>
      <c r="O67" s="291"/>
      <c r="P67" s="291"/>
      <c r="Q67" s="291"/>
      <c r="R67" s="291"/>
      <c r="T67" s="456"/>
    </row>
    <row r="68" spans="2:20" s="119" customFormat="1" ht="39" customHeight="1" x14ac:dyDescent="0.25">
      <c r="B68" s="449">
        <f t="shared" si="13"/>
        <v>2015</v>
      </c>
      <c r="C68" s="450" t="s">
        <v>426</v>
      </c>
      <c r="D68" s="451" t="s">
        <v>287</v>
      </c>
      <c r="E68" s="452" t="s">
        <v>425</v>
      </c>
      <c r="F68" s="453">
        <f t="shared" si="14"/>
        <v>9.0000000000000006E-5</v>
      </c>
      <c r="G68" s="451">
        <f t="shared" si="15"/>
        <v>1752</v>
      </c>
      <c r="H68" s="451">
        <f t="shared" si="17"/>
        <v>0.15768000000000001</v>
      </c>
      <c r="I68" s="251">
        <v>60</v>
      </c>
      <c r="J68" s="454">
        <v>0.86199999999999999</v>
      </c>
      <c r="K68" s="457">
        <f t="shared" si="18"/>
        <v>8.1552096000000009</v>
      </c>
      <c r="L68" s="463">
        <f t="shared" si="16"/>
        <v>1080000</v>
      </c>
      <c r="N68" s="291"/>
      <c r="O68" s="291"/>
      <c r="P68" s="291"/>
      <c r="Q68" s="291"/>
      <c r="R68" s="291"/>
      <c r="T68" s="456"/>
    </row>
    <row r="69" spans="2:20" s="119" customFormat="1" ht="39" customHeight="1" x14ac:dyDescent="0.25">
      <c r="B69" s="449">
        <f t="shared" si="13"/>
        <v>2016</v>
      </c>
      <c r="C69" s="450" t="s">
        <v>426</v>
      </c>
      <c r="D69" s="451" t="s">
        <v>287</v>
      </c>
      <c r="E69" s="452" t="s">
        <v>425</v>
      </c>
      <c r="F69" s="453">
        <f t="shared" si="14"/>
        <v>9.0000000000000006E-5</v>
      </c>
      <c r="G69" s="451">
        <f t="shared" si="15"/>
        <v>1752</v>
      </c>
      <c r="H69" s="451">
        <f t="shared" si="17"/>
        <v>0.15768000000000001</v>
      </c>
      <c r="I69" s="251">
        <v>60</v>
      </c>
      <c r="J69" s="454">
        <v>0.86199999999999999</v>
      </c>
      <c r="K69" s="457">
        <f t="shared" si="18"/>
        <v>8.1552096000000009</v>
      </c>
      <c r="L69" s="463">
        <f t="shared" si="16"/>
        <v>1080000</v>
      </c>
      <c r="N69" s="291"/>
      <c r="O69" s="291"/>
      <c r="P69" s="291"/>
      <c r="Q69" s="291"/>
      <c r="R69" s="291"/>
      <c r="T69" s="456"/>
    </row>
    <row r="70" spans="2:20" s="119" customFormat="1" ht="39" customHeight="1" x14ac:dyDescent="0.25">
      <c r="B70" s="449">
        <f t="shared" si="13"/>
        <v>2017</v>
      </c>
      <c r="C70" s="450" t="s">
        <v>426</v>
      </c>
      <c r="D70" s="451" t="s">
        <v>287</v>
      </c>
      <c r="E70" s="452" t="s">
        <v>425</v>
      </c>
      <c r="F70" s="453">
        <f t="shared" si="14"/>
        <v>9.0000000000000006E-5</v>
      </c>
      <c r="G70" s="451">
        <f t="shared" si="15"/>
        <v>1752</v>
      </c>
      <c r="H70" s="451">
        <f t="shared" si="17"/>
        <v>0.15768000000000001</v>
      </c>
      <c r="I70" s="251">
        <v>60</v>
      </c>
      <c r="J70" s="454">
        <v>0.86199999999999999</v>
      </c>
      <c r="K70" s="457">
        <f t="shared" si="18"/>
        <v>8.1552096000000009</v>
      </c>
      <c r="L70" s="463">
        <f t="shared" si="16"/>
        <v>1080000</v>
      </c>
      <c r="N70" s="291"/>
      <c r="O70" s="291"/>
      <c r="P70" s="291"/>
      <c r="Q70" s="291"/>
      <c r="R70" s="291"/>
      <c r="T70" s="456"/>
    </row>
    <row r="71" spans="2:20" s="119" customFormat="1" ht="39" customHeight="1" x14ac:dyDescent="0.25">
      <c r="B71" s="449">
        <f t="shared" si="13"/>
        <v>2018</v>
      </c>
      <c r="C71" s="450" t="s">
        <v>426</v>
      </c>
      <c r="D71" s="451" t="s">
        <v>287</v>
      </c>
      <c r="E71" s="452" t="s">
        <v>425</v>
      </c>
      <c r="F71" s="453">
        <f t="shared" si="14"/>
        <v>9.0000000000000006E-5</v>
      </c>
      <c r="G71" s="451">
        <f t="shared" si="15"/>
        <v>1752</v>
      </c>
      <c r="H71" s="451">
        <f t="shared" si="17"/>
        <v>0.15768000000000001</v>
      </c>
      <c r="I71" s="251">
        <v>60</v>
      </c>
      <c r="J71" s="454">
        <v>0.86199999999999999</v>
      </c>
      <c r="K71" s="457">
        <f t="shared" si="18"/>
        <v>8.1552096000000009</v>
      </c>
      <c r="L71" s="463">
        <f t="shared" si="16"/>
        <v>1080000</v>
      </c>
      <c r="N71" s="291"/>
      <c r="O71" s="291"/>
      <c r="P71" s="291"/>
      <c r="Q71" s="291"/>
      <c r="R71" s="291"/>
      <c r="T71" s="456"/>
    </row>
    <row r="72" spans="2:20" s="119" customFormat="1" ht="39" customHeight="1" x14ac:dyDescent="0.25">
      <c r="B72" s="449">
        <f t="shared" si="13"/>
        <v>2019</v>
      </c>
      <c r="C72" s="450" t="s">
        <v>426</v>
      </c>
      <c r="D72" s="451" t="s">
        <v>287</v>
      </c>
      <c r="E72" s="452" t="s">
        <v>425</v>
      </c>
      <c r="F72" s="453">
        <f t="shared" si="14"/>
        <v>9.0000000000000006E-5</v>
      </c>
      <c r="G72" s="451">
        <f t="shared" si="15"/>
        <v>1752</v>
      </c>
      <c r="H72" s="451">
        <f t="shared" si="17"/>
        <v>0.15768000000000001</v>
      </c>
      <c r="I72" s="251">
        <v>60</v>
      </c>
      <c r="J72" s="454">
        <v>0.86199999999999999</v>
      </c>
      <c r="K72" s="457">
        <f t="shared" si="18"/>
        <v>8.1552096000000009</v>
      </c>
      <c r="L72" s="463">
        <f t="shared" si="16"/>
        <v>1080000</v>
      </c>
      <c r="N72" s="291"/>
      <c r="O72" s="291"/>
      <c r="P72" s="291"/>
      <c r="Q72" s="291"/>
      <c r="R72" s="291"/>
      <c r="T72" s="456"/>
    </row>
    <row r="73" spans="2:20" s="119" customFormat="1" ht="39" customHeight="1" x14ac:dyDescent="0.25">
      <c r="B73" s="449">
        <f t="shared" si="13"/>
        <v>2020</v>
      </c>
      <c r="C73" s="450" t="s">
        <v>426</v>
      </c>
      <c r="D73" s="451" t="s">
        <v>287</v>
      </c>
      <c r="E73" s="452" t="s">
        <v>425</v>
      </c>
      <c r="F73" s="453">
        <f t="shared" si="14"/>
        <v>9.0000000000000006E-5</v>
      </c>
      <c r="G73" s="451">
        <f t="shared" si="15"/>
        <v>1752</v>
      </c>
      <c r="H73" s="451">
        <f t="shared" si="17"/>
        <v>0.15768000000000001</v>
      </c>
      <c r="I73" s="251">
        <v>60</v>
      </c>
      <c r="J73" s="454">
        <v>0.86199999999999999</v>
      </c>
      <c r="K73" s="457">
        <f t="shared" si="18"/>
        <v>8.1552096000000009</v>
      </c>
      <c r="L73" s="463">
        <f t="shared" si="16"/>
        <v>1080000</v>
      </c>
      <c r="N73" s="291"/>
      <c r="O73" s="291"/>
      <c r="P73" s="291"/>
      <c r="Q73" s="291"/>
      <c r="R73" s="291"/>
      <c r="T73" s="456"/>
    </row>
    <row r="74" spans="2:20" s="119" customFormat="1" ht="39" customHeight="1" x14ac:dyDescent="0.25">
      <c r="B74" s="449">
        <f t="shared" si="13"/>
        <v>2021</v>
      </c>
      <c r="C74" s="450" t="s">
        <v>426</v>
      </c>
      <c r="D74" s="451" t="s">
        <v>287</v>
      </c>
      <c r="E74" s="452" t="s">
        <v>425</v>
      </c>
      <c r="F74" s="453">
        <f t="shared" si="14"/>
        <v>9.0000000000000006E-5</v>
      </c>
      <c r="G74" s="451">
        <f t="shared" si="15"/>
        <v>1752</v>
      </c>
      <c r="H74" s="451">
        <f t="shared" si="17"/>
        <v>0.15768000000000001</v>
      </c>
      <c r="I74" s="251">
        <v>60</v>
      </c>
      <c r="J74" s="454">
        <v>0.86199999999999999</v>
      </c>
      <c r="K74" s="457">
        <f t="shared" si="18"/>
        <v>8.1552096000000009</v>
      </c>
      <c r="L74" s="463">
        <f t="shared" si="16"/>
        <v>1080000</v>
      </c>
      <c r="N74" s="291"/>
      <c r="O74" s="291"/>
      <c r="P74" s="291"/>
      <c r="Q74" s="291"/>
      <c r="R74" s="291"/>
      <c r="T74" s="456"/>
    </row>
    <row r="75" spans="2:20" s="119" customFormat="1" ht="39" customHeight="1" x14ac:dyDescent="0.25">
      <c r="B75" s="449">
        <f t="shared" si="13"/>
        <v>2022</v>
      </c>
      <c r="C75" s="450" t="s">
        <v>426</v>
      </c>
      <c r="D75" s="451" t="s">
        <v>287</v>
      </c>
      <c r="E75" s="452" t="s">
        <v>425</v>
      </c>
      <c r="F75" s="453">
        <f t="shared" si="14"/>
        <v>9.0000000000000006E-5</v>
      </c>
      <c r="G75" s="451">
        <f t="shared" si="15"/>
        <v>1752</v>
      </c>
      <c r="H75" s="451">
        <f t="shared" si="17"/>
        <v>0.15768000000000001</v>
      </c>
      <c r="I75" s="251">
        <v>60</v>
      </c>
      <c r="J75" s="454">
        <v>0.86199999999999999</v>
      </c>
      <c r="K75" s="457">
        <f t="shared" si="18"/>
        <v>8.1552096000000009</v>
      </c>
      <c r="L75" s="463">
        <f t="shared" si="16"/>
        <v>1080000</v>
      </c>
      <c r="N75" s="291"/>
      <c r="O75" s="291"/>
      <c r="P75" s="291"/>
      <c r="Q75" s="291"/>
      <c r="R75" s="291"/>
      <c r="T75" s="456"/>
    </row>
    <row r="76" spans="2:20" s="119" customFormat="1" ht="39" customHeight="1" x14ac:dyDescent="0.25">
      <c r="B76" s="449">
        <f t="shared" si="13"/>
        <v>2023</v>
      </c>
      <c r="C76" s="450" t="s">
        <v>426</v>
      </c>
      <c r="D76" s="451" t="s">
        <v>287</v>
      </c>
      <c r="E76" s="452" t="s">
        <v>425</v>
      </c>
      <c r="F76" s="453">
        <f t="shared" si="14"/>
        <v>9.0000000000000006E-5</v>
      </c>
      <c r="G76" s="451">
        <f t="shared" si="15"/>
        <v>1752</v>
      </c>
      <c r="H76" s="451">
        <f t="shared" si="17"/>
        <v>0.15768000000000001</v>
      </c>
      <c r="I76" s="251">
        <v>60</v>
      </c>
      <c r="J76" s="454">
        <v>0.86199999999999999</v>
      </c>
      <c r="K76" s="457">
        <f t="shared" si="18"/>
        <v>8.1552096000000009</v>
      </c>
      <c r="L76" s="463">
        <f t="shared" si="16"/>
        <v>1080000</v>
      </c>
      <c r="N76" s="291"/>
      <c r="O76" s="291"/>
      <c r="P76" s="291"/>
      <c r="Q76" s="291"/>
      <c r="R76" s="291"/>
      <c r="T76" s="456"/>
    </row>
    <row r="77" spans="2:20" s="119" customFormat="1" ht="39" customHeight="1" x14ac:dyDescent="0.25">
      <c r="B77" s="449">
        <f t="shared" si="13"/>
        <v>2024</v>
      </c>
      <c r="C77" s="450" t="s">
        <v>426</v>
      </c>
      <c r="D77" s="451" t="s">
        <v>287</v>
      </c>
      <c r="E77" s="452" t="s">
        <v>425</v>
      </c>
      <c r="F77" s="453">
        <f t="shared" si="14"/>
        <v>9.0000000000000006E-5</v>
      </c>
      <c r="G77" s="451">
        <f t="shared" si="15"/>
        <v>1752</v>
      </c>
      <c r="H77" s="451">
        <f t="shared" si="17"/>
        <v>0.15768000000000001</v>
      </c>
      <c r="I77" s="251">
        <v>60</v>
      </c>
      <c r="J77" s="454">
        <v>0.86199999999999999</v>
      </c>
      <c r="K77" s="457">
        <f t="shared" si="18"/>
        <v>8.1552096000000009</v>
      </c>
      <c r="L77" s="463">
        <f t="shared" si="16"/>
        <v>1080000</v>
      </c>
      <c r="N77" s="291"/>
      <c r="O77" s="291"/>
      <c r="P77" s="291"/>
      <c r="Q77" s="291"/>
      <c r="R77" s="291"/>
      <c r="T77" s="456"/>
    </row>
    <row r="78" spans="2:20" s="119" customFormat="1" ht="39" customHeight="1" x14ac:dyDescent="0.25">
      <c r="B78" s="449">
        <f t="shared" si="13"/>
        <v>2025</v>
      </c>
      <c r="C78" s="450" t="s">
        <v>426</v>
      </c>
      <c r="D78" s="451" t="s">
        <v>287</v>
      </c>
      <c r="E78" s="452" t="s">
        <v>425</v>
      </c>
      <c r="F78" s="453">
        <f t="shared" si="14"/>
        <v>9.0000000000000006E-5</v>
      </c>
      <c r="G78" s="451">
        <f t="shared" si="15"/>
        <v>1752</v>
      </c>
      <c r="H78" s="451">
        <f t="shared" si="17"/>
        <v>0.15768000000000001</v>
      </c>
      <c r="I78" s="251">
        <v>60</v>
      </c>
      <c r="J78" s="454">
        <v>0.86199999999999999</v>
      </c>
      <c r="K78" s="457">
        <f t="shared" si="18"/>
        <v>8.1552096000000009</v>
      </c>
      <c r="L78" s="463">
        <f t="shared" si="16"/>
        <v>1080000</v>
      </c>
      <c r="N78" s="291"/>
      <c r="O78" s="291"/>
      <c r="P78" s="291"/>
      <c r="Q78" s="291"/>
      <c r="R78" s="291"/>
      <c r="T78" s="456"/>
    </row>
    <row r="79" spans="2:20" s="119" customFormat="1" ht="39" customHeight="1" x14ac:dyDescent="0.25">
      <c r="B79" s="449">
        <f t="shared" si="13"/>
        <v>2026</v>
      </c>
      <c r="C79" s="450" t="s">
        <v>426</v>
      </c>
      <c r="D79" s="451" t="s">
        <v>287</v>
      </c>
      <c r="E79" s="452" t="s">
        <v>425</v>
      </c>
      <c r="F79" s="453">
        <f t="shared" si="14"/>
        <v>9.0000000000000006E-5</v>
      </c>
      <c r="G79" s="451">
        <f t="shared" si="15"/>
        <v>1752</v>
      </c>
      <c r="H79" s="451">
        <f t="shared" si="17"/>
        <v>0.15768000000000001</v>
      </c>
      <c r="I79" s="251">
        <v>60</v>
      </c>
      <c r="J79" s="454">
        <v>0.86199999999999999</v>
      </c>
      <c r="K79" s="457">
        <f t="shared" si="18"/>
        <v>8.1552096000000009</v>
      </c>
      <c r="L79" s="463">
        <f t="shared" si="16"/>
        <v>1080000</v>
      </c>
      <c r="N79" s="291"/>
      <c r="O79" s="291"/>
      <c r="P79" s="291"/>
      <c r="Q79" s="291"/>
      <c r="R79" s="291"/>
      <c r="T79" s="456"/>
    </row>
    <row r="80" spans="2:20" s="119" customFormat="1" ht="39" customHeight="1" x14ac:dyDescent="0.25">
      <c r="B80" s="449">
        <f t="shared" si="13"/>
        <v>2027</v>
      </c>
      <c r="C80" s="450" t="s">
        <v>426</v>
      </c>
      <c r="D80" s="451" t="s">
        <v>287</v>
      </c>
      <c r="E80" s="452" t="s">
        <v>425</v>
      </c>
      <c r="F80" s="453">
        <f t="shared" si="14"/>
        <v>9.0000000000000006E-5</v>
      </c>
      <c r="G80" s="451">
        <f t="shared" si="15"/>
        <v>1752</v>
      </c>
      <c r="H80" s="451">
        <f t="shared" si="17"/>
        <v>0.15768000000000001</v>
      </c>
      <c r="I80" s="251">
        <v>60</v>
      </c>
      <c r="J80" s="454">
        <v>0.86199999999999999</v>
      </c>
      <c r="K80" s="457">
        <f t="shared" si="18"/>
        <v>8.1552096000000009</v>
      </c>
      <c r="L80" s="463">
        <f t="shared" si="16"/>
        <v>1080000</v>
      </c>
      <c r="N80" s="291"/>
      <c r="O80" s="291"/>
      <c r="P80" s="291"/>
      <c r="Q80" s="291"/>
      <c r="R80" s="291"/>
      <c r="T80" s="456"/>
    </row>
    <row r="81" spans="2:20" s="119" customFormat="1" ht="39" customHeight="1" x14ac:dyDescent="0.25">
      <c r="B81" s="449">
        <f t="shared" si="13"/>
        <v>2028</v>
      </c>
      <c r="C81" s="450" t="s">
        <v>426</v>
      </c>
      <c r="D81" s="451" t="s">
        <v>287</v>
      </c>
      <c r="E81" s="452" t="s">
        <v>425</v>
      </c>
      <c r="F81" s="453">
        <f t="shared" si="14"/>
        <v>9.0000000000000006E-5</v>
      </c>
      <c r="G81" s="451">
        <f t="shared" si="15"/>
        <v>1752</v>
      </c>
      <c r="H81" s="451">
        <f t="shared" si="17"/>
        <v>0.15768000000000001</v>
      </c>
      <c r="I81" s="251">
        <v>60</v>
      </c>
      <c r="J81" s="454">
        <v>0.86199999999999999</v>
      </c>
      <c r="K81" s="457">
        <f t="shared" si="18"/>
        <v>8.1552096000000009</v>
      </c>
      <c r="L81" s="463">
        <f t="shared" si="16"/>
        <v>1080000</v>
      </c>
      <c r="N81" s="291"/>
      <c r="O81" s="291"/>
      <c r="P81" s="291"/>
      <c r="Q81" s="291"/>
      <c r="R81" s="291"/>
      <c r="T81" s="456"/>
    </row>
    <row r="82" spans="2:20" s="119" customFormat="1" ht="39" customHeight="1" x14ac:dyDescent="0.25">
      <c r="B82" s="449">
        <f t="shared" si="13"/>
        <v>2029</v>
      </c>
      <c r="C82" s="450" t="s">
        <v>426</v>
      </c>
      <c r="D82" s="451" t="s">
        <v>287</v>
      </c>
      <c r="E82" s="452" t="s">
        <v>425</v>
      </c>
      <c r="F82" s="453">
        <f t="shared" si="14"/>
        <v>9.0000000000000006E-5</v>
      </c>
      <c r="G82" s="451">
        <f t="shared" si="15"/>
        <v>1752</v>
      </c>
      <c r="H82" s="451">
        <f t="shared" si="17"/>
        <v>0.15768000000000001</v>
      </c>
      <c r="I82" s="251">
        <v>60</v>
      </c>
      <c r="J82" s="454">
        <v>0.86199999999999999</v>
      </c>
      <c r="K82" s="457">
        <f t="shared" si="18"/>
        <v>8.1552096000000009</v>
      </c>
      <c r="L82" s="463">
        <f t="shared" si="16"/>
        <v>1080000</v>
      </c>
      <c r="N82" s="291"/>
      <c r="O82" s="291"/>
      <c r="P82" s="291"/>
      <c r="Q82" s="291"/>
      <c r="R82" s="291"/>
      <c r="T82" s="456"/>
    </row>
    <row r="83" spans="2:20" s="119" customFormat="1" ht="39" customHeight="1" x14ac:dyDescent="0.25">
      <c r="B83" s="449">
        <f t="shared" si="13"/>
        <v>2030</v>
      </c>
      <c r="C83" s="450" t="s">
        <v>426</v>
      </c>
      <c r="D83" s="451" t="s">
        <v>287</v>
      </c>
      <c r="E83" s="452" t="s">
        <v>425</v>
      </c>
      <c r="F83" s="453">
        <f t="shared" si="14"/>
        <v>9.0000000000000006E-5</v>
      </c>
      <c r="G83" s="451">
        <f t="shared" si="15"/>
        <v>1752</v>
      </c>
      <c r="H83" s="451">
        <f t="shared" si="17"/>
        <v>0.15768000000000001</v>
      </c>
      <c r="I83" s="251">
        <v>60</v>
      </c>
      <c r="J83" s="454">
        <v>0.86199999999999999</v>
      </c>
      <c r="K83" s="457">
        <f t="shared" si="18"/>
        <v>8.1552096000000009</v>
      </c>
      <c r="L83" s="463">
        <f t="shared" si="16"/>
        <v>1080000</v>
      </c>
      <c r="N83" s="291"/>
      <c r="O83" s="291"/>
      <c r="P83" s="291"/>
      <c r="Q83" s="291"/>
      <c r="R83" s="291"/>
      <c r="T83" s="456"/>
    </row>
  </sheetData>
  <mergeCells count="25">
    <mergeCell ref="L25:S25"/>
    <mergeCell ref="F2:J2"/>
    <mergeCell ref="A6:A9"/>
    <mergeCell ref="A10:A14"/>
    <mergeCell ref="B16:B18"/>
    <mergeCell ref="B20:B24"/>
    <mergeCell ref="A2:A3"/>
    <mergeCell ref="B2:B3"/>
    <mergeCell ref="C2:C3"/>
    <mergeCell ref="D2:D3"/>
    <mergeCell ref="A19:A24"/>
    <mergeCell ref="A15:A18"/>
    <mergeCell ref="B7:B9"/>
    <mergeCell ref="B11:B14"/>
    <mergeCell ref="L30:L33"/>
    <mergeCell ref="M31:M33"/>
    <mergeCell ref="L34:L38"/>
    <mergeCell ref="M35:M38"/>
    <mergeCell ref="L39:L42"/>
    <mergeCell ref="M40:M42"/>
    <mergeCell ref="L43:L51"/>
    <mergeCell ref="M44:M51"/>
    <mergeCell ref="L52:L58"/>
    <mergeCell ref="M53:M58"/>
    <mergeCell ref="L59:O5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2"/>
  <sheetViews>
    <sheetView topLeftCell="A73" zoomScale="85" zoomScaleNormal="85" workbookViewId="0">
      <selection activeCell="V74" sqref="V74"/>
    </sheetView>
  </sheetViews>
  <sheetFormatPr defaultRowHeight="15" x14ac:dyDescent="0.25"/>
  <cols>
    <col min="1" max="1" width="9.140625" style="119"/>
    <col min="2" max="2" width="11" style="119" customWidth="1"/>
    <col min="3" max="3" width="9.140625" style="119"/>
    <col min="4" max="4" width="20.5703125" style="119" customWidth="1"/>
    <col min="5" max="6" width="9.140625" style="119"/>
    <col min="7" max="7" width="14.5703125" style="119" customWidth="1"/>
    <col min="8" max="10" width="0" style="119" hidden="1" customWidth="1"/>
    <col min="11" max="11" width="18.140625" style="119" hidden="1" customWidth="1"/>
    <col min="12" max="12" width="0" style="119" hidden="1" customWidth="1"/>
    <col min="13" max="13" width="25.42578125" style="119" hidden="1" customWidth="1"/>
    <col min="14" max="14" width="13.28515625" style="119" hidden="1" customWidth="1"/>
    <col min="15" max="15" width="12.5703125" style="119" hidden="1" customWidth="1"/>
    <col min="16" max="16" width="13.85546875" style="119" hidden="1" customWidth="1"/>
    <col min="17" max="17" width="14.42578125" style="119" hidden="1" customWidth="1"/>
    <col min="18" max="18" width="18.7109375" style="119" hidden="1" customWidth="1"/>
    <col min="19" max="19" width="15.85546875" style="119" customWidth="1"/>
    <col min="20" max="16384" width="9.140625" style="119"/>
  </cols>
  <sheetData>
    <row r="1" spans="2:19" x14ac:dyDescent="0.25">
      <c r="C1" s="94" t="s">
        <v>98</v>
      </c>
    </row>
    <row r="2" spans="2:19" ht="45" x14ac:dyDescent="0.25">
      <c r="C2" s="90"/>
      <c r="D2" s="129" t="s">
        <v>99</v>
      </c>
      <c r="E2" s="129" t="s">
        <v>100</v>
      </c>
      <c r="F2" s="129" t="s">
        <v>101</v>
      </c>
      <c r="G2" s="129" t="s">
        <v>102</v>
      </c>
      <c r="J2" s="641"/>
      <c r="K2" s="642"/>
      <c r="L2" s="642"/>
      <c r="M2" s="642"/>
      <c r="N2" s="642"/>
      <c r="O2" s="642"/>
      <c r="P2" s="642"/>
      <c r="Q2" s="642"/>
      <c r="R2" s="643"/>
    </row>
    <row r="3" spans="2:19" ht="47.25" x14ac:dyDescent="0.25">
      <c r="B3" s="737" t="s">
        <v>103</v>
      </c>
      <c r="C3" s="464" t="s">
        <v>104</v>
      </c>
      <c r="D3" s="725" t="s">
        <v>105</v>
      </c>
      <c r="E3" s="726"/>
      <c r="F3" s="726"/>
      <c r="G3" s="726"/>
      <c r="H3" s="119" t="s">
        <v>106</v>
      </c>
      <c r="J3" s="99" t="s">
        <v>107</v>
      </c>
      <c r="K3" s="100" t="s">
        <v>108</v>
      </c>
      <c r="L3" s="100" t="s">
        <v>20</v>
      </c>
      <c r="M3" s="112" t="s">
        <v>21</v>
      </c>
      <c r="N3" s="113" t="s">
        <v>109</v>
      </c>
      <c r="O3" s="102" t="s">
        <v>110</v>
      </c>
      <c r="P3" s="101" t="s">
        <v>111</v>
      </c>
      <c r="Q3" s="102" t="s">
        <v>112</v>
      </c>
      <c r="R3" s="127" t="s">
        <v>28</v>
      </c>
    </row>
    <row r="4" spans="2:19" ht="30" x14ac:dyDescent="0.25">
      <c r="B4" s="738"/>
      <c r="C4" s="464">
        <v>1</v>
      </c>
      <c r="D4" s="130" t="s">
        <v>113</v>
      </c>
      <c r="E4" s="131">
        <v>2017</v>
      </c>
      <c r="F4" s="132">
        <v>5</v>
      </c>
      <c r="G4" s="132" t="s">
        <v>114</v>
      </c>
      <c r="J4" s="114">
        <v>1</v>
      </c>
      <c r="K4" s="115" t="s">
        <v>115</v>
      </c>
      <c r="L4" s="109" t="s">
        <v>116</v>
      </c>
      <c r="M4" s="116" t="s">
        <v>117</v>
      </c>
      <c r="N4" s="117">
        <v>5</v>
      </c>
      <c r="O4" s="109">
        <v>6131.9999999999991</v>
      </c>
      <c r="P4" s="109">
        <f>N4*O4</f>
        <v>30659.999999999996</v>
      </c>
      <c r="Q4" s="118">
        <v>0.70599999999999996</v>
      </c>
      <c r="R4" s="128">
        <f>P4*Q4</f>
        <v>21645.959999999995</v>
      </c>
    </row>
    <row r="5" spans="2:19" ht="30" x14ac:dyDescent="0.25">
      <c r="B5" s="738"/>
      <c r="C5" s="464">
        <v>2</v>
      </c>
      <c r="D5" s="133" t="s">
        <v>118</v>
      </c>
      <c r="E5" s="134"/>
      <c r="F5" s="135">
        <v>2</v>
      </c>
      <c r="G5" s="135" t="s">
        <v>114</v>
      </c>
      <c r="H5" s="120">
        <v>1.68</v>
      </c>
      <c r="I5" s="122"/>
      <c r="J5" s="114">
        <v>2</v>
      </c>
      <c r="K5" s="115" t="s">
        <v>115</v>
      </c>
      <c r="L5" s="109" t="s">
        <v>116</v>
      </c>
      <c r="M5" s="116" t="s">
        <v>117</v>
      </c>
      <c r="N5" s="117">
        <v>2</v>
      </c>
      <c r="O5" s="109">
        <v>6131.9999999999991</v>
      </c>
      <c r="P5" s="109">
        <f t="shared" ref="P5:P52" si="0">N5*O5</f>
        <v>12263.999999999998</v>
      </c>
      <c r="Q5" s="118">
        <v>0.70599999999999996</v>
      </c>
      <c r="R5" s="128">
        <f t="shared" ref="R5:R52" si="1">P5*Q5</f>
        <v>8658.3839999999982</v>
      </c>
      <c r="S5" s="119">
        <v>7008</v>
      </c>
    </row>
    <row r="6" spans="2:19" ht="30" x14ac:dyDescent="0.25">
      <c r="B6" s="738"/>
      <c r="C6" s="464">
        <v>3</v>
      </c>
      <c r="D6" s="133" t="s">
        <v>119</v>
      </c>
      <c r="E6" s="134"/>
      <c r="F6" s="135">
        <v>3</v>
      </c>
      <c r="G6" s="135" t="s">
        <v>114</v>
      </c>
      <c r="H6" s="120">
        <v>2.52</v>
      </c>
      <c r="I6" s="122"/>
      <c r="J6" s="114">
        <v>3</v>
      </c>
      <c r="K6" s="115" t="s">
        <v>115</v>
      </c>
      <c r="L6" s="109" t="s">
        <v>116</v>
      </c>
      <c r="M6" s="116" t="s">
        <v>117</v>
      </c>
      <c r="N6" s="117">
        <v>3</v>
      </c>
      <c r="O6" s="109">
        <v>6131.9999999999991</v>
      </c>
      <c r="P6" s="109">
        <f t="shared" si="0"/>
        <v>18395.999999999996</v>
      </c>
      <c r="Q6" s="118">
        <v>0.70599999999999996</v>
      </c>
      <c r="R6" s="128">
        <f t="shared" si="1"/>
        <v>12987.575999999997</v>
      </c>
    </row>
    <row r="7" spans="2:19" ht="30" x14ac:dyDescent="0.25">
      <c r="B7" s="738"/>
      <c r="C7" s="464">
        <v>4</v>
      </c>
      <c r="D7" s="133" t="s">
        <v>120</v>
      </c>
      <c r="E7" s="134"/>
      <c r="F7" s="135">
        <v>6.2</v>
      </c>
      <c r="G7" s="135" t="s">
        <v>114</v>
      </c>
      <c r="H7" s="120">
        <v>5.21</v>
      </c>
      <c r="I7" s="122"/>
      <c r="J7" s="114">
        <v>4</v>
      </c>
      <c r="K7" s="115" t="s">
        <v>115</v>
      </c>
      <c r="L7" s="109" t="s">
        <v>116</v>
      </c>
      <c r="M7" s="116" t="s">
        <v>117</v>
      </c>
      <c r="N7" s="117">
        <v>6.2</v>
      </c>
      <c r="O7" s="109">
        <v>6131.9999999999991</v>
      </c>
      <c r="P7" s="109">
        <f t="shared" si="0"/>
        <v>38018.399999999994</v>
      </c>
      <c r="Q7" s="118">
        <v>0.70599999999999996</v>
      </c>
      <c r="R7" s="128">
        <f t="shared" si="1"/>
        <v>26840.990399999995</v>
      </c>
    </row>
    <row r="8" spans="2:19" ht="30" x14ac:dyDescent="0.25">
      <c r="B8" s="738"/>
      <c r="C8" s="464">
        <v>5</v>
      </c>
      <c r="D8" s="133" t="s">
        <v>121</v>
      </c>
      <c r="E8" s="136"/>
      <c r="F8" s="135">
        <v>5.8</v>
      </c>
      <c r="G8" s="135" t="s">
        <v>114</v>
      </c>
      <c r="H8" s="120">
        <v>4.87</v>
      </c>
      <c r="I8" s="122"/>
      <c r="J8" s="114">
        <v>5</v>
      </c>
      <c r="K8" s="115" t="s">
        <v>115</v>
      </c>
      <c r="L8" s="109" t="s">
        <v>116</v>
      </c>
      <c r="M8" s="116" t="s">
        <v>117</v>
      </c>
      <c r="N8" s="117">
        <v>5.8</v>
      </c>
      <c r="O8" s="109">
        <v>6131.9999999999991</v>
      </c>
      <c r="P8" s="109">
        <f t="shared" si="0"/>
        <v>35565.599999999991</v>
      </c>
      <c r="Q8" s="118">
        <v>0.70599999999999996</v>
      </c>
      <c r="R8" s="128">
        <f t="shared" si="1"/>
        <v>25109.313599999994</v>
      </c>
    </row>
    <row r="9" spans="2:19" ht="30" x14ac:dyDescent="0.25">
      <c r="B9" s="738"/>
      <c r="C9" s="464">
        <v>6</v>
      </c>
      <c r="D9" s="133" t="s">
        <v>122</v>
      </c>
      <c r="E9" s="137">
        <v>2018</v>
      </c>
      <c r="F9" s="135">
        <v>9</v>
      </c>
      <c r="G9" s="135" t="s">
        <v>114</v>
      </c>
      <c r="H9" s="120">
        <v>7.56</v>
      </c>
      <c r="I9" s="122"/>
      <c r="J9" s="114">
        <v>6</v>
      </c>
      <c r="K9" s="115" t="s">
        <v>115</v>
      </c>
      <c r="L9" s="109" t="s">
        <v>116</v>
      </c>
      <c r="M9" s="116" t="s">
        <v>117</v>
      </c>
      <c r="N9" s="117">
        <v>9</v>
      </c>
      <c r="O9" s="109">
        <v>6131.9999999999991</v>
      </c>
      <c r="P9" s="109">
        <f t="shared" si="0"/>
        <v>55187.999999999993</v>
      </c>
      <c r="Q9" s="118">
        <v>0.70599999999999996</v>
      </c>
      <c r="R9" s="128">
        <f t="shared" si="1"/>
        <v>38962.727999999996</v>
      </c>
    </row>
    <row r="10" spans="2:19" ht="30" x14ac:dyDescent="0.25">
      <c r="B10" s="738"/>
      <c r="C10" s="464">
        <v>7</v>
      </c>
      <c r="D10" s="133" t="s">
        <v>123</v>
      </c>
      <c r="E10" s="134"/>
      <c r="F10" s="135">
        <v>6.5</v>
      </c>
      <c r="G10" s="135" t="s">
        <v>114</v>
      </c>
      <c r="H10" s="120">
        <v>5.46</v>
      </c>
      <c r="I10" s="122"/>
      <c r="J10" s="114">
        <v>7</v>
      </c>
      <c r="K10" s="115" t="s">
        <v>115</v>
      </c>
      <c r="L10" s="109" t="s">
        <v>116</v>
      </c>
      <c r="M10" s="116" t="s">
        <v>117</v>
      </c>
      <c r="N10" s="117">
        <v>6.5</v>
      </c>
      <c r="O10" s="109">
        <v>6131.9999999999991</v>
      </c>
      <c r="P10" s="109">
        <f t="shared" si="0"/>
        <v>39857.999999999993</v>
      </c>
      <c r="Q10" s="118">
        <v>0.70599999999999996</v>
      </c>
      <c r="R10" s="128">
        <f t="shared" si="1"/>
        <v>28139.747999999992</v>
      </c>
    </row>
    <row r="11" spans="2:19" ht="30" x14ac:dyDescent="0.25">
      <c r="B11" s="738"/>
      <c r="C11" s="464">
        <v>8</v>
      </c>
      <c r="D11" s="133" t="s">
        <v>124</v>
      </c>
      <c r="E11" s="134"/>
      <c r="F11" s="135">
        <v>6</v>
      </c>
      <c r="G11" s="135" t="s">
        <v>114</v>
      </c>
      <c r="H11" s="120">
        <v>5.04</v>
      </c>
      <c r="I11" s="122"/>
      <c r="J11" s="114">
        <v>8</v>
      </c>
      <c r="K11" s="115" t="s">
        <v>115</v>
      </c>
      <c r="L11" s="109" t="s">
        <v>116</v>
      </c>
      <c r="M11" s="116" t="s">
        <v>117</v>
      </c>
      <c r="N11" s="117">
        <v>6</v>
      </c>
      <c r="O11" s="109">
        <v>6131.9999999999991</v>
      </c>
      <c r="P11" s="109">
        <f t="shared" si="0"/>
        <v>36791.999999999993</v>
      </c>
      <c r="Q11" s="118">
        <v>0.70599999999999996</v>
      </c>
      <c r="R11" s="128">
        <f t="shared" si="1"/>
        <v>25975.151999999995</v>
      </c>
    </row>
    <row r="12" spans="2:19" ht="30" x14ac:dyDescent="0.25">
      <c r="B12" s="738"/>
      <c r="C12" s="464">
        <v>9</v>
      </c>
      <c r="D12" s="133" t="s">
        <v>125</v>
      </c>
      <c r="E12" s="134"/>
      <c r="F12" s="135">
        <v>9.69</v>
      </c>
      <c r="G12" s="135" t="s">
        <v>114</v>
      </c>
      <c r="H12" s="120">
        <v>8.14</v>
      </c>
      <c r="I12" s="122"/>
      <c r="J12" s="114">
        <v>9</v>
      </c>
      <c r="K12" s="115" t="s">
        <v>115</v>
      </c>
      <c r="L12" s="109" t="s">
        <v>116</v>
      </c>
      <c r="M12" s="116" t="s">
        <v>117</v>
      </c>
      <c r="N12" s="117">
        <v>9.69</v>
      </c>
      <c r="O12" s="109">
        <v>6131.9999999999991</v>
      </c>
      <c r="P12" s="109">
        <f t="shared" si="0"/>
        <v>59419.079999999987</v>
      </c>
      <c r="Q12" s="118">
        <v>0.70599999999999996</v>
      </c>
      <c r="R12" s="128">
        <f t="shared" si="1"/>
        <v>41949.87047999999</v>
      </c>
    </row>
    <row r="13" spans="2:19" ht="30" x14ac:dyDescent="0.25">
      <c r="B13" s="738"/>
      <c r="C13" s="464">
        <v>10</v>
      </c>
      <c r="D13" s="133" t="s">
        <v>126</v>
      </c>
      <c r="E13" s="134"/>
      <c r="F13" s="135">
        <v>8.8000000000000007</v>
      </c>
      <c r="G13" s="135" t="s">
        <v>114</v>
      </c>
      <c r="H13" s="120">
        <v>7.39</v>
      </c>
      <c r="I13" s="122"/>
      <c r="J13" s="114">
        <v>10</v>
      </c>
      <c r="K13" s="115" t="s">
        <v>115</v>
      </c>
      <c r="L13" s="109" t="s">
        <v>116</v>
      </c>
      <c r="M13" s="116" t="s">
        <v>117</v>
      </c>
      <c r="N13" s="117">
        <v>8.8000000000000007</v>
      </c>
      <c r="O13" s="109">
        <v>6131.9999999999991</v>
      </c>
      <c r="P13" s="109">
        <f t="shared" si="0"/>
        <v>53961.599999999999</v>
      </c>
      <c r="Q13" s="118">
        <v>0.70599999999999996</v>
      </c>
      <c r="R13" s="128">
        <f t="shared" si="1"/>
        <v>38096.889599999995</v>
      </c>
    </row>
    <row r="14" spans="2:19" ht="30" x14ac:dyDescent="0.25">
      <c r="B14" s="738"/>
      <c r="C14" s="464">
        <v>11</v>
      </c>
      <c r="D14" s="133" t="s">
        <v>127</v>
      </c>
      <c r="E14" s="136"/>
      <c r="F14" s="135">
        <v>3</v>
      </c>
      <c r="G14" s="135" t="s">
        <v>114</v>
      </c>
      <c r="H14" s="120">
        <v>2.52</v>
      </c>
      <c r="I14" s="122"/>
      <c r="J14" s="114">
        <v>11</v>
      </c>
      <c r="K14" s="115" t="s">
        <v>115</v>
      </c>
      <c r="L14" s="109" t="s">
        <v>116</v>
      </c>
      <c r="M14" s="116" t="s">
        <v>117</v>
      </c>
      <c r="N14" s="117">
        <v>3</v>
      </c>
      <c r="O14" s="109">
        <v>6131.9999999999991</v>
      </c>
      <c r="P14" s="109">
        <f t="shared" si="0"/>
        <v>18395.999999999996</v>
      </c>
      <c r="Q14" s="118">
        <v>0.70599999999999996</v>
      </c>
      <c r="R14" s="128">
        <f t="shared" si="1"/>
        <v>12987.575999999997</v>
      </c>
    </row>
    <row r="15" spans="2:19" ht="30" x14ac:dyDescent="0.25">
      <c r="B15" s="738"/>
      <c r="C15" s="464">
        <v>12</v>
      </c>
      <c r="D15" s="133" t="s">
        <v>128</v>
      </c>
      <c r="E15" s="137">
        <v>2019</v>
      </c>
      <c r="F15" s="135">
        <v>3</v>
      </c>
      <c r="G15" s="135" t="s">
        <v>114</v>
      </c>
      <c r="H15" s="120">
        <v>2.52</v>
      </c>
      <c r="I15" s="122"/>
      <c r="J15" s="114">
        <v>12</v>
      </c>
      <c r="K15" s="115" t="s">
        <v>115</v>
      </c>
      <c r="L15" s="109" t="s">
        <v>116</v>
      </c>
      <c r="M15" s="116" t="s">
        <v>117</v>
      </c>
      <c r="N15" s="117">
        <v>3</v>
      </c>
      <c r="O15" s="109">
        <v>6131.9999999999991</v>
      </c>
      <c r="P15" s="109">
        <f t="shared" si="0"/>
        <v>18395.999999999996</v>
      </c>
      <c r="Q15" s="118">
        <v>0.70599999999999996</v>
      </c>
      <c r="R15" s="128">
        <f t="shared" si="1"/>
        <v>12987.575999999997</v>
      </c>
    </row>
    <row r="16" spans="2:19" ht="30" x14ac:dyDescent="0.25">
      <c r="B16" s="738"/>
      <c r="C16" s="464">
        <v>13</v>
      </c>
      <c r="D16" s="133" t="s">
        <v>129</v>
      </c>
      <c r="E16" s="134"/>
      <c r="F16" s="135">
        <v>6.4</v>
      </c>
      <c r="G16" s="135" t="s">
        <v>114</v>
      </c>
      <c r="H16" s="120">
        <v>5.38</v>
      </c>
      <c r="I16" s="122"/>
      <c r="J16" s="114">
        <v>13</v>
      </c>
      <c r="K16" s="115" t="s">
        <v>115</v>
      </c>
      <c r="L16" s="109" t="s">
        <v>116</v>
      </c>
      <c r="M16" s="116" t="s">
        <v>117</v>
      </c>
      <c r="N16" s="117">
        <v>6.4</v>
      </c>
      <c r="O16" s="109">
        <v>6131.9999999999991</v>
      </c>
      <c r="P16" s="109">
        <f t="shared" si="0"/>
        <v>39244.799999999996</v>
      </c>
      <c r="Q16" s="118">
        <v>0.70599999999999996</v>
      </c>
      <c r="R16" s="128">
        <f t="shared" si="1"/>
        <v>27706.828799999996</v>
      </c>
    </row>
    <row r="17" spans="2:18" ht="30" x14ac:dyDescent="0.25">
      <c r="B17" s="738"/>
      <c r="C17" s="464">
        <v>14</v>
      </c>
      <c r="D17" s="133" t="s">
        <v>130</v>
      </c>
      <c r="E17" s="134"/>
      <c r="F17" s="135">
        <v>7.4</v>
      </c>
      <c r="G17" s="135" t="s">
        <v>114</v>
      </c>
      <c r="H17" s="120">
        <v>6.22</v>
      </c>
      <c r="I17" s="122"/>
      <c r="J17" s="114">
        <v>14</v>
      </c>
      <c r="K17" s="115" t="s">
        <v>115</v>
      </c>
      <c r="L17" s="109" t="s">
        <v>116</v>
      </c>
      <c r="M17" s="116" t="s">
        <v>117</v>
      </c>
      <c r="N17" s="117">
        <v>7.4</v>
      </c>
      <c r="O17" s="109">
        <v>6131.9999999999991</v>
      </c>
      <c r="P17" s="109">
        <f t="shared" si="0"/>
        <v>45376.799999999996</v>
      </c>
      <c r="Q17" s="118">
        <v>0.70599999999999996</v>
      </c>
      <c r="R17" s="128">
        <f t="shared" si="1"/>
        <v>32036.020799999995</v>
      </c>
    </row>
    <row r="18" spans="2:18" ht="30" x14ac:dyDescent="0.25">
      <c r="B18" s="738"/>
      <c r="C18" s="464">
        <v>15</v>
      </c>
      <c r="D18" s="133" t="s">
        <v>131</v>
      </c>
      <c r="E18" s="136"/>
      <c r="F18" s="135">
        <v>1</v>
      </c>
      <c r="G18" s="135" t="s">
        <v>114</v>
      </c>
      <c r="H18" s="120">
        <v>0.84</v>
      </c>
      <c r="I18" s="122"/>
      <c r="J18" s="114">
        <v>15</v>
      </c>
      <c r="K18" s="115" t="s">
        <v>115</v>
      </c>
      <c r="L18" s="109" t="s">
        <v>116</v>
      </c>
      <c r="M18" s="116" t="s">
        <v>117</v>
      </c>
      <c r="N18" s="117">
        <v>1</v>
      </c>
      <c r="O18" s="109">
        <v>6131.9999999999991</v>
      </c>
      <c r="P18" s="109">
        <f t="shared" si="0"/>
        <v>6131.9999999999991</v>
      </c>
      <c r="Q18" s="118">
        <v>0.70599999999999996</v>
      </c>
      <c r="R18" s="128">
        <f t="shared" si="1"/>
        <v>4329.1919999999991</v>
      </c>
    </row>
    <row r="19" spans="2:18" ht="30" x14ac:dyDescent="0.25">
      <c r="B19" s="738"/>
      <c r="C19" s="464">
        <v>16</v>
      </c>
      <c r="D19" s="133" t="s">
        <v>132</v>
      </c>
      <c r="E19" s="137">
        <v>2020</v>
      </c>
      <c r="F19" s="135">
        <v>3</v>
      </c>
      <c r="G19" s="135" t="s">
        <v>114</v>
      </c>
      <c r="H19" s="120">
        <v>2.52</v>
      </c>
      <c r="I19" s="122"/>
      <c r="J19" s="114">
        <v>16</v>
      </c>
      <c r="K19" s="115" t="s">
        <v>115</v>
      </c>
      <c r="L19" s="109" t="s">
        <v>116</v>
      </c>
      <c r="M19" s="116" t="s">
        <v>117</v>
      </c>
      <c r="N19" s="117">
        <v>3</v>
      </c>
      <c r="O19" s="109">
        <v>6131.9999999999991</v>
      </c>
      <c r="P19" s="109">
        <f t="shared" si="0"/>
        <v>18395.999999999996</v>
      </c>
      <c r="Q19" s="118">
        <v>0.70599999999999996</v>
      </c>
      <c r="R19" s="128">
        <f t="shared" si="1"/>
        <v>12987.575999999997</v>
      </c>
    </row>
    <row r="20" spans="2:18" ht="30" x14ac:dyDescent="0.25">
      <c r="B20" s="738"/>
      <c r="C20" s="464">
        <v>17</v>
      </c>
      <c r="D20" s="133" t="s">
        <v>133</v>
      </c>
      <c r="E20" s="134"/>
      <c r="F20" s="135">
        <v>3</v>
      </c>
      <c r="G20" s="135" t="s">
        <v>114</v>
      </c>
      <c r="H20" s="120">
        <v>2.52</v>
      </c>
      <c r="I20" s="122"/>
      <c r="J20" s="114">
        <v>17</v>
      </c>
      <c r="K20" s="115" t="s">
        <v>115</v>
      </c>
      <c r="L20" s="109" t="s">
        <v>116</v>
      </c>
      <c r="M20" s="116" t="s">
        <v>117</v>
      </c>
      <c r="N20" s="117">
        <v>3</v>
      </c>
      <c r="O20" s="109">
        <v>6131.9999999999991</v>
      </c>
      <c r="P20" s="109">
        <f t="shared" si="0"/>
        <v>18395.999999999996</v>
      </c>
      <c r="Q20" s="118">
        <v>0.70599999999999996</v>
      </c>
      <c r="R20" s="128">
        <f t="shared" si="1"/>
        <v>12987.575999999997</v>
      </c>
    </row>
    <row r="21" spans="2:18" ht="30" x14ac:dyDescent="0.25">
      <c r="B21" s="738"/>
      <c r="C21" s="464">
        <v>18</v>
      </c>
      <c r="D21" s="133" t="s">
        <v>134</v>
      </c>
      <c r="E21" s="134"/>
      <c r="F21" s="135">
        <v>7.2</v>
      </c>
      <c r="G21" s="135" t="s">
        <v>114</v>
      </c>
      <c r="H21" s="120">
        <v>6.05</v>
      </c>
      <c r="I21" s="122"/>
      <c r="J21" s="114">
        <v>18</v>
      </c>
      <c r="K21" s="115" t="s">
        <v>115</v>
      </c>
      <c r="L21" s="109" t="s">
        <v>116</v>
      </c>
      <c r="M21" s="116" t="s">
        <v>117</v>
      </c>
      <c r="N21" s="117">
        <v>7.2</v>
      </c>
      <c r="O21" s="109">
        <v>6131.9999999999991</v>
      </c>
      <c r="P21" s="109">
        <f t="shared" si="0"/>
        <v>44150.399999999994</v>
      </c>
      <c r="Q21" s="118">
        <v>0.70599999999999996</v>
      </c>
      <c r="R21" s="128">
        <f t="shared" si="1"/>
        <v>31170.182399999994</v>
      </c>
    </row>
    <row r="22" spans="2:18" ht="30" x14ac:dyDescent="0.25">
      <c r="B22" s="738"/>
      <c r="C22" s="464">
        <v>19</v>
      </c>
      <c r="D22" s="133" t="s">
        <v>135</v>
      </c>
      <c r="E22" s="134"/>
      <c r="F22" s="135">
        <v>6.3</v>
      </c>
      <c r="G22" s="135" t="s">
        <v>114</v>
      </c>
      <c r="H22" s="120">
        <v>5.29</v>
      </c>
      <c r="I22" s="122"/>
      <c r="J22" s="114">
        <v>19</v>
      </c>
      <c r="K22" s="115" t="s">
        <v>115</v>
      </c>
      <c r="L22" s="109" t="s">
        <v>116</v>
      </c>
      <c r="M22" s="116" t="s">
        <v>117</v>
      </c>
      <c r="N22" s="117">
        <v>6.3</v>
      </c>
      <c r="O22" s="109">
        <v>6131.9999999999991</v>
      </c>
      <c r="P22" s="109">
        <f t="shared" si="0"/>
        <v>38631.599999999991</v>
      </c>
      <c r="Q22" s="118">
        <v>0.70599999999999996</v>
      </c>
      <c r="R22" s="128">
        <f t="shared" si="1"/>
        <v>27273.909599999992</v>
      </c>
    </row>
    <row r="23" spans="2:18" ht="30" x14ac:dyDescent="0.25">
      <c r="B23" s="738"/>
      <c r="C23" s="464">
        <v>20</v>
      </c>
      <c r="D23" s="133" t="s">
        <v>136</v>
      </c>
      <c r="E23" s="134"/>
      <c r="F23" s="135">
        <v>8.2200000000000006</v>
      </c>
      <c r="G23" s="135" t="s">
        <v>114</v>
      </c>
      <c r="H23" s="120">
        <v>6.9</v>
      </c>
      <c r="I23" s="122"/>
      <c r="J23" s="114">
        <v>20</v>
      </c>
      <c r="K23" s="115" t="s">
        <v>115</v>
      </c>
      <c r="L23" s="109" t="s">
        <v>116</v>
      </c>
      <c r="M23" s="116" t="s">
        <v>117</v>
      </c>
      <c r="N23" s="117">
        <v>8.2200000000000006</v>
      </c>
      <c r="O23" s="109">
        <v>6131.9999999999991</v>
      </c>
      <c r="P23" s="109">
        <f t="shared" si="0"/>
        <v>50405.039999999994</v>
      </c>
      <c r="Q23" s="118">
        <v>0.70599999999999996</v>
      </c>
      <c r="R23" s="128">
        <f t="shared" si="1"/>
        <v>35585.958239999993</v>
      </c>
    </row>
    <row r="24" spans="2:18" ht="30" x14ac:dyDescent="0.25">
      <c r="B24" s="738"/>
      <c r="C24" s="464">
        <v>21</v>
      </c>
      <c r="D24" s="133" t="s">
        <v>137</v>
      </c>
      <c r="E24" s="134"/>
      <c r="F24" s="135">
        <v>1.8</v>
      </c>
      <c r="G24" s="135" t="s">
        <v>114</v>
      </c>
      <c r="H24" s="120">
        <v>1.51</v>
      </c>
      <c r="I24" s="122"/>
      <c r="J24" s="114">
        <v>21</v>
      </c>
      <c r="K24" s="115" t="s">
        <v>115</v>
      </c>
      <c r="L24" s="109" t="s">
        <v>116</v>
      </c>
      <c r="M24" s="116" t="s">
        <v>117</v>
      </c>
      <c r="N24" s="117">
        <v>1.8</v>
      </c>
      <c r="O24" s="109">
        <v>6131.9999999999991</v>
      </c>
      <c r="P24" s="109">
        <f t="shared" si="0"/>
        <v>11037.599999999999</v>
      </c>
      <c r="Q24" s="118">
        <v>0.70599999999999996</v>
      </c>
      <c r="R24" s="128">
        <f t="shared" si="1"/>
        <v>7792.5455999999986</v>
      </c>
    </row>
    <row r="25" spans="2:18" ht="30" x14ac:dyDescent="0.25">
      <c r="B25" s="738"/>
      <c r="C25" s="464">
        <v>22</v>
      </c>
      <c r="D25" s="133" t="s">
        <v>138</v>
      </c>
      <c r="E25" s="134"/>
      <c r="F25" s="135">
        <v>6</v>
      </c>
      <c r="G25" s="135" t="s">
        <v>114</v>
      </c>
      <c r="H25" s="120">
        <v>5.04</v>
      </c>
      <c r="I25" s="122"/>
      <c r="J25" s="114">
        <v>22</v>
      </c>
      <c r="K25" s="115" t="s">
        <v>115</v>
      </c>
      <c r="L25" s="109" t="s">
        <v>116</v>
      </c>
      <c r="M25" s="116" t="s">
        <v>117</v>
      </c>
      <c r="N25" s="117">
        <v>6</v>
      </c>
      <c r="O25" s="109">
        <v>6131.9999999999991</v>
      </c>
      <c r="P25" s="109">
        <f t="shared" si="0"/>
        <v>36791.999999999993</v>
      </c>
      <c r="Q25" s="118">
        <v>0.70599999999999996</v>
      </c>
      <c r="R25" s="128">
        <f t="shared" si="1"/>
        <v>25975.151999999995</v>
      </c>
    </row>
    <row r="26" spans="2:18" ht="30" x14ac:dyDescent="0.25">
      <c r="B26" s="738"/>
      <c r="C26" s="464">
        <v>23</v>
      </c>
      <c r="D26" s="133" t="s">
        <v>139</v>
      </c>
      <c r="E26" s="134"/>
      <c r="F26" s="135">
        <v>4.2</v>
      </c>
      <c r="G26" s="135" t="s">
        <v>114</v>
      </c>
      <c r="H26" s="120">
        <v>3.53</v>
      </c>
      <c r="I26" s="122"/>
      <c r="J26" s="114">
        <v>23</v>
      </c>
      <c r="K26" s="115" t="s">
        <v>115</v>
      </c>
      <c r="L26" s="109" t="s">
        <v>116</v>
      </c>
      <c r="M26" s="116" t="s">
        <v>117</v>
      </c>
      <c r="N26" s="117">
        <v>4.2</v>
      </c>
      <c r="O26" s="109">
        <v>6131.9999999999991</v>
      </c>
      <c r="P26" s="109">
        <f t="shared" si="0"/>
        <v>25754.399999999998</v>
      </c>
      <c r="Q26" s="118">
        <v>0.70599999999999996</v>
      </c>
      <c r="R26" s="128">
        <f t="shared" si="1"/>
        <v>18182.606399999997</v>
      </c>
    </row>
    <row r="27" spans="2:18" ht="30" x14ac:dyDescent="0.25">
      <c r="B27" s="738"/>
      <c r="C27" s="464">
        <v>24</v>
      </c>
      <c r="D27" s="133" t="s">
        <v>140</v>
      </c>
      <c r="E27" s="136"/>
      <c r="F27" s="135">
        <v>2.1</v>
      </c>
      <c r="G27" s="135" t="s">
        <v>114</v>
      </c>
      <c r="H27" s="120">
        <v>1.76</v>
      </c>
      <c r="I27" s="122"/>
      <c r="J27" s="114">
        <v>24</v>
      </c>
      <c r="K27" s="115" t="s">
        <v>115</v>
      </c>
      <c r="L27" s="109" t="s">
        <v>116</v>
      </c>
      <c r="M27" s="116" t="s">
        <v>117</v>
      </c>
      <c r="N27" s="117">
        <v>2.1</v>
      </c>
      <c r="O27" s="109">
        <v>6131.9999999999991</v>
      </c>
      <c r="P27" s="109">
        <f t="shared" si="0"/>
        <v>12877.199999999999</v>
      </c>
      <c r="Q27" s="118">
        <v>0.70599999999999996</v>
      </c>
      <c r="R27" s="128">
        <f t="shared" si="1"/>
        <v>9091.3031999999985</v>
      </c>
    </row>
    <row r="28" spans="2:18" ht="30" x14ac:dyDescent="0.25">
      <c r="B28" s="738"/>
      <c r="C28" s="464">
        <v>25</v>
      </c>
      <c r="D28" s="133" t="s">
        <v>141</v>
      </c>
      <c r="E28" s="137">
        <v>2021</v>
      </c>
      <c r="F28" s="135">
        <v>6</v>
      </c>
      <c r="G28" s="135" t="s">
        <v>114</v>
      </c>
      <c r="H28" s="120">
        <v>5.04</v>
      </c>
      <c r="I28" s="122"/>
      <c r="J28" s="114">
        <v>25</v>
      </c>
      <c r="K28" s="115" t="s">
        <v>115</v>
      </c>
      <c r="L28" s="109" t="s">
        <v>116</v>
      </c>
      <c r="M28" s="116" t="s">
        <v>117</v>
      </c>
      <c r="N28" s="117">
        <v>6</v>
      </c>
      <c r="O28" s="109">
        <v>6131.9999999999991</v>
      </c>
      <c r="P28" s="109">
        <f t="shared" si="0"/>
        <v>36791.999999999993</v>
      </c>
      <c r="Q28" s="118">
        <v>0.70599999999999996</v>
      </c>
      <c r="R28" s="128">
        <f t="shared" si="1"/>
        <v>25975.151999999995</v>
      </c>
    </row>
    <row r="29" spans="2:18" ht="30" x14ac:dyDescent="0.25">
      <c r="B29" s="738"/>
      <c r="C29" s="464">
        <v>26</v>
      </c>
      <c r="D29" s="133" t="s">
        <v>142</v>
      </c>
      <c r="E29" s="134"/>
      <c r="F29" s="135">
        <v>5.0999999999999996</v>
      </c>
      <c r="G29" s="135" t="s">
        <v>114</v>
      </c>
      <c r="H29" s="120">
        <v>4.28</v>
      </c>
      <c r="I29" s="122"/>
      <c r="J29" s="114">
        <v>26</v>
      </c>
      <c r="K29" s="115" t="s">
        <v>115</v>
      </c>
      <c r="L29" s="109" t="s">
        <v>116</v>
      </c>
      <c r="M29" s="116" t="s">
        <v>117</v>
      </c>
      <c r="N29" s="117">
        <v>5.0999999999999996</v>
      </c>
      <c r="O29" s="109">
        <v>6131.9999999999991</v>
      </c>
      <c r="P29" s="109">
        <f t="shared" si="0"/>
        <v>31273.199999999993</v>
      </c>
      <c r="Q29" s="118">
        <v>0.70599999999999996</v>
      </c>
      <c r="R29" s="128">
        <f t="shared" si="1"/>
        <v>22078.879199999996</v>
      </c>
    </row>
    <row r="30" spans="2:18" ht="30" x14ac:dyDescent="0.25">
      <c r="B30" s="738"/>
      <c r="C30" s="464">
        <v>27</v>
      </c>
      <c r="D30" s="133" t="s">
        <v>143</v>
      </c>
      <c r="E30" s="134"/>
      <c r="F30" s="135">
        <v>3.2</v>
      </c>
      <c r="G30" s="135" t="s">
        <v>114</v>
      </c>
      <c r="H30" s="120">
        <v>2.69</v>
      </c>
      <c r="I30" s="122"/>
      <c r="J30" s="114">
        <v>27</v>
      </c>
      <c r="K30" s="115" t="s">
        <v>115</v>
      </c>
      <c r="L30" s="109" t="s">
        <v>116</v>
      </c>
      <c r="M30" s="116" t="s">
        <v>117</v>
      </c>
      <c r="N30" s="117">
        <v>3.2</v>
      </c>
      <c r="O30" s="109">
        <v>6131.9999999999991</v>
      </c>
      <c r="P30" s="109">
        <f t="shared" si="0"/>
        <v>19622.399999999998</v>
      </c>
      <c r="Q30" s="118">
        <v>0.70599999999999996</v>
      </c>
      <c r="R30" s="128">
        <f t="shared" si="1"/>
        <v>13853.414399999998</v>
      </c>
    </row>
    <row r="31" spans="2:18" ht="30" x14ac:dyDescent="0.25">
      <c r="B31" s="738"/>
      <c r="C31" s="464">
        <v>28</v>
      </c>
      <c r="D31" s="133" t="s">
        <v>144</v>
      </c>
      <c r="E31" s="134"/>
      <c r="F31" s="135">
        <v>2</v>
      </c>
      <c r="G31" s="135" t="s">
        <v>114</v>
      </c>
      <c r="H31" s="120">
        <v>1.68</v>
      </c>
      <c r="I31" s="122"/>
      <c r="J31" s="114">
        <v>28</v>
      </c>
      <c r="K31" s="115" t="s">
        <v>115</v>
      </c>
      <c r="L31" s="109" t="s">
        <v>116</v>
      </c>
      <c r="M31" s="116" t="s">
        <v>117</v>
      </c>
      <c r="N31" s="117">
        <v>2</v>
      </c>
      <c r="O31" s="109">
        <v>6131.9999999999991</v>
      </c>
      <c r="P31" s="109">
        <f t="shared" si="0"/>
        <v>12263.999999999998</v>
      </c>
      <c r="Q31" s="118">
        <v>0.70599999999999996</v>
      </c>
      <c r="R31" s="128">
        <f t="shared" si="1"/>
        <v>8658.3839999999982</v>
      </c>
    </row>
    <row r="32" spans="2:18" ht="30" x14ac:dyDescent="0.25">
      <c r="B32" s="738"/>
      <c r="C32" s="464">
        <v>29</v>
      </c>
      <c r="D32" s="133" t="s">
        <v>145</v>
      </c>
      <c r="E32" s="134"/>
      <c r="F32" s="135">
        <v>1.5</v>
      </c>
      <c r="G32" s="135" t="s">
        <v>114</v>
      </c>
      <c r="H32" s="120">
        <v>1.26</v>
      </c>
      <c r="I32" s="122"/>
      <c r="J32" s="114">
        <v>29</v>
      </c>
      <c r="K32" s="115" t="s">
        <v>115</v>
      </c>
      <c r="L32" s="109" t="s">
        <v>116</v>
      </c>
      <c r="M32" s="116" t="s">
        <v>117</v>
      </c>
      <c r="N32" s="117">
        <v>1.5</v>
      </c>
      <c r="O32" s="109">
        <v>6131.9999999999991</v>
      </c>
      <c r="P32" s="109">
        <f t="shared" si="0"/>
        <v>9197.9999999999982</v>
      </c>
      <c r="Q32" s="118">
        <v>0.70599999999999996</v>
      </c>
      <c r="R32" s="128">
        <f t="shared" si="1"/>
        <v>6493.7879999999986</v>
      </c>
    </row>
    <row r="33" spans="2:18" ht="30" x14ac:dyDescent="0.25">
      <c r="B33" s="738"/>
      <c r="C33" s="464">
        <v>30</v>
      </c>
      <c r="D33" s="133" t="s">
        <v>146</v>
      </c>
      <c r="E33" s="134"/>
      <c r="F33" s="135">
        <v>7.2</v>
      </c>
      <c r="G33" s="135" t="s">
        <v>114</v>
      </c>
      <c r="H33" s="120">
        <v>6.05</v>
      </c>
      <c r="I33" s="122"/>
      <c r="J33" s="114">
        <v>30</v>
      </c>
      <c r="K33" s="115" t="s">
        <v>115</v>
      </c>
      <c r="L33" s="109" t="s">
        <v>116</v>
      </c>
      <c r="M33" s="116" t="s">
        <v>117</v>
      </c>
      <c r="N33" s="117">
        <v>7.2</v>
      </c>
      <c r="O33" s="109">
        <v>6131.9999999999991</v>
      </c>
      <c r="P33" s="109">
        <f t="shared" si="0"/>
        <v>44150.399999999994</v>
      </c>
      <c r="Q33" s="118">
        <v>0.70599999999999996</v>
      </c>
      <c r="R33" s="128">
        <f t="shared" si="1"/>
        <v>31170.182399999994</v>
      </c>
    </row>
    <row r="34" spans="2:18" ht="30" x14ac:dyDescent="0.25">
      <c r="B34" s="738"/>
      <c r="C34" s="464">
        <v>31</v>
      </c>
      <c r="D34" s="133" t="s">
        <v>147</v>
      </c>
      <c r="E34" s="134"/>
      <c r="F34" s="135">
        <v>5.18</v>
      </c>
      <c r="G34" s="135" t="s">
        <v>114</v>
      </c>
      <c r="H34" s="120">
        <v>4.3499999999999996</v>
      </c>
      <c r="I34" s="122"/>
      <c r="J34" s="114">
        <v>31</v>
      </c>
      <c r="K34" s="115" t="s">
        <v>115</v>
      </c>
      <c r="L34" s="109" t="s">
        <v>116</v>
      </c>
      <c r="M34" s="116" t="s">
        <v>117</v>
      </c>
      <c r="N34" s="117">
        <v>5.18</v>
      </c>
      <c r="O34" s="109">
        <v>6131.9999999999991</v>
      </c>
      <c r="P34" s="109">
        <f t="shared" si="0"/>
        <v>31763.759999999995</v>
      </c>
      <c r="Q34" s="118">
        <v>0.70599999999999996</v>
      </c>
      <c r="R34" s="128">
        <f t="shared" si="1"/>
        <v>22425.214559999997</v>
      </c>
    </row>
    <row r="35" spans="2:18" ht="30" x14ac:dyDescent="0.25">
      <c r="B35" s="738"/>
      <c r="C35" s="464">
        <v>32</v>
      </c>
      <c r="D35" s="133" t="s">
        <v>148</v>
      </c>
      <c r="E35" s="134"/>
      <c r="F35" s="135">
        <v>3</v>
      </c>
      <c r="G35" s="135" t="s">
        <v>114</v>
      </c>
      <c r="H35" s="120">
        <v>2.52</v>
      </c>
      <c r="I35" s="122"/>
      <c r="J35" s="114">
        <v>32</v>
      </c>
      <c r="K35" s="115" t="s">
        <v>115</v>
      </c>
      <c r="L35" s="109" t="s">
        <v>116</v>
      </c>
      <c r="M35" s="116" t="s">
        <v>117</v>
      </c>
      <c r="N35" s="117">
        <v>3</v>
      </c>
      <c r="O35" s="109">
        <v>6131.9999999999991</v>
      </c>
      <c r="P35" s="109">
        <f t="shared" si="0"/>
        <v>18395.999999999996</v>
      </c>
      <c r="Q35" s="118">
        <v>0.70599999999999996</v>
      </c>
      <c r="R35" s="128">
        <f t="shared" si="1"/>
        <v>12987.575999999997</v>
      </c>
    </row>
    <row r="36" spans="2:18" ht="30" x14ac:dyDescent="0.25">
      <c r="B36" s="738"/>
      <c r="C36" s="464">
        <v>33</v>
      </c>
      <c r="D36" s="133" t="s">
        <v>149</v>
      </c>
      <c r="E36" s="134"/>
      <c r="F36" s="135">
        <v>4</v>
      </c>
      <c r="G36" s="135" t="s">
        <v>114</v>
      </c>
      <c r="H36" s="120">
        <v>3.36</v>
      </c>
      <c r="I36" s="122"/>
      <c r="J36" s="114">
        <v>33</v>
      </c>
      <c r="K36" s="115" t="s">
        <v>115</v>
      </c>
      <c r="L36" s="109" t="s">
        <v>116</v>
      </c>
      <c r="M36" s="116" t="s">
        <v>117</v>
      </c>
      <c r="N36" s="117">
        <v>4</v>
      </c>
      <c r="O36" s="109">
        <v>6131.9999999999991</v>
      </c>
      <c r="P36" s="109">
        <f t="shared" si="0"/>
        <v>24527.999999999996</v>
      </c>
      <c r="Q36" s="118">
        <v>0.70599999999999996</v>
      </c>
      <c r="R36" s="128">
        <f t="shared" si="1"/>
        <v>17316.767999999996</v>
      </c>
    </row>
    <row r="37" spans="2:18" ht="30" x14ac:dyDescent="0.25">
      <c r="B37" s="738"/>
      <c r="C37" s="464">
        <v>34</v>
      </c>
      <c r="D37" s="133" t="s">
        <v>150</v>
      </c>
      <c r="E37" s="134"/>
      <c r="F37" s="135">
        <v>5</v>
      </c>
      <c r="G37" s="135" t="s">
        <v>114</v>
      </c>
      <c r="H37" s="120">
        <v>4.2</v>
      </c>
      <c r="I37" s="122"/>
      <c r="J37" s="114">
        <v>34</v>
      </c>
      <c r="K37" s="115" t="s">
        <v>115</v>
      </c>
      <c r="L37" s="109" t="s">
        <v>116</v>
      </c>
      <c r="M37" s="116" t="s">
        <v>117</v>
      </c>
      <c r="N37" s="117">
        <v>5</v>
      </c>
      <c r="O37" s="109">
        <v>6131.9999999999991</v>
      </c>
      <c r="P37" s="109">
        <f t="shared" si="0"/>
        <v>30659.999999999996</v>
      </c>
      <c r="Q37" s="118">
        <v>0.70599999999999996</v>
      </c>
      <c r="R37" s="128">
        <f t="shared" si="1"/>
        <v>21645.959999999995</v>
      </c>
    </row>
    <row r="38" spans="2:18" ht="30" x14ac:dyDescent="0.25">
      <c r="B38" s="738"/>
      <c r="C38" s="464">
        <v>35</v>
      </c>
      <c r="D38" s="133" t="s">
        <v>151</v>
      </c>
      <c r="E38" s="134"/>
      <c r="F38" s="135">
        <v>5.2</v>
      </c>
      <c r="G38" s="135" t="s">
        <v>114</v>
      </c>
      <c r="H38" s="120">
        <v>4.37</v>
      </c>
      <c r="I38" s="122"/>
      <c r="J38" s="114">
        <v>35</v>
      </c>
      <c r="K38" s="115" t="s">
        <v>115</v>
      </c>
      <c r="L38" s="109" t="s">
        <v>116</v>
      </c>
      <c r="M38" s="116" t="s">
        <v>117</v>
      </c>
      <c r="N38" s="117">
        <v>5.2</v>
      </c>
      <c r="O38" s="109">
        <v>6131.9999999999991</v>
      </c>
      <c r="P38" s="109">
        <f t="shared" si="0"/>
        <v>31886.399999999998</v>
      </c>
      <c r="Q38" s="118">
        <v>0.70599999999999996</v>
      </c>
      <c r="R38" s="128">
        <f t="shared" si="1"/>
        <v>22511.798399999996</v>
      </c>
    </row>
    <row r="39" spans="2:18" ht="30" x14ac:dyDescent="0.25">
      <c r="B39" s="738"/>
      <c r="C39" s="464">
        <v>36</v>
      </c>
      <c r="D39" s="133" t="s">
        <v>152</v>
      </c>
      <c r="E39" s="134"/>
      <c r="F39" s="135">
        <v>5</v>
      </c>
      <c r="G39" s="135" t="s">
        <v>114</v>
      </c>
      <c r="H39" s="120">
        <v>4.2</v>
      </c>
      <c r="I39" s="122"/>
      <c r="J39" s="114">
        <v>36</v>
      </c>
      <c r="K39" s="115" t="s">
        <v>115</v>
      </c>
      <c r="L39" s="109" t="s">
        <v>116</v>
      </c>
      <c r="M39" s="116" t="s">
        <v>117</v>
      </c>
      <c r="N39" s="117">
        <v>5</v>
      </c>
      <c r="O39" s="109">
        <v>6131.9999999999991</v>
      </c>
      <c r="P39" s="109">
        <f t="shared" si="0"/>
        <v>30659.999999999996</v>
      </c>
      <c r="Q39" s="118">
        <v>0.70599999999999996</v>
      </c>
      <c r="R39" s="128">
        <f t="shared" si="1"/>
        <v>21645.959999999995</v>
      </c>
    </row>
    <row r="40" spans="2:18" ht="30" x14ac:dyDescent="0.25">
      <c r="B40" s="738"/>
      <c r="C40" s="464">
        <v>37</v>
      </c>
      <c r="D40" s="133" t="s">
        <v>153</v>
      </c>
      <c r="E40" s="134"/>
      <c r="F40" s="135">
        <v>7.5</v>
      </c>
      <c r="G40" s="135" t="s">
        <v>114</v>
      </c>
      <c r="H40" s="120">
        <v>6.3</v>
      </c>
      <c r="I40" s="122"/>
      <c r="J40" s="114">
        <v>37</v>
      </c>
      <c r="K40" s="115" t="s">
        <v>115</v>
      </c>
      <c r="L40" s="109" t="s">
        <v>116</v>
      </c>
      <c r="M40" s="116" t="s">
        <v>117</v>
      </c>
      <c r="N40" s="117">
        <v>7.5</v>
      </c>
      <c r="O40" s="109">
        <v>6131.9999999999991</v>
      </c>
      <c r="P40" s="109">
        <f t="shared" si="0"/>
        <v>45989.999999999993</v>
      </c>
      <c r="Q40" s="118">
        <v>0.70599999999999996</v>
      </c>
      <c r="R40" s="128">
        <f t="shared" si="1"/>
        <v>32468.939999999991</v>
      </c>
    </row>
    <row r="41" spans="2:18" ht="30" x14ac:dyDescent="0.25">
      <c r="B41" s="738"/>
      <c r="C41" s="464">
        <v>38</v>
      </c>
      <c r="D41" s="133" t="s">
        <v>154</v>
      </c>
      <c r="E41" s="136"/>
      <c r="F41" s="135">
        <v>4</v>
      </c>
      <c r="G41" s="135" t="s">
        <v>114</v>
      </c>
      <c r="H41" s="120">
        <v>3.36</v>
      </c>
      <c r="I41" s="122"/>
      <c r="J41" s="114">
        <v>38</v>
      </c>
      <c r="K41" s="115" t="s">
        <v>115</v>
      </c>
      <c r="L41" s="109" t="s">
        <v>116</v>
      </c>
      <c r="M41" s="116" t="s">
        <v>117</v>
      </c>
      <c r="N41" s="117">
        <v>4</v>
      </c>
      <c r="O41" s="109">
        <v>6131.9999999999991</v>
      </c>
      <c r="P41" s="109">
        <f t="shared" si="0"/>
        <v>24527.999999999996</v>
      </c>
      <c r="Q41" s="118">
        <v>0.70599999999999996</v>
      </c>
      <c r="R41" s="128">
        <f t="shared" si="1"/>
        <v>17316.767999999996</v>
      </c>
    </row>
    <row r="42" spans="2:18" ht="30" x14ac:dyDescent="0.25">
      <c r="B42" s="738"/>
      <c r="C42" s="464">
        <v>39</v>
      </c>
      <c r="D42" s="133" t="s">
        <v>155</v>
      </c>
      <c r="E42" s="137">
        <v>2022</v>
      </c>
      <c r="F42" s="135">
        <v>3</v>
      </c>
      <c r="G42" s="135" t="s">
        <v>114</v>
      </c>
      <c r="H42" s="120">
        <v>2.52</v>
      </c>
      <c r="I42" s="122"/>
      <c r="J42" s="114">
        <v>39</v>
      </c>
      <c r="K42" s="115" t="s">
        <v>115</v>
      </c>
      <c r="L42" s="109" t="s">
        <v>116</v>
      </c>
      <c r="M42" s="116" t="s">
        <v>117</v>
      </c>
      <c r="N42" s="117">
        <v>3</v>
      </c>
      <c r="O42" s="109">
        <v>6131.9999999999991</v>
      </c>
      <c r="P42" s="109">
        <f t="shared" si="0"/>
        <v>18395.999999999996</v>
      </c>
      <c r="Q42" s="118">
        <v>0.70599999999999996</v>
      </c>
      <c r="R42" s="128">
        <f t="shared" si="1"/>
        <v>12987.575999999997</v>
      </c>
    </row>
    <row r="43" spans="2:18" ht="30" x14ac:dyDescent="0.25">
      <c r="B43" s="738"/>
      <c r="C43" s="464">
        <v>40</v>
      </c>
      <c r="D43" s="133" t="s">
        <v>156</v>
      </c>
      <c r="E43" s="134"/>
      <c r="F43" s="135">
        <v>3.1440000000000001</v>
      </c>
      <c r="G43" s="135" t="s">
        <v>114</v>
      </c>
      <c r="H43" s="120">
        <v>2.64</v>
      </c>
      <c r="I43" s="122"/>
      <c r="J43" s="114">
        <v>40</v>
      </c>
      <c r="K43" s="115" t="s">
        <v>115</v>
      </c>
      <c r="L43" s="109" t="s">
        <v>116</v>
      </c>
      <c r="M43" s="116" t="s">
        <v>117</v>
      </c>
      <c r="N43" s="117">
        <v>3.1440000000000001</v>
      </c>
      <c r="O43" s="109">
        <v>6131.9999999999991</v>
      </c>
      <c r="P43" s="109">
        <f t="shared" si="0"/>
        <v>19279.007999999998</v>
      </c>
      <c r="Q43" s="118">
        <v>0.70599999999999996</v>
      </c>
      <c r="R43" s="128">
        <f t="shared" si="1"/>
        <v>13610.979647999999</v>
      </c>
    </row>
    <row r="44" spans="2:18" ht="30" x14ac:dyDescent="0.25">
      <c r="B44" s="738"/>
      <c r="C44" s="464">
        <v>41</v>
      </c>
      <c r="D44" s="133" t="s">
        <v>157</v>
      </c>
      <c r="E44" s="134"/>
      <c r="F44" s="135">
        <v>6.5</v>
      </c>
      <c r="G44" s="135" t="s">
        <v>114</v>
      </c>
      <c r="H44" s="120">
        <v>5.46</v>
      </c>
      <c r="I44" s="122"/>
      <c r="J44" s="114">
        <v>41</v>
      </c>
      <c r="K44" s="115" t="s">
        <v>115</v>
      </c>
      <c r="L44" s="109" t="s">
        <v>116</v>
      </c>
      <c r="M44" s="116" t="s">
        <v>117</v>
      </c>
      <c r="N44" s="117">
        <v>6.5</v>
      </c>
      <c r="O44" s="109">
        <v>6131.9999999999991</v>
      </c>
      <c r="P44" s="109">
        <f t="shared" si="0"/>
        <v>39857.999999999993</v>
      </c>
      <c r="Q44" s="118">
        <v>0.70599999999999996</v>
      </c>
      <c r="R44" s="128">
        <f t="shared" si="1"/>
        <v>28139.747999999992</v>
      </c>
    </row>
    <row r="45" spans="2:18" ht="30" x14ac:dyDescent="0.25">
      <c r="B45" s="738"/>
      <c r="C45" s="464">
        <v>42</v>
      </c>
      <c r="D45" s="133" t="s">
        <v>158</v>
      </c>
      <c r="E45" s="136"/>
      <c r="F45" s="135">
        <v>4.7</v>
      </c>
      <c r="G45" s="135" t="s">
        <v>114</v>
      </c>
      <c r="H45" s="120">
        <v>3.95</v>
      </c>
      <c r="I45" s="122"/>
      <c r="J45" s="114">
        <v>42</v>
      </c>
      <c r="K45" s="115" t="s">
        <v>115</v>
      </c>
      <c r="L45" s="109" t="s">
        <v>116</v>
      </c>
      <c r="M45" s="116" t="s">
        <v>117</v>
      </c>
      <c r="N45" s="117">
        <v>4.7</v>
      </c>
      <c r="O45" s="109">
        <v>6131.9999999999991</v>
      </c>
      <c r="P45" s="109">
        <f t="shared" si="0"/>
        <v>28820.399999999998</v>
      </c>
      <c r="Q45" s="118">
        <v>0.70599999999999996</v>
      </c>
      <c r="R45" s="128">
        <f t="shared" si="1"/>
        <v>20347.202399999998</v>
      </c>
    </row>
    <row r="46" spans="2:18" ht="30" x14ac:dyDescent="0.25">
      <c r="B46" s="738"/>
      <c r="C46" s="464">
        <v>43</v>
      </c>
      <c r="D46" s="133" t="s">
        <v>159</v>
      </c>
      <c r="E46" s="137">
        <v>2025</v>
      </c>
      <c r="F46" s="135">
        <v>3</v>
      </c>
      <c r="G46" s="135" t="s">
        <v>114</v>
      </c>
      <c r="H46" s="120">
        <v>2.52</v>
      </c>
      <c r="I46" s="122"/>
      <c r="J46" s="114">
        <v>43</v>
      </c>
      <c r="K46" s="115" t="s">
        <v>115</v>
      </c>
      <c r="L46" s="109" t="s">
        <v>116</v>
      </c>
      <c r="M46" s="116" t="s">
        <v>117</v>
      </c>
      <c r="N46" s="117">
        <v>3</v>
      </c>
      <c r="O46" s="109">
        <v>6131.9999999999991</v>
      </c>
      <c r="P46" s="109">
        <f t="shared" si="0"/>
        <v>18395.999999999996</v>
      </c>
      <c r="Q46" s="118">
        <v>0.70599999999999996</v>
      </c>
      <c r="R46" s="128">
        <f t="shared" si="1"/>
        <v>12987.575999999997</v>
      </c>
    </row>
    <row r="47" spans="2:18" ht="30" x14ac:dyDescent="0.25">
      <c r="B47" s="738"/>
      <c r="C47" s="464">
        <v>44</v>
      </c>
      <c r="D47" s="133" t="s">
        <v>160</v>
      </c>
      <c r="E47" s="134"/>
      <c r="F47" s="135">
        <v>3.6</v>
      </c>
      <c r="G47" s="135" t="s">
        <v>114</v>
      </c>
      <c r="H47" s="120">
        <v>3.02</v>
      </c>
      <c r="I47" s="122"/>
      <c r="J47" s="114">
        <v>44</v>
      </c>
      <c r="K47" s="115" t="s">
        <v>115</v>
      </c>
      <c r="L47" s="109" t="s">
        <v>116</v>
      </c>
      <c r="M47" s="116" t="s">
        <v>117</v>
      </c>
      <c r="N47" s="117">
        <v>3.6</v>
      </c>
      <c r="O47" s="109">
        <v>6131.9999999999991</v>
      </c>
      <c r="P47" s="109">
        <f t="shared" si="0"/>
        <v>22075.199999999997</v>
      </c>
      <c r="Q47" s="118">
        <v>0.70599999999999996</v>
      </c>
      <c r="R47" s="128">
        <f t="shared" si="1"/>
        <v>15585.091199999997</v>
      </c>
    </row>
    <row r="48" spans="2:18" ht="30" x14ac:dyDescent="0.25">
      <c r="B48" s="738"/>
      <c r="C48" s="464">
        <v>45</v>
      </c>
      <c r="D48" s="133" t="s">
        <v>161</v>
      </c>
      <c r="E48" s="134"/>
      <c r="F48" s="135">
        <v>5.7</v>
      </c>
      <c r="G48" s="135" t="s">
        <v>114</v>
      </c>
      <c r="H48" s="120">
        <v>4.79</v>
      </c>
      <c r="I48" s="122"/>
      <c r="J48" s="114">
        <v>45</v>
      </c>
      <c r="K48" s="115" t="s">
        <v>115</v>
      </c>
      <c r="L48" s="109" t="s">
        <v>116</v>
      </c>
      <c r="M48" s="116" t="s">
        <v>117</v>
      </c>
      <c r="N48" s="117">
        <v>5.7</v>
      </c>
      <c r="O48" s="109">
        <v>6131.9999999999991</v>
      </c>
      <c r="P48" s="109">
        <f t="shared" si="0"/>
        <v>34952.399999999994</v>
      </c>
      <c r="Q48" s="118">
        <v>0.70599999999999996</v>
      </c>
      <c r="R48" s="128">
        <f t="shared" si="1"/>
        <v>24676.394399999994</v>
      </c>
    </row>
    <row r="49" spans="2:19" ht="30" x14ac:dyDescent="0.25">
      <c r="B49" s="738"/>
      <c r="C49" s="464">
        <v>46</v>
      </c>
      <c r="D49" s="133" t="s">
        <v>162</v>
      </c>
      <c r="E49" s="134"/>
      <c r="F49" s="135">
        <v>1.1000000000000001</v>
      </c>
      <c r="G49" s="135" t="s">
        <v>114</v>
      </c>
      <c r="H49" s="120">
        <v>0.92</v>
      </c>
      <c r="I49" s="122"/>
      <c r="J49" s="114">
        <v>46</v>
      </c>
      <c r="K49" s="115" t="s">
        <v>115</v>
      </c>
      <c r="L49" s="109" t="s">
        <v>116</v>
      </c>
      <c r="M49" s="116" t="s">
        <v>117</v>
      </c>
      <c r="N49" s="117">
        <v>1.1000000000000001</v>
      </c>
      <c r="O49" s="109">
        <v>6131.9999999999991</v>
      </c>
      <c r="P49" s="109">
        <f t="shared" si="0"/>
        <v>6745.2</v>
      </c>
      <c r="Q49" s="118">
        <v>0.70599999999999996</v>
      </c>
      <c r="R49" s="128">
        <f t="shared" si="1"/>
        <v>4762.1111999999994</v>
      </c>
    </row>
    <row r="50" spans="2:19" ht="30" x14ac:dyDescent="0.25">
      <c r="B50" s="738"/>
      <c r="C50" s="464">
        <v>47</v>
      </c>
      <c r="D50" s="133" t="s">
        <v>163</v>
      </c>
      <c r="E50" s="134"/>
      <c r="F50" s="135">
        <v>2.5</v>
      </c>
      <c r="G50" s="135" t="s">
        <v>114</v>
      </c>
      <c r="H50" s="120">
        <v>2.1</v>
      </c>
      <c r="I50" s="122"/>
      <c r="J50" s="114">
        <v>47</v>
      </c>
      <c r="K50" s="115" t="s">
        <v>115</v>
      </c>
      <c r="L50" s="109" t="s">
        <v>116</v>
      </c>
      <c r="M50" s="116" t="s">
        <v>117</v>
      </c>
      <c r="N50" s="117">
        <v>2.5</v>
      </c>
      <c r="O50" s="109">
        <v>6131.9999999999991</v>
      </c>
      <c r="P50" s="109">
        <f t="shared" si="0"/>
        <v>15329.999999999998</v>
      </c>
      <c r="Q50" s="118">
        <v>0.70599999999999996</v>
      </c>
      <c r="R50" s="128">
        <f t="shared" si="1"/>
        <v>10822.979999999998</v>
      </c>
    </row>
    <row r="51" spans="2:19" ht="30" x14ac:dyDescent="0.25">
      <c r="B51" s="738"/>
      <c r="C51" s="464">
        <v>48</v>
      </c>
      <c r="D51" s="133" t="s">
        <v>164</v>
      </c>
      <c r="E51" s="134"/>
      <c r="F51" s="135">
        <v>2.5</v>
      </c>
      <c r="G51" s="135" t="s">
        <v>114</v>
      </c>
      <c r="H51" s="120">
        <v>2.1</v>
      </c>
      <c r="I51" s="122"/>
      <c r="J51" s="114">
        <v>48</v>
      </c>
      <c r="K51" s="115" t="s">
        <v>115</v>
      </c>
      <c r="L51" s="109" t="s">
        <v>116</v>
      </c>
      <c r="M51" s="116" t="s">
        <v>117</v>
      </c>
      <c r="N51" s="117">
        <v>2.5</v>
      </c>
      <c r="O51" s="109">
        <v>6131.9999999999991</v>
      </c>
      <c r="P51" s="109">
        <f t="shared" si="0"/>
        <v>15329.999999999998</v>
      </c>
      <c r="Q51" s="118">
        <v>0.70599999999999996</v>
      </c>
      <c r="R51" s="128">
        <f t="shared" si="1"/>
        <v>10822.979999999998</v>
      </c>
    </row>
    <row r="52" spans="2:19" ht="30" x14ac:dyDescent="0.25">
      <c r="B52" s="738"/>
      <c r="C52" s="464">
        <v>49</v>
      </c>
      <c r="D52" s="133" t="s">
        <v>165</v>
      </c>
      <c r="E52" s="136"/>
      <c r="F52" s="135">
        <v>5</v>
      </c>
      <c r="G52" s="135" t="s">
        <v>114</v>
      </c>
      <c r="H52" s="120">
        <v>4.2</v>
      </c>
      <c r="I52" s="122"/>
      <c r="J52" s="114">
        <v>49</v>
      </c>
      <c r="K52" s="115" t="s">
        <v>115</v>
      </c>
      <c r="L52" s="109" t="s">
        <v>116</v>
      </c>
      <c r="M52" s="116" t="s">
        <v>117</v>
      </c>
      <c r="N52" s="117">
        <v>5</v>
      </c>
      <c r="O52" s="109">
        <v>6131.9999999999991</v>
      </c>
      <c r="P52" s="109">
        <f t="shared" si="0"/>
        <v>30659.999999999996</v>
      </c>
      <c r="Q52" s="118">
        <v>0.70599999999999996</v>
      </c>
      <c r="R52" s="128">
        <f t="shared" si="1"/>
        <v>21645.959999999995</v>
      </c>
      <c r="S52" s="140">
        <f>SUM(R4:R52)</f>
        <v>992397.99892799975</v>
      </c>
    </row>
    <row r="53" spans="2:19" ht="15.75" x14ac:dyDescent="0.25">
      <c r="B53" s="738"/>
      <c r="C53" s="464"/>
      <c r="D53" s="133"/>
      <c r="E53" s="136"/>
      <c r="F53" s="135"/>
      <c r="G53" s="135"/>
      <c r="H53" s="120"/>
      <c r="I53" s="122"/>
      <c r="J53" s="114"/>
      <c r="K53" s="115"/>
      <c r="L53" s="109"/>
      <c r="M53" s="116"/>
      <c r="N53" s="117"/>
      <c r="O53" s="109"/>
      <c r="P53" s="109"/>
      <c r="Q53" s="118"/>
      <c r="R53" s="128"/>
    </row>
    <row r="54" spans="2:19" x14ac:dyDescent="0.25">
      <c r="B54" s="738"/>
      <c r="C54" s="464"/>
      <c r="D54" s="111"/>
      <c r="E54" s="110"/>
      <c r="F54" s="108"/>
      <c r="G54" s="108"/>
      <c r="H54" s="120"/>
      <c r="I54" s="122"/>
      <c r="J54" s="641"/>
      <c r="K54" s="642"/>
      <c r="L54" s="642"/>
      <c r="M54" s="642"/>
      <c r="N54" s="642"/>
      <c r="O54" s="642"/>
      <c r="P54" s="642"/>
      <c r="Q54" s="643"/>
      <c r="R54" s="128"/>
    </row>
    <row r="55" spans="2:19" ht="47.25" x14ac:dyDescent="0.25">
      <c r="B55" s="738"/>
      <c r="C55" s="464"/>
      <c r="D55" s="727" t="s">
        <v>166</v>
      </c>
      <c r="E55" s="728"/>
      <c r="F55" s="728"/>
      <c r="G55" s="728"/>
      <c r="H55" s="120"/>
      <c r="I55" s="122"/>
      <c r="J55" s="99" t="s">
        <v>107</v>
      </c>
      <c r="K55" s="100" t="s">
        <v>108</v>
      </c>
      <c r="L55" s="100" t="s">
        <v>20</v>
      </c>
      <c r="M55" s="112" t="s">
        <v>21</v>
      </c>
      <c r="N55" s="113" t="s">
        <v>109</v>
      </c>
      <c r="O55" s="102" t="s">
        <v>110</v>
      </c>
      <c r="P55" s="101" t="s">
        <v>111</v>
      </c>
      <c r="Q55" s="102" t="s">
        <v>112</v>
      </c>
      <c r="R55" s="127" t="s">
        <v>28</v>
      </c>
    </row>
    <row r="56" spans="2:19" ht="30" x14ac:dyDescent="0.25">
      <c r="B56" s="738"/>
      <c r="C56" s="464">
        <v>1</v>
      </c>
      <c r="D56" s="133" t="s">
        <v>167</v>
      </c>
      <c r="E56" s="134">
        <v>2019</v>
      </c>
      <c r="F56" s="135">
        <v>110</v>
      </c>
      <c r="G56" s="135" t="s">
        <v>114</v>
      </c>
      <c r="H56" s="120">
        <v>92.4</v>
      </c>
      <c r="I56" s="122"/>
      <c r="J56" s="103">
        <v>1</v>
      </c>
      <c r="K56" s="104" t="s">
        <v>168</v>
      </c>
      <c r="L56" s="109" t="s">
        <v>116</v>
      </c>
      <c r="M56" s="116" t="s">
        <v>117</v>
      </c>
      <c r="N56" s="117">
        <v>110</v>
      </c>
      <c r="O56" s="109">
        <v>6131.9999999999991</v>
      </c>
      <c r="P56" s="109">
        <f>N56*O56</f>
        <v>674519.99999999988</v>
      </c>
      <c r="Q56" s="118">
        <v>0.84</v>
      </c>
      <c r="R56" s="128">
        <f>P56*Q56</f>
        <v>566596.79999999993</v>
      </c>
      <c r="S56" s="736" t="s">
        <v>169</v>
      </c>
    </row>
    <row r="57" spans="2:19" ht="30" x14ac:dyDescent="0.25">
      <c r="B57" s="738"/>
      <c r="C57" s="464">
        <v>2</v>
      </c>
      <c r="D57" s="133" t="s">
        <v>170</v>
      </c>
      <c r="E57" s="136"/>
      <c r="F57" s="135">
        <v>47</v>
      </c>
      <c r="G57" s="135" t="s">
        <v>114</v>
      </c>
      <c r="H57" s="120">
        <v>39.479999999999997</v>
      </c>
      <c r="I57" s="122"/>
      <c r="J57" s="126">
        <v>2</v>
      </c>
      <c r="K57" s="104" t="s">
        <v>168</v>
      </c>
      <c r="L57" s="109" t="s">
        <v>116</v>
      </c>
      <c r="M57" s="116" t="s">
        <v>117</v>
      </c>
      <c r="N57" s="117">
        <v>47</v>
      </c>
      <c r="O57" s="109">
        <v>6131.9999999999991</v>
      </c>
      <c r="P57" s="109">
        <f t="shared" ref="P57:P62" si="2">N57*O57</f>
        <v>288203.99999999994</v>
      </c>
      <c r="Q57" s="118">
        <v>0.84</v>
      </c>
      <c r="R57" s="128">
        <f t="shared" ref="R57:R62" si="3">P57*Q57</f>
        <v>242091.35999999993</v>
      </c>
      <c r="S57" s="736"/>
    </row>
    <row r="58" spans="2:19" ht="30" x14ac:dyDescent="0.25">
      <c r="B58" s="738"/>
      <c r="C58" s="464">
        <v>3</v>
      </c>
      <c r="D58" s="133" t="s">
        <v>171</v>
      </c>
      <c r="E58" s="134">
        <v>2025</v>
      </c>
      <c r="F58" s="135">
        <v>238</v>
      </c>
      <c r="G58" s="135" t="s">
        <v>114</v>
      </c>
      <c r="H58" s="120">
        <v>199.92</v>
      </c>
      <c r="I58" s="122"/>
      <c r="J58" s="126">
        <v>3</v>
      </c>
      <c r="K58" s="104" t="s">
        <v>168</v>
      </c>
      <c r="L58" s="109" t="s">
        <v>116</v>
      </c>
      <c r="M58" s="116" t="s">
        <v>117</v>
      </c>
      <c r="N58" s="117">
        <v>238</v>
      </c>
      <c r="O58" s="109">
        <v>6131.9999999999991</v>
      </c>
      <c r="P58" s="109">
        <f t="shared" si="2"/>
        <v>1459415.9999999998</v>
      </c>
      <c r="Q58" s="118">
        <v>0.84</v>
      </c>
      <c r="R58" s="128">
        <f t="shared" si="3"/>
        <v>1225909.4399999997</v>
      </c>
      <c r="S58" s="736"/>
    </row>
    <row r="59" spans="2:19" ht="30" x14ac:dyDescent="0.25">
      <c r="B59" s="738"/>
      <c r="C59" s="464">
        <v>4</v>
      </c>
      <c r="D59" s="133" t="s">
        <v>172</v>
      </c>
      <c r="E59" s="134"/>
      <c r="F59" s="135">
        <v>53</v>
      </c>
      <c r="G59" s="135" t="s">
        <v>114</v>
      </c>
      <c r="H59" s="120">
        <v>44.52</v>
      </c>
      <c r="I59" s="122"/>
      <c r="J59" s="126">
        <v>4</v>
      </c>
      <c r="K59" s="104" t="s">
        <v>168</v>
      </c>
      <c r="L59" s="109" t="s">
        <v>116</v>
      </c>
      <c r="M59" s="116" t="s">
        <v>117</v>
      </c>
      <c r="N59" s="117">
        <v>53</v>
      </c>
      <c r="O59" s="109">
        <v>6131.9999999999991</v>
      </c>
      <c r="P59" s="109">
        <f t="shared" si="2"/>
        <v>324995.99999999994</v>
      </c>
      <c r="Q59" s="118">
        <v>0.84</v>
      </c>
      <c r="R59" s="128">
        <f t="shared" si="3"/>
        <v>272996.63999999996</v>
      </c>
      <c r="S59" s="736"/>
    </row>
    <row r="60" spans="2:19" ht="30" x14ac:dyDescent="0.25">
      <c r="B60" s="738"/>
      <c r="C60" s="464">
        <v>5</v>
      </c>
      <c r="D60" s="133" t="s">
        <v>173</v>
      </c>
      <c r="E60" s="134"/>
      <c r="F60" s="135">
        <v>400</v>
      </c>
      <c r="G60" s="135" t="s">
        <v>114</v>
      </c>
      <c r="H60" s="120">
        <v>336</v>
      </c>
      <c r="I60" s="122"/>
      <c r="J60" s="126">
        <v>5</v>
      </c>
      <c r="K60" s="104" t="s">
        <v>168</v>
      </c>
      <c r="L60" s="109" t="s">
        <v>116</v>
      </c>
      <c r="M60" s="116" t="s">
        <v>117</v>
      </c>
      <c r="N60" s="117">
        <v>400</v>
      </c>
      <c r="O60" s="109">
        <v>6131.9999999999991</v>
      </c>
      <c r="P60" s="109">
        <f t="shared" si="2"/>
        <v>2452799.9999999995</v>
      </c>
      <c r="Q60" s="118">
        <v>0.84</v>
      </c>
      <c r="R60" s="128">
        <f t="shared" si="3"/>
        <v>2060351.9999999995</v>
      </c>
      <c r="S60" s="736"/>
    </row>
    <row r="61" spans="2:19" ht="30" x14ac:dyDescent="0.25">
      <c r="B61" s="738"/>
      <c r="C61" s="464">
        <v>6</v>
      </c>
      <c r="D61" s="133" t="s">
        <v>174</v>
      </c>
      <c r="E61" s="134"/>
      <c r="F61" s="135">
        <v>172</v>
      </c>
      <c r="G61" s="135" t="s">
        <v>114</v>
      </c>
      <c r="H61" s="120">
        <v>144.47999999999999</v>
      </c>
      <c r="I61" s="122"/>
      <c r="J61" s="126">
        <v>6</v>
      </c>
      <c r="K61" s="104" t="s">
        <v>168</v>
      </c>
      <c r="L61" s="109" t="s">
        <v>116</v>
      </c>
      <c r="M61" s="116" t="s">
        <v>117</v>
      </c>
      <c r="N61" s="117">
        <v>172</v>
      </c>
      <c r="O61" s="109">
        <v>6131.9999999999991</v>
      </c>
      <c r="P61" s="109">
        <f t="shared" si="2"/>
        <v>1054703.9999999998</v>
      </c>
      <c r="Q61" s="118">
        <v>0.84</v>
      </c>
      <c r="R61" s="128">
        <f t="shared" si="3"/>
        <v>885951.35999999975</v>
      </c>
      <c r="S61" s="736"/>
    </row>
    <row r="62" spans="2:19" ht="30" x14ac:dyDescent="0.25">
      <c r="B62" s="738"/>
      <c r="C62" s="464">
        <v>7</v>
      </c>
      <c r="D62" s="133" t="s">
        <v>175</v>
      </c>
      <c r="E62" s="136"/>
      <c r="F62" s="135">
        <v>104.7</v>
      </c>
      <c r="G62" s="135" t="s">
        <v>114</v>
      </c>
      <c r="H62" s="120">
        <v>87.95</v>
      </c>
      <c r="I62" s="122"/>
      <c r="J62" s="126">
        <v>7</v>
      </c>
      <c r="K62" s="104" t="s">
        <v>168</v>
      </c>
      <c r="L62" s="109" t="s">
        <v>116</v>
      </c>
      <c r="M62" s="116" t="s">
        <v>117</v>
      </c>
      <c r="N62" s="117">
        <v>104.7</v>
      </c>
      <c r="O62" s="109">
        <v>6131.9999999999991</v>
      </c>
      <c r="P62" s="109">
        <f t="shared" si="2"/>
        <v>642020.39999999991</v>
      </c>
      <c r="Q62" s="118">
        <v>0.84</v>
      </c>
      <c r="R62" s="128">
        <f t="shared" si="3"/>
        <v>539297.13599999994</v>
      </c>
      <c r="S62" s="736"/>
    </row>
    <row r="63" spans="2:19" ht="15.75" x14ac:dyDescent="0.25">
      <c r="B63" s="738"/>
      <c r="C63" s="464"/>
      <c r="D63" s="111"/>
      <c r="E63" s="110"/>
      <c r="F63" s="108"/>
      <c r="G63" s="108"/>
      <c r="H63" s="120"/>
      <c r="I63" s="122"/>
      <c r="J63" s="124"/>
      <c r="K63" s="115"/>
      <c r="L63" s="109"/>
      <c r="M63" s="116"/>
      <c r="N63" s="125"/>
      <c r="O63" s="109"/>
      <c r="P63" s="109"/>
      <c r="Q63" s="118"/>
      <c r="R63" s="128"/>
    </row>
    <row r="64" spans="2:19" ht="15.75" x14ac:dyDescent="0.25">
      <c r="B64" s="738"/>
      <c r="C64" s="464"/>
      <c r="D64" s="111"/>
      <c r="E64" s="110"/>
      <c r="F64" s="108"/>
      <c r="G64" s="108"/>
      <c r="H64" s="120"/>
      <c r="I64" s="122"/>
      <c r="J64" s="124"/>
      <c r="K64" s="115"/>
      <c r="L64" s="109"/>
      <c r="M64" s="116"/>
      <c r="N64" s="117"/>
      <c r="O64" s="109"/>
      <c r="P64" s="109"/>
      <c r="Q64" s="118"/>
      <c r="R64" s="128"/>
    </row>
    <row r="65" spans="2:19" ht="28.5" x14ac:dyDescent="0.25">
      <c r="B65" s="738"/>
      <c r="C65" s="464"/>
      <c r="D65" s="729" t="s">
        <v>176</v>
      </c>
      <c r="E65" s="730"/>
      <c r="F65" s="730"/>
      <c r="G65" s="730"/>
      <c r="H65" s="120"/>
      <c r="I65" s="122"/>
      <c r="J65" s="114"/>
      <c r="K65" s="115"/>
      <c r="L65" s="109"/>
      <c r="M65" s="116"/>
      <c r="N65" s="117"/>
      <c r="O65" s="109"/>
      <c r="P65" s="109"/>
      <c r="Q65" s="118"/>
      <c r="R65" s="128"/>
    </row>
    <row r="66" spans="2:19" ht="30" x14ac:dyDescent="0.25">
      <c r="B66" s="738"/>
      <c r="C66" s="464">
        <v>1</v>
      </c>
      <c r="D66" s="133" t="s">
        <v>177</v>
      </c>
      <c r="E66" s="133">
        <v>2019</v>
      </c>
      <c r="F66" s="135">
        <v>100</v>
      </c>
      <c r="G66" s="135" t="s">
        <v>114</v>
      </c>
      <c r="H66" s="120">
        <v>84</v>
      </c>
      <c r="I66" s="122"/>
      <c r="J66" s="103">
        <v>1</v>
      </c>
      <c r="K66" s="115" t="s">
        <v>176</v>
      </c>
      <c r="L66" s="109" t="s">
        <v>116</v>
      </c>
      <c r="M66" s="116" t="s">
        <v>117</v>
      </c>
      <c r="N66" s="109">
        <v>100</v>
      </c>
      <c r="O66" s="109">
        <v>1752</v>
      </c>
      <c r="P66" s="109">
        <f>N66*O66</f>
        <v>175200</v>
      </c>
      <c r="Q66" s="118">
        <v>0.84</v>
      </c>
      <c r="R66" s="128">
        <f>P66*Q66</f>
        <v>147168</v>
      </c>
    </row>
    <row r="67" spans="2:19" ht="30" x14ac:dyDescent="0.25">
      <c r="B67" s="738"/>
      <c r="C67" s="464">
        <v>2</v>
      </c>
      <c r="D67" s="133" t="s">
        <v>177</v>
      </c>
      <c r="E67" s="133">
        <v>2020</v>
      </c>
      <c r="F67" s="135">
        <v>100</v>
      </c>
      <c r="G67" s="135" t="s">
        <v>114</v>
      </c>
      <c r="H67" s="120">
        <v>84</v>
      </c>
      <c r="I67" s="122"/>
      <c r="J67" s="126">
        <v>2</v>
      </c>
      <c r="K67" s="115" t="s">
        <v>176</v>
      </c>
      <c r="L67" s="109" t="s">
        <v>116</v>
      </c>
      <c r="M67" s="116" t="s">
        <v>117</v>
      </c>
      <c r="N67" s="109">
        <v>100</v>
      </c>
      <c r="O67" s="109">
        <v>1752</v>
      </c>
      <c r="P67" s="109">
        <f>N67*O67</f>
        <v>175200</v>
      </c>
      <c r="Q67" s="118">
        <v>0.84</v>
      </c>
      <c r="R67" s="128">
        <f>P67*Q67</f>
        <v>147168</v>
      </c>
    </row>
    <row r="68" spans="2:19" ht="28.5" x14ac:dyDescent="0.25">
      <c r="B68" s="738"/>
      <c r="C68" s="464"/>
      <c r="D68" s="740" t="s">
        <v>178</v>
      </c>
      <c r="E68" s="741"/>
      <c r="F68" s="741"/>
      <c r="G68" s="741"/>
      <c r="H68" s="121"/>
      <c r="I68" s="123"/>
      <c r="J68" s="114"/>
      <c r="K68" s="115"/>
      <c r="L68" s="109"/>
      <c r="M68" s="116"/>
      <c r="N68" s="117"/>
      <c r="O68" s="98"/>
      <c r="P68" s="97"/>
      <c r="Q68" s="96"/>
      <c r="R68" s="128"/>
    </row>
    <row r="69" spans="2:19" ht="107.25" customHeight="1" x14ac:dyDescent="0.25">
      <c r="B69" s="738"/>
      <c r="C69" s="464">
        <v>1</v>
      </c>
      <c r="D69" s="133" t="s">
        <v>179</v>
      </c>
      <c r="E69" s="136">
        <v>2019</v>
      </c>
      <c r="F69" s="135">
        <v>10</v>
      </c>
      <c r="G69" s="135" t="s">
        <v>114</v>
      </c>
      <c r="H69" s="120">
        <v>8.4</v>
      </c>
      <c r="I69" s="122"/>
      <c r="J69" s="114">
        <v>1</v>
      </c>
      <c r="K69" s="115" t="s">
        <v>178</v>
      </c>
      <c r="L69" s="109" t="s">
        <v>116</v>
      </c>
      <c r="M69" s="116" t="s">
        <v>117</v>
      </c>
      <c r="N69" s="109">
        <v>10</v>
      </c>
      <c r="O69" s="109">
        <v>6131.9999999999991</v>
      </c>
      <c r="P69" s="109">
        <f>N69*O69</f>
        <v>61319.999999999993</v>
      </c>
      <c r="Q69" s="118">
        <v>0.84</v>
      </c>
      <c r="R69" s="128">
        <f>P69*Q69</f>
        <v>51508.799999999988</v>
      </c>
      <c r="S69" s="119" t="s">
        <v>456</v>
      </c>
    </row>
    <row r="70" spans="2:19" ht="26.25" x14ac:dyDescent="0.25">
      <c r="B70" s="738"/>
      <c r="C70" s="464"/>
      <c r="D70" s="742" t="s">
        <v>180</v>
      </c>
      <c r="E70" s="743"/>
      <c r="F70" s="743"/>
      <c r="G70" s="743"/>
      <c r="H70" s="121"/>
      <c r="I70" s="123"/>
      <c r="J70" s="114"/>
      <c r="K70" s="115"/>
      <c r="L70" s="109"/>
      <c r="M70" s="116"/>
      <c r="N70" s="117"/>
      <c r="O70" s="98"/>
      <c r="P70" s="97"/>
      <c r="Q70" s="96"/>
      <c r="R70" s="128"/>
    </row>
    <row r="71" spans="2:19" ht="30" x14ac:dyDescent="0.25">
      <c r="B71" s="738"/>
      <c r="C71" s="464">
        <v>1</v>
      </c>
      <c r="D71" s="133" t="s">
        <v>181</v>
      </c>
      <c r="E71" s="133">
        <v>2021</v>
      </c>
      <c r="F71" s="135">
        <v>520</v>
      </c>
      <c r="G71" s="135" t="s">
        <v>114</v>
      </c>
      <c r="H71" s="120">
        <v>436.8</v>
      </c>
      <c r="I71" s="122"/>
      <c r="J71" s="114">
        <v>64</v>
      </c>
      <c r="K71" s="115" t="s">
        <v>180</v>
      </c>
      <c r="L71" s="109" t="s">
        <v>116</v>
      </c>
      <c r="M71" s="116" t="s">
        <v>117</v>
      </c>
      <c r="N71" s="109">
        <v>520</v>
      </c>
      <c r="O71" s="109">
        <v>6131.9999999999991</v>
      </c>
      <c r="P71" s="109">
        <f>N71*O71</f>
        <v>3188639.9999999995</v>
      </c>
      <c r="Q71" s="118">
        <v>0.84</v>
      </c>
      <c r="R71" s="128">
        <f>P71*Q71</f>
        <v>2678457.5999999996</v>
      </c>
    </row>
    <row r="72" spans="2:19" ht="30" x14ac:dyDescent="0.25">
      <c r="B72" s="739"/>
      <c r="C72" s="464">
        <v>2</v>
      </c>
      <c r="D72" s="133" t="s">
        <v>181</v>
      </c>
      <c r="E72" s="133">
        <v>2022</v>
      </c>
      <c r="F72" s="135">
        <v>520</v>
      </c>
      <c r="G72" s="135" t="s">
        <v>114</v>
      </c>
      <c r="H72" s="120">
        <v>436.8</v>
      </c>
      <c r="I72" s="122"/>
      <c r="J72" s="114">
        <v>65</v>
      </c>
      <c r="K72" s="115" t="s">
        <v>180</v>
      </c>
      <c r="L72" s="109" t="s">
        <v>116</v>
      </c>
      <c r="M72" s="116" t="s">
        <v>117</v>
      </c>
      <c r="N72" s="109">
        <v>520</v>
      </c>
      <c r="O72" s="109">
        <v>6131.9999999999991</v>
      </c>
      <c r="P72" s="109">
        <f>N72*O72</f>
        <v>3188639.9999999995</v>
      </c>
      <c r="Q72" s="118">
        <v>0.84</v>
      </c>
      <c r="R72" s="128">
        <f>P72*Q72</f>
        <v>2678457.5999999996</v>
      </c>
    </row>
    <row r="76" spans="2:19" ht="30" x14ac:dyDescent="0.25">
      <c r="D76" s="93" t="s">
        <v>185</v>
      </c>
      <c r="E76" s="93" t="s">
        <v>5</v>
      </c>
      <c r="F76" s="93" t="s">
        <v>190</v>
      </c>
      <c r="G76" s="93" t="s">
        <v>189</v>
      </c>
    </row>
    <row r="77" spans="2:19" x14ac:dyDescent="0.25">
      <c r="D77" s="731" t="s">
        <v>184</v>
      </c>
      <c r="E77" s="142">
        <v>2017</v>
      </c>
      <c r="F77" s="142">
        <f>SUM(F4:F8)</f>
        <v>22</v>
      </c>
      <c r="G77" s="143" t="e">
        <f>SUM(#REF!)</f>
        <v>#REF!</v>
      </c>
    </row>
    <row r="78" spans="2:19" x14ac:dyDescent="0.25">
      <c r="D78" s="732"/>
      <c r="E78" s="142">
        <v>2018</v>
      </c>
      <c r="F78" s="142">
        <f>SUM(F9:F14)</f>
        <v>42.989999999999995</v>
      </c>
      <c r="G78" s="143" t="e">
        <f>SUM(#REF!)</f>
        <v>#REF!</v>
      </c>
    </row>
    <row r="79" spans="2:19" x14ac:dyDescent="0.25">
      <c r="D79" s="732"/>
      <c r="E79" s="142">
        <v>2019</v>
      </c>
      <c r="F79" s="142">
        <f>SUM(F15:F18)</f>
        <v>17.8</v>
      </c>
      <c r="G79" s="143" t="e">
        <f>SUM(#REF!)</f>
        <v>#REF!</v>
      </c>
    </row>
    <row r="80" spans="2:19" x14ac:dyDescent="0.25">
      <c r="D80" s="732"/>
      <c r="E80" s="142">
        <v>2020</v>
      </c>
      <c r="F80" s="142">
        <f>SUM(F19:F27)</f>
        <v>41.82</v>
      </c>
      <c r="G80" s="143" t="e">
        <f>SUM(#REF!)</f>
        <v>#REF!</v>
      </c>
    </row>
    <row r="81" spans="4:7" x14ac:dyDescent="0.25">
      <c r="D81" s="732"/>
      <c r="E81" s="142">
        <v>2021</v>
      </c>
      <c r="F81" s="142">
        <f>SUM(F28:F41)</f>
        <v>63.88</v>
      </c>
      <c r="G81" s="143" t="e">
        <f>SUM(#REF!)</f>
        <v>#REF!</v>
      </c>
    </row>
    <row r="82" spans="4:7" x14ac:dyDescent="0.25">
      <c r="D82" s="732"/>
      <c r="E82" s="142">
        <v>2022</v>
      </c>
      <c r="F82" s="142">
        <f>SUM(F42:F45)</f>
        <v>17.344000000000001</v>
      </c>
      <c r="G82" s="143" t="e">
        <f>SUM(#REF!)</f>
        <v>#REF!</v>
      </c>
    </row>
    <row r="83" spans="4:7" x14ac:dyDescent="0.25">
      <c r="D83" s="733"/>
      <c r="E83" s="142">
        <v>2025</v>
      </c>
      <c r="F83" s="142">
        <f>SUM(F46:F52)</f>
        <v>23.4</v>
      </c>
      <c r="G83" s="143" t="e">
        <f>SUM(#REF!)</f>
        <v>#REF!</v>
      </c>
    </row>
    <row r="84" spans="4:7" x14ac:dyDescent="0.25">
      <c r="D84" s="92"/>
      <c r="E84" s="74"/>
      <c r="F84" s="74"/>
      <c r="G84" s="141"/>
    </row>
    <row r="85" spans="4:7" x14ac:dyDescent="0.25">
      <c r="D85" s="734" t="s">
        <v>186</v>
      </c>
      <c r="E85" s="77">
        <v>2019</v>
      </c>
      <c r="F85" s="77">
        <f>F66</f>
        <v>100</v>
      </c>
      <c r="G85" s="77" t="e">
        <f>#REF!</f>
        <v>#REF!</v>
      </c>
    </row>
    <row r="86" spans="4:7" x14ac:dyDescent="0.25">
      <c r="D86" s="735"/>
      <c r="E86" s="77">
        <v>2020</v>
      </c>
      <c r="F86" s="77">
        <f>F67</f>
        <v>100</v>
      </c>
      <c r="G86" s="77" t="e">
        <f>#REF!</f>
        <v>#REF!</v>
      </c>
    </row>
    <row r="87" spans="4:7" x14ac:dyDescent="0.25">
      <c r="D87" s="105"/>
      <c r="E87" s="74"/>
      <c r="F87" s="74"/>
      <c r="G87" s="74"/>
    </row>
    <row r="88" spans="4:7" x14ac:dyDescent="0.25">
      <c r="D88" s="106" t="s">
        <v>187</v>
      </c>
      <c r="E88" s="142">
        <v>2019</v>
      </c>
      <c r="F88" s="142">
        <f>F69</f>
        <v>10</v>
      </c>
      <c r="G88" s="142" t="e">
        <f>#REF!</f>
        <v>#REF!</v>
      </c>
    </row>
    <row r="89" spans="4:7" x14ac:dyDescent="0.25">
      <c r="D89" s="105"/>
      <c r="E89" s="74"/>
      <c r="F89" s="74"/>
      <c r="G89" s="74"/>
    </row>
    <row r="90" spans="4:7" x14ac:dyDescent="0.25">
      <c r="D90" s="734" t="s">
        <v>188</v>
      </c>
      <c r="E90" s="77">
        <v>2021</v>
      </c>
      <c r="F90" s="77">
        <f>F71</f>
        <v>520</v>
      </c>
      <c r="G90" s="77" t="e">
        <f>#REF!</f>
        <v>#REF!</v>
      </c>
    </row>
    <row r="91" spans="4:7" x14ac:dyDescent="0.25">
      <c r="D91" s="735"/>
      <c r="E91" s="77">
        <v>2022</v>
      </c>
      <c r="F91" s="77">
        <f>F72</f>
        <v>520</v>
      </c>
      <c r="G91" s="77" t="e">
        <f>#REF!</f>
        <v>#REF!</v>
      </c>
    </row>
    <row r="92" spans="4:7" x14ac:dyDescent="0.25">
      <c r="G92" s="139" t="e">
        <f>SUM(G77:G91)</f>
        <v>#REF!</v>
      </c>
    </row>
  </sheetData>
  <mergeCells count="12">
    <mergeCell ref="D77:D83"/>
    <mergeCell ref="D85:D86"/>
    <mergeCell ref="D90:D91"/>
    <mergeCell ref="S56:S62"/>
    <mergeCell ref="B3:B72"/>
    <mergeCell ref="D68:G68"/>
    <mergeCell ref="D70:G70"/>
    <mergeCell ref="J2:R2"/>
    <mergeCell ref="J54:Q54"/>
    <mergeCell ref="D3:G3"/>
    <mergeCell ref="D55:G55"/>
    <mergeCell ref="D65:G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1"/>
  <sheetViews>
    <sheetView zoomScale="25" zoomScaleNormal="25" workbookViewId="0">
      <selection activeCell="R76" sqref="R76"/>
    </sheetView>
  </sheetViews>
  <sheetFormatPr defaultRowHeight="15" x14ac:dyDescent="0.25"/>
  <cols>
    <col min="1" max="1" width="4.5703125" style="91" customWidth="1"/>
    <col min="2" max="2" width="22.42578125" style="91" customWidth="1"/>
    <col min="3" max="3" width="22.140625" style="91" customWidth="1"/>
    <col min="4" max="4" width="11.85546875" style="91" customWidth="1"/>
    <col min="5" max="5" width="10.7109375" style="91" customWidth="1"/>
    <col min="6" max="6" width="10.7109375" style="91" bestFit="1" customWidth="1"/>
    <col min="7" max="7" width="10.85546875" style="91" customWidth="1"/>
    <col min="8" max="8" width="11.85546875" style="91" customWidth="1"/>
    <col min="9" max="9" width="11.5703125" style="91" customWidth="1"/>
    <col min="10" max="10" width="14.85546875" style="91" customWidth="1"/>
    <col min="11" max="11" width="15.42578125" style="91" customWidth="1"/>
    <col min="12" max="12" width="15" style="91" customWidth="1"/>
    <col min="13" max="13" width="15.42578125" style="91" customWidth="1"/>
    <col min="14" max="14" width="15" style="91" customWidth="1"/>
    <col min="15" max="16" width="15.140625" style="91" customWidth="1"/>
    <col min="17" max="17" width="17" style="91" customWidth="1"/>
    <col min="18" max="25" width="14.85546875" style="91" bestFit="1" customWidth="1"/>
    <col min="26" max="16384" width="9.140625" style="91"/>
  </cols>
  <sheetData>
    <row r="1" spans="1:25" x14ac:dyDescent="0.25">
      <c r="A1" s="91" t="s">
        <v>0</v>
      </c>
    </row>
    <row r="3" spans="1:25" x14ac:dyDescent="0.25">
      <c r="A3" s="748" t="s">
        <v>1</v>
      </c>
      <c r="B3" s="748" t="s">
        <v>2</v>
      </c>
      <c r="C3" s="747" t="s">
        <v>3</v>
      </c>
      <c r="D3" s="747" t="s">
        <v>4</v>
      </c>
      <c r="E3" s="748" t="s">
        <v>5</v>
      </c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7"/>
      <c r="Q3" s="747"/>
      <c r="R3" s="747"/>
      <c r="S3" s="747"/>
      <c r="T3" s="747"/>
      <c r="U3" s="747"/>
      <c r="V3" s="747"/>
      <c r="W3" s="747"/>
      <c r="X3" s="747"/>
      <c r="Y3" s="747"/>
    </row>
    <row r="4" spans="1:25" x14ac:dyDescent="0.25">
      <c r="A4" s="748"/>
      <c r="B4" s="748"/>
      <c r="C4" s="747"/>
      <c r="D4" s="747"/>
      <c r="E4" s="146">
        <v>2010</v>
      </c>
      <c r="F4" s="146">
        <v>2011</v>
      </c>
      <c r="G4" s="146">
        <v>2012</v>
      </c>
      <c r="H4" s="146">
        <v>2013</v>
      </c>
      <c r="I4" s="146">
        <v>2014</v>
      </c>
      <c r="J4" s="146">
        <v>2015</v>
      </c>
      <c r="K4" s="146">
        <v>2016</v>
      </c>
      <c r="L4" s="146">
        <v>2017</v>
      </c>
      <c r="M4" s="146">
        <v>2018</v>
      </c>
      <c r="N4" s="146">
        <v>2019</v>
      </c>
      <c r="O4" s="146">
        <v>2020</v>
      </c>
      <c r="P4" s="147">
        <v>2021</v>
      </c>
      <c r="Q4" s="147">
        <v>2022</v>
      </c>
      <c r="R4" s="147">
        <v>2023</v>
      </c>
      <c r="S4" s="147">
        <v>2024</v>
      </c>
      <c r="T4" s="147">
        <v>2025</v>
      </c>
      <c r="U4" s="147">
        <v>2026</v>
      </c>
      <c r="V4" s="147">
        <v>2027</v>
      </c>
      <c r="W4" s="147">
        <v>2028</v>
      </c>
      <c r="X4" s="147">
        <v>2029</v>
      </c>
      <c r="Y4" s="147">
        <v>2030</v>
      </c>
    </row>
    <row r="5" spans="1:25" x14ac:dyDescent="0.25">
      <c r="A5" s="744">
        <v>1</v>
      </c>
      <c r="B5" s="745" t="s">
        <v>200</v>
      </c>
      <c r="C5" s="148" t="s">
        <v>13</v>
      </c>
      <c r="D5" s="746" t="s">
        <v>48</v>
      </c>
      <c r="E5" s="149"/>
      <c r="F5" s="149"/>
      <c r="G5" s="149"/>
      <c r="H5" s="149"/>
      <c r="I5" s="149"/>
      <c r="J5" s="150"/>
      <c r="K5" s="150"/>
      <c r="L5" s="151">
        <v>22</v>
      </c>
      <c r="M5" s="151">
        <v>42.989999999999995</v>
      </c>
      <c r="N5" s="152">
        <v>17.8</v>
      </c>
      <c r="O5" s="152">
        <v>41.82</v>
      </c>
      <c r="P5" s="152">
        <v>63.88</v>
      </c>
      <c r="Q5" s="152">
        <v>17.344000000000001</v>
      </c>
      <c r="R5" s="152"/>
      <c r="S5" s="152"/>
      <c r="T5" s="152">
        <v>23.4</v>
      </c>
      <c r="U5" s="150"/>
      <c r="V5" s="150"/>
      <c r="W5" s="150"/>
      <c r="X5" s="150"/>
      <c r="Y5" s="150"/>
    </row>
    <row r="6" spans="1:25" ht="29.25" x14ac:dyDescent="0.25">
      <c r="A6" s="744"/>
      <c r="B6" s="745"/>
      <c r="C6" s="148" t="s">
        <v>228</v>
      </c>
      <c r="D6" s="746"/>
      <c r="E6" s="149"/>
      <c r="F6" s="149"/>
      <c r="G6" s="149"/>
      <c r="H6" s="149"/>
      <c r="I6" s="149"/>
      <c r="J6" s="150"/>
      <c r="K6" s="150"/>
      <c r="L6" s="150">
        <f>L5*1500000</f>
        <v>33000000</v>
      </c>
      <c r="M6" s="150">
        <f t="shared" ref="M6:T6" si="0">M5*1500000</f>
        <v>64484999.999999993</v>
      </c>
      <c r="N6" s="150">
        <f t="shared" si="0"/>
        <v>26700000</v>
      </c>
      <c r="O6" s="150">
        <f t="shared" si="0"/>
        <v>62730000</v>
      </c>
      <c r="P6" s="150">
        <f t="shared" si="0"/>
        <v>95820000</v>
      </c>
      <c r="Q6" s="150">
        <f t="shared" si="0"/>
        <v>26016000</v>
      </c>
      <c r="R6" s="150"/>
      <c r="S6" s="150"/>
      <c r="T6" s="150">
        <f t="shared" si="0"/>
        <v>35100000</v>
      </c>
      <c r="U6" s="150"/>
      <c r="V6" s="150"/>
      <c r="W6" s="150"/>
      <c r="X6" s="150"/>
      <c r="Y6" s="150"/>
    </row>
    <row r="7" spans="1:25" ht="31.5" x14ac:dyDescent="0.3">
      <c r="A7" s="744"/>
      <c r="B7" s="745"/>
      <c r="C7" s="148" t="s">
        <v>208</v>
      </c>
      <c r="D7" s="746"/>
      <c r="E7" s="149"/>
      <c r="F7" s="149"/>
      <c r="G7" s="149"/>
      <c r="H7" s="149"/>
      <c r="I7" s="149"/>
      <c r="J7" s="150"/>
      <c r="K7" s="150"/>
      <c r="L7" s="153">
        <v>95242.223999999987</v>
      </c>
      <c r="M7" s="153">
        <v>186111.96407999998</v>
      </c>
      <c r="N7" s="153">
        <v>77059.617599999983</v>
      </c>
      <c r="O7" s="153">
        <v>181046.80943999995</v>
      </c>
      <c r="P7" s="153">
        <v>276548.78495999996</v>
      </c>
      <c r="Q7" s="153">
        <v>75085.506047999981</v>
      </c>
      <c r="R7" s="153"/>
      <c r="S7" s="153"/>
      <c r="T7" s="153">
        <v>101303.09279999997</v>
      </c>
      <c r="U7" s="150"/>
      <c r="V7" s="150"/>
      <c r="W7" s="150"/>
      <c r="X7" s="150"/>
      <c r="Y7" s="150"/>
    </row>
    <row r="8" spans="1:25" x14ac:dyDescent="0.25">
      <c r="A8" s="744">
        <v>2</v>
      </c>
      <c r="B8" s="745" t="s">
        <v>199</v>
      </c>
      <c r="C8" s="148" t="s">
        <v>13</v>
      </c>
      <c r="D8" s="746" t="s">
        <v>48</v>
      </c>
      <c r="E8" s="149"/>
      <c r="F8" s="149"/>
      <c r="G8" s="149"/>
      <c r="H8" s="149"/>
      <c r="I8" s="149"/>
      <c r="J8" s="149"/>
      <c r="K8" s="149"/>
      <c r="L8" s="149"/>
      <c r="M8" s="149"/>
      <c r="N8" s="153">
        <v>50</v>
      </c>
      <c r="O8" s="153">
        <v>50</v>
      </c>
      <c r="P8" s="153">
        <v>50</v>
      </c>
      <c r="Q8" s="153">
        <v>50</v>
      </c>
      <c r="R8" s="153">
        <v>50</v>
      </c>
      <c r="S8" s="153">
        <v>50</v>
      </c>
      <c r="T8" s="153">
        <v>50</v>
      </c>
      <c r="U8" s="153">
        <v>50</v>
      </c>
      <c r="V8" s="153">
        <v>50</v>
      </c>
      <c r="W8" s="153">
        <v>50</v>
      </c>
      <c r="X8" s="153">
        <v>50</v>
      </c>
      <c r="Y8" s="153">
        <v>100</v>
      </c>
    </row>
    <row r="9" spans="1:25" ht="29.25" x14ac:dyDescent="0.25">
      <c r="A9" s="744"/>
      <c r="B9" s="745"/>
      <c r="C9" s="148" t="s">
        <v>228</v>
      </c>
      <c r="D9" s="746"/>
      <c r="E9" s="149"/>
      <c r="F9" s="149"/>
      <c r="G9" s="149"/>
      <c r="H9" s="149"/>
      <c r="I9" s="149"/>
      <c r="J9" s="149"/>
      <c r="K9" s="149"/>
      <c r="L9" s="149"/>
      <c r="M9" s="149"/>
      <c r="N9" s="150">
        <f>N8*1500000</f>
        <v>75000000</v>
      </c>
      <c r="O9" s="150">
        <f t="shared" ref="O9:Y9" si="1">O8*1500000</f>
        <v>75000000</v>
      </c>
      <c r="P9" s="150">
        <f t="shared" si="1"/>
        <v>75000000</v>
      </c>
      <c r="Q9" s="150">
        <f t="shared" si="1"/>
        <v>75000000</v>
      </c>
      <c r="R9" s="150">
        <f t="shared" si="1"/>
        <v>75000000</v>
      </c>
      <c r="S9" s="150">
        <f t="shared" si="1"/>
        <v>75000000</v>
      </c>
      <c r="T9" s="150">
        <f t="shared" si="1"/>
        <v>75000000</v>
      </c>
      <c r="U9" s="150">
        <f t="shared" si="1"/>
        <v>75000000</v>
      </c>
      <c r="V9" s="150">
        <f t="shared" si="1"/>
        <v>75000000</v>
      </c>
      <c r="W9" s="150">
        <f t="shared" si="1"/>
        <v>75000000</v>
      </c>
      <c r="X9" s="150">
        <f t="shared" si="1"/>
        <v>75000000</v>
      </c>
      <c r="Y9" s="150">
        <f t="shared" si="1"/>
        <v>150000000</v>
      </c>
    </row>
    <row r="10" spans="1:25" ht="31.5" x14ac:dyDescent="0.3">
      <c r="A10" s="744"/>
      <c r="B10" s="745"/>
      <c r="C10" s="148" t="s">
        <v>208</v>
      </c>
      <c r="D10" s="746"/>
      <c r="E10" s="149"/>
      <c r="F10" s="149"/>
      <c r="G10" s="149"/>
      <c r="H10" s="149"/>
      <c r="I10" s="149"/>
      <c r="J10" s="149"/>
      <c r="K10" s="149"/>
      <c r="L10" s="149"/>
      <c r="M10" s="149"/>
      <c r="N10" s="153">
        <v>42</v>
      </c>
      <c r="O10" s="153">
        <v>42</v>
      </c>
      <c r="P10" s="153">
        <v>42</v>
      </c>
      <c r="Q10" s="153">
        <v>42</v>
      </c>
      <c r="R10" s="153">
        <v>42</v>
      </c>
      <c r="S10" s="153">
        <v>42</v>
      </c>
      <c r="T10" s="153">
        <v>42</v>
      </c>
      <c r="U10" s="153">
        <v>42</v>
      </c>
      <c r="V10" s="153">
        <v>42</v>
      </c>
      <c r="W10" s="153">
        <v>42</v>
      </c>
      <c r="X10" s="153">
        <v>42</v>
      </c>
      <c r="Y10" s="153">
        <v>84</v>
      </c>
    </row>
    <row r="11" spans="1:25" x14ac:dyDescent="0.25">
      <c r="A11" s="744">
        <v>3</v>
      </c>
      <c r="B11" s="745" t="s">
        <v>198</v>
      </c>
      <c r="C11" s="148" t="s">
        <v>13</v>
      </c>
      <c r="D11" s="746" t="s">
        <v>48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53">
        <v>50</v>
      </c>
      <c r="O11" s="153">
        <v>50</v>
      </c>
      <c r="P11" s="153">
        <v>50</v>
      </c>
      <c r="Q11" s="153">
        <v>50</v>
      </c>
      <c r="R11" s="153">
        <v>50</v>
      </c>
      <c r="S11" s="153">
        <v>50</v>
      </c>
      <c r="T11" s="153">
        <v>50</v>
      </c>
      <c r="U11" s="153">
        <v>50</v>
      </c>
      <c r="V11" s="153">
        <v>50</v>
      </c>
      <c r="W11" s="153">
        <v>50</v>
      </c>
      <c r="X11" s="153">
        <v>50</v>
      </c>
      <c r="Y11" s="153">
        <v>100</v>
      </c>
    </row>
    <row r="12" spans="1:25" ht="29.25" x14ac:dyDescent="0.25">
      <c r="A12" s="744"/>
      <c r="B12" s="745"/>
      <c r="C12" s="148" t="s">
        <v>228</v>
      </c>
      <c r="D12" s="746"/>
      <c r="E12" s="149"/>
      <c r="F12" s="149"/>
      <c r="G12" s="149"/>
      <c r="H12" s="149"/>
      <c r="I12" s="149"/>
      <c r="J12" s="149"/>
      <c r="K12" s="149"/>
      <c r="L12" s="149"/>
      <c r="M12" s="149"/>
      <c r="N12" s="150">
        <f>N11*1500000</f>
        <v>75000000</v>
      </c>
      <c r="O12" s="150">
        <f t="shared" ref="O12:Y12" si="2">O11*1500000</f>
        <v>75000000</v>
      </c>
      <c r="P12" s="150">
        <f t="shared" si="2"/>
        <v>75000000</v>
      </c>
      <c r="Q12" s="150">
        <f t="shared" si="2"/>
        <v>75000000</v>
      </c>
      <c r="R12" s="150">
        <f t="shared" si="2"/>
        <v>75000000</v>
      </c>
      <c r="S12" s="150">
        <f t="shared" si="2"/>
        <v>75000000</v>
      </c>
      <c r="T12" s="150">
        <f t="shared" si="2"/>
        <v>75000000</v>
      </c>
      <c r="U12" s="150">
        <f t="shared" si="2"/>
        <v>75000000</v>
      </c>
      <c r="V12" s="150">
        <f t="shared" si="2"/>
        <v>75000000</v>
      </c>
      <c r="W12" s="150">
        <f t="shared" si="2"/>
        <v>75000000</v>
      </c>
      <c r="X12" s="150">
        <f t="shared" si="2"/>
        <v>75000000</v>
      </c>
      <c r="Y12" s="150">
        <f t="shared" si="2"/>
        <v>150000000</v>
      </c>
    </row>
    <row r="13" spans="1:25" ht="31.5" x14ac:dyDescent="0.3">
      <c r="A13" s="744"/>
      <c r="B13" s="745"/>
      <c r="C13" s="148" t="s">
        <v>208</v>
      </c>
      <c r="D13" s="746"/>
      <c r="E13" s="149"/>
      <c r="F13" s="149"/>
      <c r="G13" s="149"/>
      <c r="H13" s="149"/>
      <c r="I13" s="149"/>
      <c r="J13" s="149"/>
      <c r="K13" s="149"/>
      <c r="L13" s="149"/>
      <c r="M13" s="149"/>
      <c r="N13" s="151">
        <v>216459.59999999998</v>
      </c>
      <c r="O13" s="151">
        <v>216459.59999999998</v>
      </c>
      <c r="P13" s="151">
        <v>216459.59999999998</v>
      </c>
      <c r="Q13" s="151">
        <v>216459.59999999998</v>
      </c>
      <c r="R13" s="151">
        <v>216459.59999999998</v>
      </c>
      <c r="S13" s="151">
        <v>216459.59999999998</v>
      </c>
      <c r="T13" s="151">
        <v>216459.59999999998</v>
      </c>
      <c r="U13" s="151">
        <v>216459.59999999998</v>
      </c>
      <c r="V13" s="151">
        <v>216459.59999999998</v>
      </c>
      <c r="W13" s="151">
        <v>216459.59999999998</v>
      </c>
      <c r="X13" s="151">
        <v>216459.59999999998</v>
      </c>
      <c r="Y13" s="151">
        <v>432919.19999999995</v>
      </c>
    </row>
    <row r="14" spans="1:25" x14ac:dyDescent="0.25">
      <c r="A14" s="744">
        <v>4</v>
      </c>
      <c r="B14" s="745" t="s">
        <v>202</v>
      </c>
      <c r="C14" s="148" t="s">
        <v>13</v>
      </c>
      <c r="D14" s="746" t="s">
        <v>48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3">
        <v>400</v>
      </c>
      <c r="U14" s="153">
        <v>400</v>
      </c>
      <c r="V14" s="153">
        <v>400</v>
      </c>
      <c r="W14" s="153">
        <v>400</v>
      </c>
      <c r="X14" s="153">
        <v>400</v>
      </c>
      <c r="Y14" s="153">
        <v>700</v>
      </c>
    </row>
    <row r="15" spans="1:25" ht="29.25" x14ac:dyDescent="0.25">
      <c r="A15" s="744"/>
      <c r="B15" s="745"/>
      <c r="C15" s="148" t="s">
        <v>228</v>
      </c>
      <c r="D15" s="746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0">
        <f>T14*1500000</f>
        <v>600000000</v>
      </c>
      <c r="U15" s="150">
        <f t="shared" ref="U15:Y15" si="3">U14*1500000</f>
        <v>600000000</v>
      </c>
      <c r="V15" s="150">
        <f t="shared" si="3"/>
        <v>600000000</v>
      </c>
      <c r="W15" s="150">
        <f t="shared" si="3"/>
        <v>600000000</v>
      </c>
      <c r="X15" s="150">
        <f t="shared" si="3"/>
        <v>600000000</v>
      </c>
      <c r="Y15" s="150">
        <f t="shared" si="3"/>
        <v>1050000000</v>
      </c>
    </row>
    <row r="16" spans="1:25" ht="31.5" x14ac:dyDescent="0.3">
      <c r="A16" s="744"/>
      <c r="B16" s="745"/>
      <c r="C16" s="148" t="s">
        <v>208</v>
      </c>
      <c r="D16" s="746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3">
        <v>336</v>
      </c>
      <c r="U16" s="153">
        <v>336</v>
      </c>
      <c r="V16" s="153">
        <v>336</v>
      </c>
      <c r="W16" s="153">
        <v>336</v>
      </c>
      <c r="X16" s="153">
        <v>336</v>
      </c>
      <c r="Y16" s="153">
        <v>558</v>
      </c>
    </row>
    <row r="17" spans="1:25" x14ac:dyDescent="0.25">
      <c r="A17" s="744">
        <v>5</v>
      </c>
      <c r="B17" s="745" t="s">
        <v>203</v>
      </c>
      <c r="C17" s="148" t="s">
        <v>13</v>
      </c>
      <c r="D17" s="746" t="s">
        <v>48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3">
        <v>800</v>
      </c>
      <c r="U17" s="153">
        <v>800</v>
      </c>
      <c r="V17" s="153">
        <v>800</v>
      </c>
      <c r="W17" s="153">
        <v>800</v>
      </c>
      <c r="X17" s="153">
        <v>800</v>
      </c>
      <c r="Y17" s="150">
        <v>1500</v>
      </c>
    </row>
    <row r="18" spans="1:25" ht="29.25" x14ac:dyDescent="0.25">
      <c r="A18" s="744"/>
      <c r="B18" s="745"/>
      <c r="C18" s="148" t="s">
        <v>228</v>
      </c>
      <c r="D18" s="746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>
        <f>T17*150000</f>
        <v>120000000</v>
      </c>
      <c r="U18" s="150">
        <f t="shared" ref="U18:Y18" si="4">U17*1500000</f>
        <v>1200000000</v>
      </c>
      <c r="V18" s="150">
        <f t="shared" si="4"/>
        <v>1200000000</v>
      </c>
      <c r="W18" s="150">
        <f t="shared" si="4"/>
        <v>1200000000</v>
      </c>
      <c r="X18" s="150">
        <f t="shared" si="4"/>
        <v>1200000000</v>
      </c>
      <c r="Y18" s="150">
        <f t="shared" si="4"/>
        <v>2250000000</v>
      </c>
    </row>
    <row r="19" spans="1:25" ht="31.5" x14ac:dyDescent="0.3">
      <c r="A19" s="744"/>
      <c r="B19" s="745"/>
      <c r="C19" s="148" t="s">
        <v>208</v>
      </c>
      <c r="D19" s="746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3">
        <v>672</v>
      </c>
      <c r="U19" s="153">
        <v>672</v>
      </c>
      <c r="V19" s="153">
        <v>672</v>
      </c>
      <c r="W19" s="153">
        <v>672</v>
      </c>
      <c r="X19" s="153">
        <v>672</v>
      </c>
      <c r="Y19" s="150">
        <v>1260</v>
      </c>
    </row>
    <row r="20" spans="1:25" x14ac:dyDescent="0.25">
      <c r="A20" s="744">
        <v>6</v>
      </c>
      <c r="B20" s="745" t="s">
        <v>206</v>
      </c>
      <c r="C20" s="148" t="s">
        <v>13</v>
      </c>
      <c r="D20" s="746" t="s">
        <v>48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0">
        <v>1000</v>
      </c>
      <c r="U20" s="150">
        <v>1000</v>
      </c>
      <c r="V20" s="150">
        <v>1000</v>
      </c>
      <c r="W20" s="150">
        <v>1000</v>
      </c>
      <c r="X20" s="150">
        <v>1000</v>
      </c>
      <c r="Y20" s="150">
        <v>2000</v>
      </c>
    </row>
    <row r="21" spans="1:25" ht="29.25" x14ac:dyDescent="0.25">
      <c r="A21" s="744"/>
      <c r="B21" s="745"/>
      <c r="C21" s="148" t="s">
        <v>228</v>
      </c>
      <c r="D21" s="746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50">
        <f>T20*1500000</f>
        <v>1500000000</v>
      </c>
      <c r="U21" s="150">
        <f t="shared" ref="U21:Y21" si="5">U20*1500000</f>
        <v>1500000000</v>
      </c>
      <c r="V21" s="150">
        <f t="shared" si="5"/>
        <v>1500000000</v>
      </c>
      <c r="W21" s="150">
        <f t="shared" si="5"/>
        <v>1500000000</v>
      </c>
      <c r="X21" s="150">
        <f t="shared" si="5"/>
        <v>1500000000</v>
      </c>
      <c r="Y21" s="150">
        <f t="shared" si="5"/>
        <v>3000000000</v>
      </c>
    </row>
    <row r="22" spans="1:25" ht="31.5" x14ac:dyDescent="0.3">
      <c r="A22" s="744"/>
      <c r="B22" s="745"/>
      <c r="C22" s="148" t="s">
        <v>208</v>
      </c>
      <c r="D22" s="746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53">
        <v>840</v>
      </c>
      <c r="U22" s="153">
        <v>840</v>
      </c>
      <c r="V22" s="153">
        <v>840</v>
      </c>
      <c r="W22" s="153">
        <v>840</v>
      </c>
      <c r="X22" s="153">
        <v>840</v>
      </c>
      <c r="Y22" s="150">
        <v>1680</v>
      </c>
    </row>
    <row r="23" spans="1:25" x14ac:dyDescent="0.25">
      <c r="A23" s="744">
        <v>7</v>
      </c>
      <c r="B23" s="745" t="s">
        <v>205</v>
      </c>
      <c r="C23" s="148" t="s">
        <v>13</v>
      </c>
      <c r="D23" s="746" t="s">
        <v>48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>
        <v>520</v>
      </c>
      <c r="Q23" s="149">
        <v>520</v>
      </c>
      <c r="R23" s="149"/>
      <c r="S23" s="149"/>
      <c r="T23" s="150"/>
      <c r="U23" s="150"/>
      <c r="V23" s="150"/>
      <c r="W23" s="150"/>
      <c r="X23" s="150"/>
      <c r="Y23" s="150"/>
    </row>
    <row r="24" spans="1:25" ht="29.25" x14ac:dyDescent="0.25">
      <c r="A24" s="744"/>
      <c r="B24" s="745"/>
      <c r="C24" s="148" t="s">
        <v>228</v>
      </c>
      <c r="D24" s="746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54">
        <f>P23*1500000</f>
        <v>780000000</v>
      </c>
      <c r="Q24" s="154">
        <f>Q23*1500000</f>
        <v>780000000</v>
      </c>
      <c r="R24" s="149"/>
      <c r="S24" s="149"/>
      <c r="T24" s="150"/>
      <c r="U24" s="150"/>
      <c r="V24" s="150"/>
      <c r="W24" s="150"/>
      <c r="X24" s="150"/>
      <c r="Y24" s="150"/>
    </row>
    <row r="25" spans="1:25" ht="31.5" x14ac:dyDescent="0.3">
      <c r="A25" s="744"/>
      <c r="B25" s="745"/>
      <c r="C25" s="148" t="s">
        <v>208</v>
      </c>
      <c r="D25" s="746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>
        <v>2678457.5999999996</v>
      </c>
      <c r="Q25" s="149">
        <v>2678457.5999999996</v>
      </c>
      <c r="R25" s="149"/>
      <c r="S25" s="149"/>
      <c r="T25" s="150"/>
      <c r="U25" s="150"/>
      <c r="V25" s="150"/>
      <c r="W25" s="150"/>
      <c r="X25" s="150"/>
      <c r="Y25" s="150"/>
    </row>
    <row r="26" spans="1:25" x14ac:dyDescent="0.25">
      <c r="A26" s="744">
        <v>8</v>
      </c>
      <c r="B26" s="745" t="s">
        <v>204</v>
      </c>
      <c r="C26" s="148" t="s">
        <v>13</v>
      </c>
      <c r="D26" s="746" t="s">
        <v>48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3">
        <v>200</v>
      </c>
      <c r="U26" s="153">
        <v>200</v>
      </c>
      <c r="V26" s="153">
        <v>200</v>
      </c>
      <c r="W26" s="153">
        <v>200</v>
      </c>
      <c r="X26" s="153">
        <v>200</v>
      </c>
      <c r="Y26" s="153">
        <v>500</v>
      </c>
    </row>
    <row r="27" spans="1:25" ht="29.25" x14ac:dyDescent="0.25">
      <c r="A27" s="744"/>
      <c r="B27" s="745"/>
      <c r="C27" s="148" t="s">
        <v>228</v>
      </c>
      <c r="D27" s="746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0">
        <f>T26*1500000</f>
        <v>300000000</v>
      </c>
      <c r="U27" s="150">
        <f t="shared" ref="U27:Y27" si="6">U26*1500000</f>
        <v>300000000</v>
      </c>
      <c r="V27" s="150">
        <f t="shared" si="6"/>
        <v>300000000</v>
      </c>
      <c r="W27" s="150">
        <f t="shared" si="6"/>
        <v>300000000</v>
      </c>
      <c r="X27" s="150">
        <f t="shared" si="6"/>
        <v>300000000</v>
      </c>
      <c r="Y27" s="150">
        <f t="shared" si="6"/>
        <v>750000000</v>
      </c>
    </row>
    <row r="28" spans="1:25" ht="31.5" x14ac:dyDescent="0.3">
      <c r="A28" s="744"/>
      <c r="B28" s="745"/>
      <c r="C28" s="148" t="s">
        <v>208</v>
      </c>
      <c r="D28" s="746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3">
        <v>168</v>
      </c>
      <c r="U28" s="153">
        <v>168</v>
      </c>
      <c r="V28" s="153">
        <v>168</v>
      </c>
      <c r="W28" s="153">
        <v>168</v>
      </c>
      <c r="X28" s="153">
        <v>168</v>
      </c>
      <c r="Y28" s="153">
        <v>420</v>
      </c>
    </row>
    <row r="29" spans="1:25" x14ac:dyDescent="0.25">
      <c r="A29" s="744">
        <v>9</v>
      </c>
      <c r="B29" s="745" t="s">
        <v>201</v>
      </c>
      <c r="C29" s="148" t="s">
        <v>13</v>
      </c>
      <c r="D29" s="746" t="s">
        <v>48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>
        <v>10</v>
      </c>
      <c r="O29" s="149"/>
      <c r="P29" s="149"/>
      <c r="Q29" s="149"/>
      <c r="R29" s="149"/>
      <c r="S29" s="149"/>
      <c r="T29" s="150"/>
      <c r="U29" s="150"/>
      <c r="V29" s="150"/>
      <c r="W29" s="150"/>
      <c r="X29" s="150"/>
      <c r="Y29" s="150"/>
    </row>
    <row r="30" spans="1:25" ht="29.25" x14ac:dyDescent="0.25">
      <c r="A30" s="744"/>
      <c r="B30" s="745"/>
      <c r="C30" s="148" t="s">
        <v>228</v>
      </c>
      <c r="D30" s="746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f>N29*1500000</f>
        <v>15000000</v>
      </c>
      <c r="O30" s="149"/>
      <c r="P30" s="149"/>
      <c r="Q30" s="149"/>
      <c r="R30" s="149"/>
      <c r="S30" s="149"/>
      <c r="T30" s="150"/>
      <c r="U30" s="150"/>
      <c r="V30" s="150"/>
      <c r="W30" s="150"/>
      <c r="X30" s="150"/>
      <c r="Y30" s="150"/>
    </row>
    <row r="31" spans="1:25" ht="31.5" x14ac:dyDescent="0.3">
      <c r="A31" s="744"/>
      <c r="B31" s="745"/>
      <c r="C31" s="148" t="s">
        <v>208</v>
      </c>
      <c r="D31" s="746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51508.799999999988</v>
      </c>
      <c r="O31" s="149"/>
      <c r="P31" s="149"/>
      <c r="Q31" s="149"/>
      <c r="R31" s="149"/>
      <c r="S31" s="149"/>
      <c r="T31" s="150"/>
      <c r="U31" s="150"/>
      <c r="V31" s="150"/>
      <c r="W31" s="150"/>
      <c r="X31" s="150"/>
      <c r="Y31" s="150"/>
    </row>
    <row r="32" spans="1:25" ht="15" customHeight="1" x14ac:dyDescent="0.25">
      <c r="A32" s="744">
        <v>10</v>
      </c>
      <c r="B32" s="745" t="s">
        <v>47</v>
      </c>
      <c r="C32" s="148" t="s">
        <v>9</v>
      </c>
      <c r="D32" s="746" t="s">
        <v>48</v>
      </c>
      <c r="E32" s="149"/>
      <c r="F32" s="149"/>
      <c r="G32" s="149"/>
      <c r="H32" s="149"/>
      <c r="I32" s="149"/>
      <c r="J32" s="149"/>
      <c r="K32" s="153">
        <v>220</v>
      </c>
      <c r="L32" s="153">
        <v>220</v>
      </c>
      <c r="M32" s="153">
        <v>220</v>
      </c>
      <c r="N32" s="153">
        <v>220</v>
      </c>
      <c r="O32" s="153">
        <v>220</v>
      </c>
      <c r="P32" s="153">
        <v>230</v>
      </c>
      <c r="Q32" s="153">
        <v>230</v>
      </c>
      <c r="R32" s="153">
        <v>230</v>
      </c>
      <c r="S32" s="153">
        <v>230</v>
      </c>
      <c r="T32" s="153">
        <v>230</v>
      </c>
      <c r="U32" s="153">
        <v>230</v>
      </c>
      <c r="V32" s="153">
        <v>230</v>
      </c>
      <c r="W32" s="153">
        <v>230</v>
      </c>
      <c r="X32" s="153">
        <v>230</v>
      </c>
      <c r="Y32" s="153">
        <v>230</v>
      </c>
    </row>
    <row r="33" spans="1:25" ht="29.25" x14ac:dyDescent="0.25">
      <c r="A33" s="744"/>
      <c r="B33" s="745"/>
      <c r="C33" s="148" t="s">
        <v>6</v>
      </c>
      <c r="D33" s="746"/>
      <c r="E33" s="149"/>
      <c r="F33" s="149"/>
      <c r="G33" s="149"/>
      <c r="H33" s="149"/>
      <c r="I33" s="149"/>
      <c r="J33" s="149"/>
      <c r="K33" s="150">
        <v>2640000</v>
      </c>
      <c r="L33" s="150">
        <v>2640000</v>
      </c>
      <c r="M33" s="150">
        <v>2640000</v>
      </c>
      <c r="N33" s="150">
        <v>2640000</v>
      </c>
      <c r="O33" s="150">
        <v>2640000</v>
      </c>
      <c r="P33" s="150">
        <v>2760000</v>
      </c>
      <c r="Q33" s="150">
        <v>2760000</v>
      </c>
      <c r="R33" s="150">
        <v>2760000</v>
      </c>
      <c r="S33" s="150">
        <v>2760000</v>
      </c>
      <c r="T33" s="150">
        <v>2760000</v>
      </c>
      <c r="U33" s="150">
        <v>2760000</v>
      </c>
      <c r="V33" s="150">
        <v>2760000</v>
      </c>
      <c r="W33" s="150">
        <v>2760000</v>
      </c>
      <c r="X33" s="150">
        <v>2760000</v>
      </c>
      <c r="Y33" s="150">
        <v>2760000</v>
      </c>
    </row>
    <row r="34" spans="1:25" ht="29.25" x14ac:dyDescent="0.25">
      <c r="A34" s="744"/>
      <c r="B34" s="745"/>
      <c r="C34" s="148" t="s">
        <v>7</v>
      </c>
      <c r="D34" s="746"/>
      <c r="E34" s="149"/>
      <c r="F34" s="149"/>
      <c r="G34" s="149"/>
      <c r="H34" s="149"/>
      <c r="I34" s="149"/>
      <c r="J34" s="149"/>
      <c r="K34" s="151">
        <v>558.10788000000002</v>
      </c>
      <c r="L34" s="151">
        <v>558.10788000000002</v>
      </c>
      <c r="M34" s="151">
        <v>558.10788000000002</v>
      </c>
      <c r="N34" s="151">
        <v>558.10788000000002</v>
      </c>
      <c r="O34" s="151">
        <v>558.10788000000002</v>
      </c>
      <c r="P34" s="151">
        <v>583.47642000000008</v>
      </c>
      <c r="Q34" s="151">
        <v>583.47642000000008</v>
      </c>
      <c r="R34" s="151">
        <v>583.47642000000008</v>
      </c>
      <c r="S34" s="151">
        <v>583.47642000000008</v>
      </c>
      <c r="T34" s="151">
        <v>583.47642000000008</v>
      </c>
      <c r="U34" s="151">
        <v>583.47642000000008</v>
      </c>
      <c r="V34" s="151">
        <v>583.47642000000008</v>
      </c>
      <c r="W34" s="151">
        <v>583.47642000000008</v>
      </c>
      <c r="X34" s="151">
        <v>583.47642000000008</v>
      </c>
      <c r="Y34" s="151">
        <v>583.47642000000008</v>
      </c>
    </row>
    <row r="35" spans="1:25" x14ac:dyDescent="0.25">
      <c r="A35" s="744">
        <v>11</v>
      </c>
      <c r="B35" s="745" t="s">
        <v>55</v>
      </c>
      <c r="C35" s="148" t="s">
        <v>56</v>
      </c>
      <c r="D35" s="746" t="s">
        <v>48</v>
      </c>
      <c r="E35" s="183">
        <v>0</v>
      </c>
      <c r="F35" s="183">
        <v>30</v>
      </c>
      <c r="G35" s="183">
        <v>60</v>
      </c>
      <c r="H35" s="183">
        <v>60</v>
      </c>
      <c r="I35" s="183">
        <v>60</v>
      </c>
      <c r="J35" s="183">
        <v>60</v>
      </c>
      <c r="K35" s="183">
        <v>60</v>
      </c>
      <c r="L35" s="183">
        <v>60</v>
      </c>
      <c r="M35" s="183">
        <v>60</v>
      </c>
      <c r="N35" s="183">
        <v>60</v>
      </c>
      <c r="O35" s="183">
        <v>60</v>
      </c>
      <c r="P35" s="183">
        <v>60</v>
      </c>
      <c r="Q35" s="183">
        <v>60</v>
      </c>
      <c r="R35" s="183">
        <v>60</v>
      </c>
      <c r="S35" s="183">
        <v>60</v>
      </c>
      <c r="T35" s="183">
        <v>60</v>
      </c>
      <c r="U35" s="183">
        <v>60</v>
      </c>
      <c r="V35" s="183">
        <v>60</v>
      </c>
      <c r="W35" s="183">
        <v>60</v>
      </c>
      <c r="X35" s="183">
        <v>60</v>
      </c>
      <c r="Y35" s="183">
        <v>60</v>
      </c>
    </row>
    <row r="36" spans="1:25" ht="29.25" x14ac:dyDescent="0.25">
      <c r="A36" s="744"/>
      <c r="B36" s="745"/>
      <c r="C36" s="148" t="s">
        <v>6</v>
      </c>
      <c r="D36" s="746"/>
      <c r="E36" s="185"/>
      <c r="F36" s="186">
        <f>F35*16200*3</f>
        <v>1458000</v>
      </c>
      <c r="G36" s="186">
        <f t="shared" ref="G36:Y36" si="7">G35*16200*3</f>
        <v>2916000</v>
      </c>
      <c r="H36" s="186">
        <f t="shared" si="7"/>
        <v>2916000</v>
      </c>
      <c r="I36" s="186">
        <f t="shared" si="7"/>
        <v>2916000</v>
      </c>
      <c r="J36" s="186">
        <f t="shared" si="7"/>
        <v>2916000</v>
      </c>
      <c r="K36" s="186">
        <f t="shared" si="7"/>
        <v>2916000</v>
      </c>
      <c r="L36" s="186">
        <f t="shared" si="7"/>
        <v>2916000</v>
      </c>
      <c r="M36" s="186">
        <f t="shared" si="7"/>
        <v>2916000</v>
      </c>
      <c r="N36" s="186">
        <f t="shared" si="7"/>
        <v>2916000</v>
      </c>
      <c r="O36" s="186">
        <f t="shared" si="7"/>
        <v>2916000</v>
      </c>
      <c r="P36" s="186">
        <f t="shared" si="7"/>
        <v>2916000</v>
      </c>
      <c r="Q36" s="186">
        <f t="shared" si="7"/>
        <v>2916000</v>
      </c>
      <c r="R36" s="186">
        <f t="shared" si="7"/>
        <v>2916000</v>
      </c>
      <c r="S36" s="186">
        <f t="shared" si="7"/>
        <v>2916000</v>
      </c>
      <c r="T36" s="186">
        <f t="shared" si="7"/>
        <v>2916000</v>
      </c>
      <c r="U36" s="186">
        <f t="shared" si="7"/>
        <v>2916000</v>
      </c>
      <c r="V36" s="186">
        <f t="shared" si="7"/>
        <v>2916000</v>
      </c>
      <c r="W36" s="186">
        <f t="shared" si="7"/>
        <v>2916000</v>
      </c>
      <c r="X36" s="186">
        <f t="shared" si="7"/>
        <v>2916000</v>
      </c>
      <c r="Y36" s="186">
        <f t="shared" si="7"/>
        <v>2916000</v>
      </c>
    </row>
    <row r="37" spans="1:25" ht="29.25" x14ac:dyDescent="0.25">
      <c r="A37" s="744"/>
      <c r="B37" s="745"/>
      <c r="C37" s="148" t="s">
        <v>7</v>
      </c>
      <c r="D37" s="746"/>
      <c r="E37" s="183">
        <v>0</v>
      </c>
      <c r="F37" s="183">
        <v>22.463719999999999</v>
      </c>
      <c r="G37" s="184">
        <v>44.927439999999997</v>
      </c>
      <c r="H37" s="184">
        <v>44.927439999999997</v>
      </c>
      <c r="I37" s="184">
        <v>44.927439999999997</v>
      </c>
      <c r="J37" s="184">
        <v>44.927439999999997</v>
      </c>
      <c r="K37" s="184">
        <v>44.927439999999997</v>
      </c>
      <c r="L37" s="184">
        <v>44.927439999999997</v>
      </c>
      <c r="M37" s="184">
        <v>44.927439999999997</v>
      </c>
      <c r="N37" s="184">
        <v>44.927439999999997</v>
      </c>
      <c r="O37" s="184">
        <v>44.927439999999997</v>
      </c>
      <c r="P37" s="184">
        <v>44.927439999999997</v>
      </c>
      <c r="Q37" s="184">
        <v>44.927439999999997</v>
      </c>
      <c r="R37" s="184">
        <v>44.927439999999997</v>
      </c>
      <c r="S37" s="184">
        <v>44.927439999999997</v>
      </c>
      <c r="T37" s="184">
        <v>44.927439999999997</v>
      </c>
      <c r="U37" s="184">
        <v>44.927439999999997</v>
      </c>
      <c r="V37" s="184">
        <v>44.927439999999997</v>
      </c>
      <c r="W37" s="184">
        <v>44.927439999999997</v>
      </c>
      <c r="X37" s="184">
        <v>44.927439999999997</v>
      </c>
      <c r="Y37" s="184">
        <v>44.927439999999997</v>
      </c>
    </row>
    <row r="39" spans="1:25" x14ac:dyDescent="0.25">
      <c r="C39" s="188">
        <f>E4</f>
        <v>2010</v>
      </c>
      <c r="D39" s="188">
        <f t="shared" ref="D39:Q39" si="8">F4</f>
        <v>2011</v>
      </c>
      <c r="E39" s="188">
        <f t="shared" si="8"/>
        <v>2012</v>
      </c>
      <c r="F39" s="188">
        <f t="shared" si="8"/>
        <v>2013</v>
      </c>
      <c r="G39" s="188">
        <f t="shared" si="8"/>
        <v>2014</v>
      </c>
      <c r="H39" s="188">
        <f t="shared" si="8"/>
        <v>2015</v>
      </c>
      <c r="I39" s="188">
        <f t="shared" si="8"/>
        <v>2016</v>
      </c>
      <c r="J39" s="188">
        <f t="shared" si="8"/>
        <v>2017</v>
      </c>
      <c r="K39" s="188">
        <f t="shared" si="8"/>
        <v>2018</v>
      </c>
      <c r="L39" s="188">
        <f t="shared" si="8"/>
        <v>2019</v>
      </c>
      <c r="M39" s="188">
        <f t="shared" si="8"/>
        <v>2020</v>
      </c>
      <c r="N39" s="188">
        <f t="shared" si="8"/>
        <v>2021</v>
      </c>
      <c r="O39" s="188">
        <f t="shared" si="8"/>
        <v>2022</v>
      </c>
      <c r="P39" s="188">
        <f t="shared" si="8"/>
        <v>2023</v>
      </c>
      <c r="Q39" s="188">
        <f t="shared" si="8"/>
        <v>2024</v>
      </c>
      <c r="R39" s="188">
        <f>T4</f>
        <v>2025</v>
      </c>
      <c r="S39" s="188">
        <f t="shared" ref="S39" si="9">U4</f>
        <v>2026</v>
      </c>
      <c r="T39" s="188">
        <f t="shared" ref="T39" si="10">V4</f>
        <v>2027</v>
      </c>
      <c r="U39" s="188">
        <f t="shared" ref="U39" si="11">W4</f>
        <v>2028</v>
      </c>
      <c r="V39" s="188">
        <f t="shared" ref="V39" si="12">X4</f>
        <v>2029</v>
      </c>
      <c r="W39" s="188">
        <f t="shared" ref="W39" si="13">Y4</f>
        <v>2030</v>
      </c>
      <c r="X39" s="107"/>
    </row>
    <row r="40" spans="1:25" x14ac:dyDescent="0.25">
      <c r="B40" s="16" t="s">
        <v>193</v>
      </c>
      <c r="C40" s="1">
        <f t="shared" ref="C40:L41" si="14">E6</f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33000000</v>
      </c>
      <c r="K40" s="1">
        <f t="shared" si="14"/>
        <v>64484999.999999993</v>
      </c>
      <c r="L40" s="1">
        <f t="shared" si="14"/>
        <v>26700000</v>
      </c>
      <c r="M40" s="1">
        <f t="shared" ref="M40:V41" si="15">O6</f>
        <v>62730000</v>
      </c>
      <c r="N40" s="1">
        <f t="shared" si="15"/>
        <v>95820000</v>
      </c>
      <c r="O40" s="1">
        <f t="shared" si="15"/>
        <v>26016000</v>
      </c>
      <c r="P40" s="1">
        <f t="shared" si="15"/>
        <v>0</v>
      </c>
      <c r="Q40" s="1">
        <f t="shared" si="15"/>
        <v>0</v>
      </c>
      <c r="R40" s="1">
        <f t="shared" si="15"/>
        <v>35100000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ref="W40:W41" si="16">Y6</f>
        <v>0</v>
      </c>
      <c r="X40" s="107"/>
    </row>
    <row r="41" spans="1:25" x14ac:dyDescent="0.25">
      <c r="B41" s="16"/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95242.223999999987</v>
      </c>
      <c r="K41" s="1">
        <f t="shared" si="14"/>
        <v>186111.96407999998</v>
      </c>
      <c r="L41" s="1">
        <f t="shared" si="14"/>
        <v>77059.617599999983</v>
      </c>
      <c r="M41" s="1">
        <f t="shared" si="15"/>
        <v>181046.80943999995</v>
      </c>
      <c r="N41" s="1">
        <f t="shared" si="15"/>
        <v>276548.78495999996</v>
      </c>
      <c r="O41" s="1">
        <f t="shared" si="15"/>
        <v>75085.506047999981</v>
      </c>
      <c r="P41" s="1">
        <f t="shared" si="15"/>
        <v>0</v>
      </c>
      <c r="Q41" s="1">
        <f t="shared" si="15"/>
        <v>0</v>
      </c>
      <c r="R41" s="1">
        <f t="shared" si="15"/>
        <v>101303.09279999997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6"/>
        <v>0</v>
      </c>
      <c r="X41" s="107"/>
    </row>
    <row r="42" spans="1:25" x14ac:dyDescent="0.25">
      <c r="B42" s="16" t="s">
        <v>191</v>
      </c>
      <c r="C42" s="1">
        <f t="shared" ref="C42:L43" si="17">E9</f>
        <v>0</v>
      </c>
      <c r="D42" s="1">
        <f t="shared" si="17"/>
        <v>0</v>
      </c>
      <c r="E42" s="1">
        <f t="shared" si="17"/>
        <v>0</v>
      </c>
      <c r="F42" s="1">
        <f t="shared" si="17"/>
        <v>0</v>
      </c>
      <c r="G42" s="1">
        <f t="shared" si="17"/>
        <v>0</v>
      </c>
      <c r="H42" s="1">
        <f t="shared" si="17"/>
        <v>0</v>
      </c>
      <c r="I42" s="1">
        <f t="shared" si="17"/>
        <v>0</v>
      </c>
      <c r="J42" s="1">
        <f t="shared" si="17"/>
        <v>0</v>
      </c>
      <c r="K42" s="1">
        <f t="shared" si="17"/>
        <v>0</v>
      </c>
      <c r="L42" s="1">
        <f t="shared" si="17"/>
        <v>75000000</v>
      </c>
      <c r="M42" s="1">
        <f t="shared" ref="M42:V43" si="18">O9</f>
        <v>75000000</v>
      </c>
      <c r="N42" s="1">
        <f t="shared" si="18"/>
        <v>75000000</v>
      </c>
      <c r="O42" s="1">
        <f t="shared" si="18"/>
        <v>75000000</v>
      </c>
      <c r="P42" s="1">
        <f t="shared" si="18"/>
        <v>75000000</v>
      </c>
      <c r="Q42" s="1">
        <f t="shared" si="18"/>
        <v>75000000</v>
      </c>
      <c r="R42" s="1">
        <f t="shared" si="18"/>
        <v>75000000</v>
      </c>
      <c r="S42" s="1">
        <f t="shared" si="18"/>
        <v>75000000</v>
      </c>
      <c r="T42" s="1">
        <f t="shared" si="18"/>
        <v>75000000</v>
      </c>
      <c r="U42" s="1">
        <f t="shared" si="18"/>
        <v>75000000</v>
      </c>
      <c r="V42" s="1">
        <f t="shared" si="18"/>
        <v>75000000</v>
      </c>
      <c r="W42" s="1">
        <f t="shared" ref="W42:W43" si="19">Y9</f>
        <v>150000000</v>
      </c>
      <c r="X42" s="107"/>
    </row>
    <row r="43" spans="1:25" x14ac:dyDescent="0.25">
      <c r="B43" s="16"/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42</v>
      </c>
      <c r="M43" s="1">
        <f t="shared" si="18"/>
        <v>42</v>
      </c>
      <c r="N43" s="1">
        <f t="shared" si="18"/>
        <v>42</v>
      </c>
      <c r="O43" s="1">
        <f t="shared" si="18"/>
        <v>42</v>
      </c>
      <c r="P43" s="1">
        <f t="shared" si="18"/>
        <v>42</v>
      </c>
      <c r="Q43" s="1">
        <f t="shared" si="18"/>
        <v>42</v>
      </c>
      <c r="R43" s="1">
        <f t="shared" si="18"/>
        <v>42</v>
      </c>
      <c r="S43" s="1">
        <f t="shared" si="18"/>
        <v>42</v>
      </c>
      <c r="T43" s="1">
        <f t="shared" si="18"/>
        <v>42</v>
      </c>
      <c r="U43" s="1">
        <f t="shared" si="18"/>
        <v>42</v>
      </c>
      <c r="V43" s="1">
        <f t="shared" si="18"/>
        <v>42</v>
      </c>
      <c r="W43" s="1">
        <f t="shared" si="19"/>
        <v>84</v>
      </c>
      <c r="X43" s="107"/>
    </row>
    <row r="44" spans="1:25" x14ac:dyDescent="0.25">
      <c r="B44" s="16" t="s">
        <v>192</v>
      </c>
      <c r="C44" s="1">
        <f t="shared" ref="C44:L45" si="20">E12</f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75000000</v>
      </c>
      <c r="M44" s="1">
        <f t="shared" ref="M44:V45" si="21">O12</f>
        <v>75000000</v>
      </c>
      <c r="N44" s="1">
        <f t="shared" si="21"/>
        <v>75000000</v>
      </c>
      <c r="O44" s="1">
        <f t="shared" si="21"/>
        <v>75000000</v>
      </c>
      <c r="P44" s="1">
        <f t="shared" si="21"/>
        <v>75000000</v>
      </c>
      <c r="Q44" s="1">
        <f t="shared" si="21"/>
        <v>75000000</v>
      </c>
      <c r="R44" s="1">
        <f t="shared" si="21"/>
        <v>75000000</v>
      </c>
      <c r="S44" s="1">
        <f t="shared" si="21"/>
        <v>75000000</v>
      </c>
      <c r="T44" s="1">
        <f t="shared" si="21"/>
        <v>75000000</v>
      </c>
      <c r="U44" s="1">
        <f t="shared" si="21"/>
        <v>75000000</v>
      </c>
      <c r="V44" s="1">
        <f t="shared" si="21"/>
        <v>75000000</v>
      </c>
      <c r="W44" s="1">
        <f t="shared" ref="W44:W45" si="22">Y12</f>
        <v>150000000</v>
      </c>
      <c r="X44" s="107"/>
    </row>
    <row r="45" spans="1:25" x14ac:dyDescent="0.25">
      <c r="B45" s="16"/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216459.59999999998</v>
      </c>
      <c r="M45" s="1">
        <f t="shared" si="21"/>
        <v>216459.59999999998</v>
      </c>
      <c r="N45" s="1">
        <f t="shared" si="21"/>
        <v>216459.59999999998</v>
      </c>
      <c r="O45" s="1">
        <f t="shared" si="21"/>
        <v>216459.59999999998</v>
      </c>
      <c r="P45" s="1">
        <f t="shared" si="21"/>
        <v>216459.59999999998</v>
      </c>
      <c r="Q45" s="1">
        <f t="shared" si="21"/>
        <v>216459.59999999998</v>
      </c>
      <c r="R45" s="1">
        <f t="shared" si="21"/>
        <v>216459.59999999998</v>
      </c>
      <c r="S45" s="1">
        <f t="shared" si="21"/>
        <v>216459.59999999998</v>
      </c>
      <c r="T45" s="1">
        <f t="shared" si="21"/>
        <v>216459.59999999998</v>
      </c>
      <c r="U45" s="1">
        <f t="shared" si="21"/>
        <v>216459.59999999998</v>
      </c>
      <c r="V45" s="1">
        <f t="shared" si="21"/>
        <v>216459.59999999998</v>
      </c>
      <c r="W45" s="1">
        <f t="shared" si="22"/>
        <v>432919.19999999995</v>
      </c>
      <c r="X45" s="107"/>
    </row>
    <row r="46" spans="1:25" x14ac:dyDescent="0.25">
      <c r="B46" s="16" t="s">
        <v>186</v>
      </c>
      <c r="C46" s="1">
        <f t="shared" ref="C46:L47" si="23">E15</f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ref="M46:V47" si="24">O15</f>
        <v>0</v>
      </c>
      <c r="N46" s="1">
        <f t="shared" si="24"/>
        <v>0</v>
      </c>
      <c r="O46" s="1">
        <f t="shared" si="24"/>
        <v>0</v>
      </c>
      <c r="P46" s="1">
        <f t="shared" si="24"/>
        <v>0</v>
      </c>
      <c r="Q46" s="1">
        <f t="shared" si="24"/>
        <v>0</v>
      </c>
      <c r="R46" s="1">
        <f t="shared" si="24"/>
        <v>600000000</v>
      </c>
      <c r="S46" s="1">
        <f t="shared" si="24"/>
        <v>600000000</v>
      </c>
      <c r="T46" s="1">
        <f t="shared" si="24"/>
        <v>600000000</v>
      </c>
      <c r="U46" s="1">
        <f t="shared" si="24"/>
        <v>600000000</v>
      </c>
      <c r="V46" s="1">
        <f t="shared" si="24"/>
        <v>600000000</v>
      </c>
      <c r="W46" s="1">
        <f t="shared" ref="W46:W47" si="25">Y15</f>
        <v>1050000000</v>
      </c>
      <c r="X46" s="107"/>
    </row>
    <row r="47" spans="1:25" x14ac:dyDescent="0.25">
      <c r="B47" s="16"/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4"/>
        <v>0</v>
      </c>
      <c r="N47" s="1">
        <f t="shared" si="24"/>
        <v>0</v>
      </c>
      <c r="O47" s="1">
        <f t="shared" si="24"/>
        <v>0</v>
      </c>
      <c r="P47" s="1">
        <f t="shared" si="24"/>
        <v>0</v>
      </c>
      <c r="Q47" s="1">
        <f t="shared" si="24"/>
        <v>0</v>
      </c>
      <c r="R47" s="1">
        <f t="shared" si="24"/>
        <v>336</v>
      </c>
      <c r="S47" s="1">
        <f t="shared" si="24"/>
        <v>336</v>
      </c>
      <c r="T47" s="1">
        <f t="shared" si="24"/>
        <v>336</v>
      </c>
      <c r="U47" s="1">
        <f t="shared" si="24"/>
        <v>336</v>
      </c>
      <c r="V47" s="1">
        <f t="shared" si="24"/>
        <v>336</v>
      </c>
      <c r="W47" s="1">
        <f t="shared" si="25"/>
        <v>558</v>
      </c>
      <c r="X47" s="107"/>
    </row>
    <row r="48" spans="1:25" x14ac:dyDescent="0.25">
      <c r="B48" s="16" t="s">
        <v>195</v>
      </c>
      <c r="C48" s="1">
        <f t="shared" ref="C48:L49" si="26">E18</f>
        <v>0</v>
      </c>
      <c r="D48" s="1">
        <f t="shared" si="26"/>
        <v>0</v>
      </c>
      <c r="E48" s="1">
        <f t="shared" si="26"/>
        <v>0</v>
      </c>
      <c r="F48" s="1">
        <f t="shared" si="26"/>
        <v>0</v>
      </c>
      <c r="G48" s="1">
        <f t="shared" si="26"/>
        <v>0</v>
      </c>
      <c r="H48" s="1">
        <f t="shared" si="26"/>
        <v>0</v>
      </c>
      <c r="I48" s="1">
        <f t="shared" si="26"/>
        <v>0</v>
      </c>
      <c r="J48" s="1">
        <f t="shared" si="26"/>
        <v>0</v>
      </c>
      <c r="K48" s="1">
        <f t="shared" si="26"/>
        <v>0</v>
      </c>
      <c r="L48" s="1">
        <f t="shared" si="26"/>
        <v>0</v>
      </c>
      <c r="M48" s="1">
        <f t="shared" ref="M48:V49" si="27">O18</f>
        <v>0</v>
      </c>
      <c r="N48" s="1">
        <f t="shared" si="27"/>
        <v>0</v>
      </c>
      <c r="O48" s="1">
        <f t="shared" si="27"/>
        <v>0</v>
      </c>
      <c r="P48" s="1">
        <f t="shared" si="27"/>
        <v>0</v>
      </c>
      <c r="Q48" s="1">
        <f t="shared" si="27"/>
        <v>0</v>
      </c>
      <c r="R48" s="1">
        <f t="shared" si="27"/>
        <v>120000000</v>
      </c>
      <c r="S48" s="1">
        <f t="shared" si="27"/>
        <v>1200000000</v>
      </c>
      <c r="T48" s="1">
        <f t="shared" si="27"/>
        <v>1200000000</v>
      </c>
      <c r="U48" s="1">
        <f t="shared" si="27"/>
        <v>1200000000</v>
      </c>
      <c r="V48" s="1">
        <f t="shared" si="27"/>
        <v>1200000000</v>
      </c>
      <c r="W48" s="1">
        <f t="shared" ref="W48:W49" si="28">Y18</f>
        <v>2250000000</v>
      </c>
      <c r="X48" s="107"/>
    </row>
    <row r="49" spans="2:24" x14ac:dyDescent="0.25">
      <c r="B49" s="16"/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0</v>
      </c>
      <c r="J49" s="1">
        <f t="shared" si="26"/>
        <v>0</v>
      </c>
      <c r="K49" s="1">
        <f t="shared" si="26"/>
        <v>0</v>
      </c>
      <c r="L49" s="1">
        <f t="shared" si="26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672</v>
      </c>
      <c r="S49" s="1">
        <f t="shared" si="27"/>
        <v>672</v>
      </c>
      <c r="T49" s="1">
        <f t="shared" si="27"/>
        <v>672</v>
      </c>
      <c r="U49" s="1">
        <f t="shared" si="27"/>
        <v>672</v>
      </c>
      <c r="V49" s="1">
        <f t="shared" si="27"/>
        <v>672</v>
      </c>
      <c r="W49" s="1">
        <f t="shared" si="28"/>
        <v>1260</v>
      </c>
      <c r="X49" s="107"/>
    </row>
    <row r="50" spans="2:24" x14ac:dyDescent="0.25">
      <c r="B50" s="16" t="s">
        <v>196</v>
      </c>
      <c r="C50" s="1">
        <f t="shared" ref="C50:L51" si="29">E21</f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ref="M50:V51" si="30">O21</f>
        <v>0</v>
      </c>
      <c r="N50" s="1">
        <f t="shared" si="30"/>
        <v>0</v>
      </c>
      <c r="O50" s="1">
        <f t="shared" si="30"/>
        <v>0</v>
      </c>
      <c r="P50" s="1">
        <f t="shared" si="30"/>
        <v>0</v>
      </c>
      <c r="Q50" s="1">
        <f t="shared" si="30"/>
        <v>0</v>
      </c>
      <c r="R50" s="1">
        <f t="shared" si="30"/>
        <v>1500000000</v>
      </c>
      <c r="S50" s="1">
        <f t="shared" si="30"/>
        <v>1500000000</v>
      </c>
      <c r="T50" s="1">
        <f t="shared" si="30"/>
        <v>1500000000</v>
      </c>
      <c r="U50" s="1">
        <f t="shared" si="30"/>
        <v>1500000000</v>
      </c>
      <c r="V50" s="1">
        <f t="shared" si="30"/>
        <v>1500000000</v>
      </c>
      <c r="W50" s="1">
        <f t="shared" ref="W50:W51" si="31">Y21</f>
        <v>3000000000</v>
      </c>
      <c r="X50" s="107"/>
    </row>
    <row r="51" spans="2:24" x14ac:dyDescent="0.25">
      <c r="B51" s="16"/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30"/>
        <v>0</v>
      </c>
      <c r="N51" s="1">
        <f t="shared" si="30"/>
        <v>0</v>
      </c>
      <c r="O51" s="1">
        <f t="shared" si="30"/>
        <v>0</v>
      </c>
      <c r="P51" s="1">
        <f t="shared" si="30"/>
        <v>0</v>
      </c>
      <c r="Q51" s="1">
        <f t="shared" si="30"/>
        <v>0</v>
      </c>
      <c r="R51" s="1">
        <f t="shared" si="30"/>
        <v>840</v>
      </c>
      <c r="S51" s="1">
        <f t="shared" si="30"/>
        <v>840</v>
      </c>
      <c r="T51" s="1">
        <f t="shared" si="30"/>
        <v>840</v>
      </c>
      <c r="U51" s="1">
        <f t="shared" si="30"/>
        <v>840</v>
      </c>
      <c r="V51" s="1">
        <f t="shared" si="30"/>
        <v>840</v>
      </c>
      <c r="W51" s="1">
        <f t="shared" si="31"/>
        <v>1680</v>
      </c>
      <c r="X51" s="107"/>
    </row>
    <row r="52" spans="2:24" x14ac:dyDescent="0.25">
      <c r="B52" s="16" t="s">
        <v>197</v>
      </c>
      <c r="C52" s="1">
        <f t="shared" ref="C52:L53" si="32">E24</f>
        <v>0</v>
      </c>
      <c r="D52" s="1">
        <f t="shared" si="32"/>
        <v>0</v>
      </c>
      <c r="E52" s="1">
        <f t="shared" si="32"/>
        <v>0</v>
      </c>
      <c r="F52" s="1">
        <f t="shared" si="32"/>
        <v>0</v>
      </c>
      <c r="G52" s="1">
        <f t="shared" si="32"/>
        <v>0</v>
      </c>
      <c r="H52" s="1">
        <f t="shared" si="32"/>
        <v>0</v>
      </c>
      <c r="I52" s="1">
        <f t="shared" si="32"/>
        <v>0</v>
      </c>
      <c r="J52" s="1">
        <f t="shared" si="32"/>
        <v>0</v>
      </c>
      <c r="K52" s="1">
        <f t="shared" si="32"/>
        <v>0</v>
      </c>
      <c r="L52" s="1">
        <f t="shared" si="32"/>
        <v>0</v>
      </c>
      <c r="M52" s="1">
        <f t="shared" ref="M52:V53" si="33">O24</f>
        <v>0</v>
      </c>
      <c r="N52" s="1">
        <f t="shared" si="33"/>
        <v>780000000</v>
      </c>
      <c r="O52" s="1">
        <f t="shared" si="33"/>
        <v>780000000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ref="W52:W53" si="34">Y24</f>
        <v>0</v>
      </c>
      <c r="X52" s="107"/>
    </row>
    <row r="53" spans="2:24" x14ac:dyDescent="0.25">
      <c r="B53" s="16"/>
      <c r="C53" s="1">
        <f t="shared" si="32"/>
        <v>0</v>
      </c>
      <c r="D53" s="1">
        <f t="shared" si="32"/>
        <v>0</v>
      </c>
      <c r="E53" s="1">
        <f t="shared" si="32"/>
        <v>0</v>
      </c>
      <c r="F53" s="1">
        <f t="shared" si="32"/>
        <v>0</v>
      </c>
      <c r="G53" s="1">
        <f t="shared" si="32"/>
        <v>0</v>
      </c>
      <c r="H53" s="1">
        <f t="shared" si="32"/>
        <v>0</v>
      </c>
      <c r="I53" s="1">
        <f t="shared" si="32"/>
        <v>0</v>
      </c>
      <c r="J53" s="1">
        <f t="shared" si="32"/>
        <v>0</v>
      </c>
      <c r="K53" s="1">
        <f t="shared" si="32"/>
        <v>0</v>
      </c>
      <c r="L53" s="1">
        <f t="shared" si="32"/>
        <v>0</v>
      </c>
      <c r="M53" s="1">
        <f t="shared" si="33"/>
        <v>0</v>
      </c>
      <c r="N53" s="1">
        <f t="shared" si="33"/>
        <v>2678457.5999999996</v>
      </c>
      <c r="O53" s="1">
        <f t="shared" si="33"/>
        <v>2678457.5999999996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4"/>
        <v>0</v>
      </c>
      <c r="X53" s="107"/>
    </row>
    <row r="54" spans="2:24" x14ac:dyDescent="0.25">
      <c r="B54" s="16" t="s">
        <v>194</v>
      </c>
      <c r="C54" s="1">
        <f t="shared" ref="C54:L55" si="35">E27</f>
        <v>0</v>
      </c>
      <c r="D54" s="1">
        <f t="shared" si="35"/>
        <v>0</v>
      </c>
      <c r="E54" s="1">
        <f t="shared" si="35"/>
        <v>0</v>
      </c>
      <c r="F54" s="1">
        <f t="shared" si="35"/>
        <v>0</v>
      </c>
      <c r="G54" s="1">
        <f t="shared" si="35"/>
        <v>0</v>
      </c>
      <c r="H54" s="1">
        <f t="shared" si="35"/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ref="M54:V55" si="36">O27</f>
        <v>0</v>
      </c>
      <c r="N54" s="1">
        <f t="shared" si="36"/>
        <v>0</v>
      </c>
      <c r="O54" s="1">
        <f t="shared" si="36"/>
        <v>0</v>
      </c>
      <c r="P54" s="1">
        <f t="shared" si="36"/>
        <v>0</v>
      </c>
      <c r="Q54" s="1">
        <f t="shared" si="36"/>
        <v>0</v>
      </c>
      <c r="R54" s="1">
        <f t="shared" si="36"/>
        <v>300000000</v>
      </c>
      <c r="S54" s="1">
        <f t="shared" si="36"/>
        <v>300000000</v>
      </c>
      <c r="T54" s="1">
        <f t="shared" si="36"/>
        <v>300000000</v>
      </c>
      <c r="U54" s="1">
        <f t="shared" si="36"/>
        <v>300000000</v>
      </c>
      <c r="V54" s="1">
        <f t="shared" si="36"/>
        <v>300000000</v>
      </c>
      <c r="W54" s="1">
        <f t="shared" ref="W54:W55" si="37">Y27</f>
        <v>750000000</v>
      </c>
      <c r="X54" s="107"/>
    </row>
    <row r="55" spans="2:24" x14ac:dyDescent="0.25">
      <c r="B55" s="16"/>
      <c r="C55" s="1">
        <f t="shared" si="35"/>
        <v>0</v>
      </c>
      <c r="D55" s="1">
        <f t="shared" si="35"/>
        <v>0</v>
      </c>
      <c r="E55" s="1">
        <f t="shared" si="35"/>
        <v>0</v>
      </c>
      <c r="F55" s="1">
        <f t="shared" si="35"/>
        <v>0</v>
      </c>
      <c r="G55" s="1">
        <f t="shared" si="35"/>
        <v>0</v>
      </c>
      <c r="H55" s="1">
        <f t="shared" si="35"/>
        <v>0</v>
      </c>
      <c r="I55" s="1">
        <f t="shared" si="35"/>
        <v>0</v>
      </c>
      <c r="J55" s="1">
        <f t="shared" si="35"/>
        <v>0</v>
      </c>
      <c r="K55" s="1">
        <f t="shared" si="35"/>
        <v>0</v>
      </c>
      <c r="L55" s="1">
        <f t="shared" si="35"/>
        <v>0</v>
      </c>
      <c r="M55" s="1">
        <f t="shared" si="36"/>
        <v>0</v>
      </c>
      <c r="N55" s="1">
        <f t="shared" si="36"/>
        <v>0</v>
      </c>
      <c r="O55" s="1">
        <f t="shared" si="36"/>
        <v>0</v>
      </c>
      <c r="P55" s="1">
        <f t="shared" si="36"/>
        <v>0</v>
      </c>
      <c r="Q55" s="1">
        <f t="shared" si="36"/>
        <v>0</v>
      </c>
      <c r="R55" s="1">
        <f t="shared" si="36"/>
        <v>168</v>
      </c>
      <c r="S55" s="1">
        <f t="shared" si="36"/>
        <v>168</v>
      </c>
      <c r="T55" s="1">
        <f t="shared" si="36"/>
        <v>168</v>
      </c>
      <c r="U55" s="1">
        <f t="shared" si="36"/>
        <v>168</v>
      </c>
      <c r="V55" s="1">
        <f t="shared" si="36"/>
        <v>168</v>
      </c>
      <c r="W55" s="1">
        <f t="shared" si="37"/>
        <v>420</v>
      </c>
      <c r="X55" s="107"/>
    </row>
    <row r="56" spans="2:24" x14ac:dyDescent="0.25">
      <c r="B56" s="16" t="s">
        <v>187</v>
      </c>
      <c r="C56" s="1">
        <f t="shared" ref="C56:L57" si="38">E30</f>
        <v>0</v>
      </c>
      <c r="D56" s="1">
        <f t="shared" si="38"/>
        <v>0</v>
      </c>
      <c r="E56" s="1">
        <f t="shared" si="38"/>
        <v>0</v>
      </c>
      <c r="F56" s="1">
        <f t="shared" si="38"/>
        <v>0</v>
      </c>
      <c r="G56" s="1">
        <f t="shared" si="38"/>
        <v>0</v>
      </c>
      <c r="H56" s="1">
        <f t="shared" si="38"/>
        <v>0</v>
      </c>
      <c r="I56" s="1">
        <f t="shared" si="38"/>
        <v>0</v>
      </c>
      <c r="J56" s="1">
        <f t="shared" si="38"/>
        <v>0</v>
      </c>
      <c r="K56" s="1">
        <f t="shared" si="38"/>
        <v>0</v>
      </c>
      <c r="L56" s="1">
        <f t="shared" si="38"/>
        <v>15000000</v>
      </c>
      <c r="M56" s="1">
        <f t="shared" ref="M56:V57" si="39">O30</f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ref="W56:W57" si="40">Y30</f>
        <v>0</v>
      </c>
      <c r="X56" s="107"/>
    </row>
    <row r="57" spans="2:24" x14ac:dyDescent="0.25">
      <c r="B57" s="16"/>
      <c r="C57" s="1">
        <f t="shared" si="38"/>
        <v>0</v>
      </c>
      <c r="D57" s="1">
        <f t="shared" si="38"/>
        <v>0</v>
      </c>
      <c r="E57" s="1">
        <f t="shared" si="38"/>
        <v>0</v>
      </c>
      <c r="F57" s="1">
        <f t="shared" si="38"/>
        <v>0</v>
      </c>
      <c r="G57" s="1">
        <f t="shared" si="38"/>
        <v>0</v>
      </c>
      <c r="H57" s="1">
        <f t="shared" si="38"/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51508.799999999988</v>
      </c>
      <c r="M57" s="1">
        <f t="shared" si="39"/>
        <v>0</v>
      </c>
      <c r="N57" s="1">
        <f t="shared" si="39"/>
        <v>0</v>
      </c>
      <c r="O57" s="1">
        <f t="shared" si="39"/>
        <v>0</v>
      </c>
      <c r="P57" s="1">
        <f t="shared" si="39"/>
        <v>0</v>
      </c>
      <c r="Q57" s="1">
        <f t="shared" si="39"/>
        <v>0</v>
      </c>
      <c r="R57" s="1">
        <f t="shared" si="39"/>
        <v>0</v>
      </c>
      <c r="S57" s="1">
        <f t="shared" si="39"/>
        <v>0</v>
      </c>
      <c r="T57" s="1">
        <f t="shared" si="39"/>
        <v>0</v>
      </c>
      <c r="U57" s="1">
        <f t="shared" si="39"/>
        <v>0</v>
      </c>
      <c r="V57" s="1">
        <f t="shared" si="39"/>
        <v>0</v>
      </c>
      <c r="W57" s="1">
        <f t="shared" si="40"/>
        <v>0</v>
      </c>
      <c r="X57" s="107"/>
    </row>
    <row r="58" spans="2:24" x14ac:dyDescent="0.25">
      <c r="B58" s="16" t="s">
        <v>8</v>
      </c>
      <c r="C58" s="1">
        <f t="shared" ref="C58:L59" si="41">E33</f>
        <v>0</v>
      </c>
      <c r="D58" s="1">
        <f t="shared" si="41"/>
        <v>0</v>
      </c>
      <c r="E58" s="1">
        <f t="shared" si="41"/>
        <v>0</v>
      </c>
      <c r="F58" s="1">
        <f t="shared" si="41"/>
        <v>0</v>
      </c>
      <c r="G58" s="1">
        <f t="shared" si="41"/>
        <v>0</v>
      </c>
      <c r="H58" s="1">
        <f t="shared" si="41"/>
        <v>0</v>
      </c>
      <c r="I58" s="1">
        <f t="shared" si="41"/>
        <v>2640000</v>
      </c>
      <c r="J58" s="1">
        <f t="shared" si="41"/>
        <v>2640000</v>
      </c>
      <c r="K58" s="1">
        <f t="shared" si="41"/>
        <v>2640000</v>
      </c>
      <c r="L58" s="1">
        <f t="shared" si="41"/>
        <v>2640000</v>
      </c>
      <c r="M58" s="1">
        <f t="shared" ref="M58:V59" si="42">O33</f>
        <v>2640000</v>
      </c>
      <c r="N58" s="1">
        <f t="shared" si="42"/>
        <v>2760000</v>
      </c>
      <c r="O58" s="1">
        <f t="shared" si="42"/>
        <v>2760000</v>
      </c>
      <c r="P58" s="1">
        <f t="shared" si="42"/>
        <v>2760000</v>
      </c>
      <c r="Q58" s="1">
        <f t="shared" si="42"/>
        <v>2760000</v>
      </c>
      <c r="R58" s="1">
        <f t="shared" si="42"/>
        <v>2760000</v>
      </c>
      <c r="S58" s="1">
        <f t="shared" si="42"/>
        <v>2760000</v>
      </c>
      <c r="T58" s="1">
        <f t="shared" si="42"/>
        <v>2760000</v>
      </c>
      <c r="U58" s="1">
        <f t="shared" si="42"/>
        <v>2760000</v>
      </c>
      <c r="V58" s="1">
        <f t="shared" si="42"/>
        <v>2760000</v>
      </c>
      <c r="W58" s="1">
        <f t="shared" ref="W58:W59" si="43">Y33</f>
        <v>2760000</v>
      </c>
      <c r="X58" s="107"/>
    </row>
    <row r="59" spans="2:24" x14ac:dyDescent="0.25">
      <c r="B59" s="16"/>
      <c r="C59" s="1">
        <f t="shared" si="41"/>
        <v>0</v>
      </c>
      <c r="D59" s="1">
        <f t="shared" si="41"/>
        <v>0</v>
      </c>
      <c r="E59" s="1">
        <f t="shared" si="41"/>
        <v>0</v>
      </c>
      <c r="F59" s="1">
        <f t="shared" si="41"/>
        <v>0</v>
      </c>
      <c r="G59" s="1">
        <f t="shared" si="41"/>
        <v>0</v>
      </c>
      <c r="H59" s="1">
        <f t="shared" si="41"/>
        <v>0</v>
      </c>
      <c r="I59" s="1">
        <f t="shared" si="41"/>
        <v>558.10788000000002</v>
      </c>
      <c r="J59" s="1">
        <f t="shared" si="41"/>
        <v>558.10788000000002</v>
      </c>
      <c r="K59" s="1">
        <f t="shared" si="41"/>
        <v>558.10788000000002</v>
      </c>
      <c r="L59" s="1">
        <f t="shared" si="41"/>
        <v>558.10788000000002</v>
      </c>
      <c r="M59" s="1">
        <f t="shared" si="42"/>
        <v>558.10788000000002</v>
      </c>
      <c r="N59" s="1">
        <f t="shared" si="42"/>
        <v>583.47642000000008</v>
      </c>
      <c r="O59" s="1">
        <f t="shared" si="42"/>
        <v>583.47642000000008</v>
      </c>
      <c r="P59" s="1">
        <f t="shared" si="42"/>
        <v>583.47642000000008</v>
      </c>
      <c r="Q59" s="1">
        <f t="shared" si="42"/>
        <v>583.47642000000008</v>
      </c>
      <c r="R59" s="1">
        <f t="shared" si="42"/>
        <v>583.47642000000008</v>
      </c>
      <c r="S59" s="1">
        <f t="shared" si="42"/>
        <v>583.47642000000008</v>
      </c>
      <c r="T59" s="1">
        <f t="shared" si="42"/>
        <v>583.47642000000008</v>
      </c>
      <c r="U59" s="1">
        <f t="shared" si="42"/>
        <v>583.47642000000008</v>
      </c>
      <c r="V59" s="1">
        <f t="shared" si="42"/>
        <v>583.47642000000008</v>
      </c>
      <c r="W59" s="1">
        <f t="shared" si="43"/>
        <v>583.47642000000008</v>
      </c>
      <c r="X59" s="107"/>
    </row>
    <row r="60" spans="2:24" x14ac:dyDescent="0.25">
      <c r="B60" s="16" t="s">
        <v>182</v>
      </c>
      <c r="C60" s="1">
        <f t="shared" ref="C60:L61" si="44">E36</f>
        <v>0</v>
      </c>
      <c r="D60" s="1">
        <f t="shared" si="44"/>
        <v>1458000</v>
      </c>
      <c r="E60" s="1">
        <f t="shared" si="44"/>
        <v>2916000</v>
      </c>
      <c r="F60" s="1">
        <f t="shared" si="44"/>
        <v>2916000</v>
      </c>
      <c r="G60" s="1">
        <f t="shared" si="44"/>
        <v>2916000</v>
      </c>
      <c r="H60" s="1">
        <f t="shared" si="44"/>
        <v>2916000</v>
      </c>
      <c r="I60" s="1">
        <f t="shared" si="44"/>
        <v>2916000</v>
      </c>
      <c r="J60" s="1">
        <f t="shared" si="44"/>
        <v>2916000</v>
      </c>
      <c r="K60" s="1">
        <f t="shared" si="44"/>
        <v>2916000</v>
      </c>
      <c r="L60" s="1">
        <f t="shared" si="44"/>
        <v>2916000</v>
      </c>
      <c r="M60" s="1">
        <f t="shared" ref="M60:V61" si="45">O36</f>
        <v>2916000</v>
      </c>
      <c r="N60" s="1">
        <f t="shared" si="45"/>
        <v>2916000</v>
      </c>
      <c r="O60" s="1">
        <f t="shared" si="45"/>
        <v>2916000</v>
      </c>
      <c r="P60" s="1">
        <f t="shared" si="45"/>
        <v>2916000</v>
      </c>
      <c r="Q60" s="1">
        <f t="shared" si="45"/>
        <v>2916000</v>
      </c>
      <c r="R60" s="1">
        <f t="shared" si="45"/>
        <v>2916000</v>
      </c>
      <c r="S60" s="1">
        <f t="shared" si="45"/>
        <v>2916000</v>
      </c>
      <c r="T60" s="1">
        <f t="shared" si="45"/>
        <v>2916000</v>
      </c>
      <c r="U60" s="1">
        <f t="shared" si="45"/>
        <v>2916000</v>
      </c>
      <c r="V60" s="1">
        <f t="shared" si="45"/>
        <v>2916000</v>
      </c>
      <c r="W60" s="1">
        <f t="shared" ref="W60:W61" si="46">Y36</f>
        <v>2916000</v>
      </c>
      <c r="X60" s="107"/>
    </row>
    <row r="61" spans="2:24" x14ac:dyDescent="0.25">
      <c r="B61" s="73"/>
      <c r="C61" s="1">
        <f t="shared" si="44"/>
        <v>0</v>
      </c>
      <c r="D61" s="1">
        <f t="shared" si="44"/>
        <v>22.463719999999999</v>
      </c>
      <c r="E61" s="1">
        <f t="shared" si="44"/>
        <v>44.927439999999997</v>
      </c>
      <c r="F61" s="1">
        <f t="shared" si="44"/>
        <v>44.927439999999997</v>
      </c>
      <c r="G61" s="1">
        <f t="shared" si="44"/>
        <v>44.927439999999997</v>
      </c>
      <c r="H61" s="1">
        <f t="shared" si="44"/>
        <v>44.927439999999997</v>
      </c>
      <c r="I61" s="1">
        <f t="shared" si="44"/>
        <v>44.927439999999997</v>
      </c>
      <c r="J61" s="1">
        <f t="shared" si="44"/>
        <v>44.927439999999997</v>
      </c>
      <c r="K61" s="1">
        <f t="shared" si="44"/>
        <v>44.927439999999997</v>
      </c>
      <c r="L61" s="1">
        <f t="shared" si="44"/>
        <v>44.927439999999997</v>
      </c>
      <c r="M61" s="1">
        <f t="shared" si="45"/>
        <v>44.927439999999997</v>
      </c>
      <c r="N61" s="1">
        <f t="shared" si="45"/>
        <v>44.927439999999997</v>
      </c>
      <c r="O61" s="1">
        <f t="shared" si="45"/>
        <v>44.927439999999997</v>
      </c>
      <c r="P61" s="1">
        <f t="shared" si="45"/>
        <v>44.927439999999997</v>
      </c>
      <c r="Q61" s="1">
        <f t="shared" si="45"/>
        <v>44.927439999999997</v>
      </c>
      <c r="R61" s="1">
        <f t="shared" si="45"/>
        <v>44.927439999999997</v>
      </c>
      <c r="S61" s="1">
        <f t="shared" si="45"/>
        <v>44.927439999999997</v>
      </c>
      <c r="T61" s="1">
        <f t="shared" si="45"/>
        <v>44.927439999999997</v>
      </c>
      <c r="U61" s="1">
        <f t="shared" si="45"/>
        <v>44.927439999999997</v>
      </c>
      <c r="V61" s="1">
        <f t="shared" si="45"/>
        <v>44.927439999999997</v>
      </c>
      <c r="W61" s="1">
        <f t="shared" si="46"/>
        <v>44.927439999999997</v>
      </c>
      <c r="X61" s="107"/>
    </row>
    <row r="64" spans="2:24" x14ac:dyDescent="0.25">
      <c r="C64" s="91">
        <v>2010</v>
      </c>
      <c r="D64" s="91">
        <v>2011</v>
      </c>
      <c r="E64" s="91">
        <v>2012</v>
      </c>
      <c r="F64" s="91">
        <v>2013</v>
      </c>
      <c r="G64" s="91">
        <v>2014</v>
      </c>
      <c r="H64" s="91">
        <v>2015</v>
      </c>
      <c r="I64" s="91">
        <v>2016</v>
      </c>
      <c r="J64" s="91">
        <v>2017</v>
      </c>
      <c r="K64" s="91">
        <v>2018</v>
      </c>
      <c r="L64" s="91">
        <v>2019</v>
      </c>
      <c r="M64" s="91">
        <v>2020</v>
      </c>
      <c r="N64" s="91">
        <v>2021</v>
      </c>
      <c r="O64" s="91">
        <v>2022</v>
      </c>
      <c r="P64" s="91">
        <v>2023</v>
      </c>
      <c r="Q64" s="91">
        <v>2024</v>
      </c>
      <c r="R64" s="91">
        <v>2025</v>
      </c>
      <c r="S64" s="91">
        <v>2026</v>
      </c>
      <c r="T64" s="91">
        <v>2027</v>
      </c>
      <c r="U64" s="91">
        <v>2028</v>
      </c>
      <c r="V64" s="91">
        <v>2029</v>
      </c>
      <c r="W64" s="91">
        <v>2030</v>
      </c>
    </row>
    <row r="65" spans="2:23" x14ac:dyDescent="0.25">
      <c r="B65" s="91" t="s">
        <v>193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33000000</v>
      </c>
      <c r="K65" s="91">
        <v>64484999.999999993</v>
      </c>
      <c r="L65" s="91">
        <v>26700000</v>
      </c>
      <c r="M65" s="91">
        <v>62730000</v>
      </c>
      <c r="N65" s="91">
        <v>95820000</v>
      </c>
      <c r="O65" s="91">
        <v>26016000</v>
      </c>
      <c r="P65" s="91">
        <v>0</v>
      </c>
      <c r="Q65" s="91">
        <v>0</v>
      </c>
      <c r="R65" s="91">
        <v>35100000</v>
      </c>
      <c r="S65" s="91">
        <v>0</v>
      </c>
      <c r="T65" s="91">
        <v>0</v>
      </c>
      <c r="U65" s="91">
        <v>0</v>
      </c>
      <c r="V65" s="91">
        <v>0</v>
      </c>
      <c r="W65" s="91">
        <v>0</v>
      </c>
    </row>
    <row r="66" spans="2:23" x14ac:dyDescent="0.25"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95242.223999999987</v>
      </c>
      <c r="K66" s="91">
        <v>186111.96407999998</v>
      </c>
      <c r="L66" s="91">
        <v>77059.617599999983</v>
      </c>
      <c r="M66" s="91">
        <v>181046.80943999995</v>
      </c>
      <c r="N66" s="91">
        <v>276548.78495999996</v>
      </c>
      <c r="O66" s="91">
        <v>75085.506047999981</v>
      </c>
      <c r="P66" s="91">
        <v>0</v>
      </c>
      <c r="Q66" s="91">
        <v>0</v>
      </c>
      <c r="R66" s="91">
        <v>101303.09279999997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</row>
    <row r="67" spans="2:23" x14ac:dyDescent="0.25">
      <c r="B67" s="91" t="s">
        <v>191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75000000</v>
      </c>
      <c r="M67" s="91">
        <v>75000000</v>
      </c>
      <c r="N67" s="91">
        <v>75000000</v>
      </c>
      <c r="O67" s="91">
        <v>75000000</v>
      </c>
      <c r="P67" s="91">
        <v>75000000</v>
      </c>
      <c r="Q67" s="91">
        <v>75000000</v>
      </c>
      <c r="R67" s="91">
        <v>75000000</v>
      </c>
      <c r="S67" s="91">
        <v>75000000</v>
      </c>
      <c r="T67" s="91">
        <v>75000000</v>
      </c>
      <c r="U67" s="91">
        <v>75000000</v>
      </c>
      <c r="V67" s="91">
        <v>75000000</v>
      </c>
      <c r="W67" s="91">
        <v>150000000</v>
      </c>
    </row>
    <row r="68" spans="2:23" x14ac:dyDescent="0.25"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42</v>
      </c>
      <c r="M68" s="91">
        <v>42</v>
      </c>
      <c r="N68" s="91">
        <v>42</v>
      </c>
      <c r="O68" s="91">
        <v>42</v>
      </c>
      <c r="P68" s="91">
        <v>42</v>
      </c>
      <c r="Q68" s="91">
        <v>42</v>
      </c>
      <c r="R68" s="91">
        <v>42</v>
      </c>
      <c r="S68" s="91">
        <v>42</v>
      </c>
      <c r="T68" s="91">
        <v>42</v>
      </c>
      <c r="U68" s="91">
        <v>42</v>
      </c>
      <c r="V68" s="91">
        <v>42</v>
      </c>
      <c r="W68" s="91">
        <v>84</v>
      </c>
    </row>
    <row r="69" spans="2:23" x14ac:dyDescent="0.25">
      <c r="B69" s="91" t="s">
        <v>192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75000000</v>
      </c>
      <c r="M69" s="91">
        <v>75000000</v>
      </c>
      <c r="N69" s="91">
        <v>75000000</v>
      </c>
      <c r="O69" s="91">
        <v>75000000</v>
      </c>
      <c r="P69" s="91">
        <v>75000000</v>
      </c>
      <c r="Q69" s="91">
        <v>75000000</v>
      </c>
      <c r="R69" s="91">
        <v>75000000</v>
      </c>
      <c r="S69" s="91">
        <v>75000000</v>
      </c>
      <c r="T69" s="91">
        <v>75000000</v>
      </c>
      <c r="U69" s="91">
        <v>75000000</v>
      </c>
      <c r="V69" s="91">
        <v>75000000</v>
      </c>
      <c r="W69" s="91">
        <v>150000000</v>
      </c>
    </row>
    <row r="70" spans="2:23" x14ac:dyDescent="0.25"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216459.59999999998</v>
      </c>
      <c r="M70" s="91">
        <v>216459.59999999998</v>
      </c>
      <c r="N70" s="91">
        <v>216459.59999999998</v>
      </c>
      <c r="O70" s="91">
        <v>216459.59999999998</v>
      </c>
      <c r="P70" s="91">
        <v>216459.59999999998</v>
      </c>
      <c r="Q70" s="91">
        <v>216459.59999999998</v>
      </c>
      <c r="R70" s="91">
        <v>216459.59999999998</v>
      </c>
      <c r="S70" s="91">
        <v>216459.59999999998</v>
      </c>
      <c r="T70" s="91">
        <v>216459.59999999998</v>
      </c>
      <c r="U70" s="91">
        <v>216459.59999999998</v>
      </c>
      <c r="V70" s="91">
        <v>216459.59999999998</v>
      </c>
      <c r="W70" s="91">
        <v>432919.19999999995</v>
      </c>
    </row>
    <row r="71" spans="2:23" x14ac:dyDescent="0.25">
      <c r="B71" s="91" t="s">
        <v>186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600000000</v>
      </c>
      <c r="S71" s="91">
        <v>600000000</v>
      </c>
      <c r="T71" s="91">
        <v>600000000</v>
      </c>
      <c r="U71" s="91">
        <v>600000000</v>
      </c>
      <c r="V71" s="91">
        <v>600000000</v>
      </c>
      <c r="W71" s="91">
        <v>1050000000</v>
      </c>
    </row>
    <row r="72" spans="2:23" x14ac:dyDescent="0.25"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  <c r="R72" s="91">
        <v>336</v>
      </c>
      <c r="S72" s="91">
        <v>336</v>
      </c>
      <c r="T72" s="91">
        <v>336</v>
      </c>
      <c r="U72" s="91">
        <v>336</v>
      </c>
      <c r="V72" s="91">
        <v>336</v>
      </c>
      <c r="W72" s="91">
        <v>558</v>
      </c>
    </row>
    <row r="73" spans="2:23" x14ac:dyDescent="0.25">
      <c r="B73" s="91" t="s">
        <v>195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120000000</v>
      </c>
      <c r="S73" s="91">
        <v>1200000000</v>
      </c>
      <c r="T73" s="91">
        <v>1200000000</v>
      </c>
      <c r="U73" s="91">
        <v>1200000000</v>
      </c>
      <c r="V73" s="91">
        <v>1200000000</v>
      </c>
      <c r="W73" s="91">
        <v>2250000000</v>
      </c>
    </row>
    <row r="74" spans="2:23" x14ac:dyDescent="0.25"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  <c r="R74" s="91">
        <v>672</v>
      </c>
      <c r="S74" s="91">
        <v>672</v>
      </c>
      <c r="T74" s="91">
        <v>672</v>
      </c>
      <c r="U74" s="91">
        <v>672</v>
      </c>
      <c r="V74" s="91">
        <v>672</v>
      </c>
      <c r="W74" s="91">
        <v>1260</v>
      </c>
    </row>
    <row r="75" spans="2:23" x14ac:dyDescent="0.25">
      <c r="B75" s="91" t="s">
        <v>196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  <c r="R75" s="91">
        <v>1500000000</v>
      </c>
      <c r="S75" s="91">
        <v>1500000000</v>
      </c>
      <c r="T75" s="91">
        <v>1500000000</v>
      </c>
      <c r="U75" s="91">
        <v>1500000000</v>
      </c>
      <c r="V75" s="91">
        <v>1500000000</v>
      </c>
      <c r="W75" s="91">
        <v>3000000000</v>
      </c>
    </row>
    <row r="76" spans="2:23" x14ac:dyDescent="0.25"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840</v>
      </c>
      <c r="S76" s="91">
        <v>840</v>
      </c>
      <c r="T76" s="91">
        <v>840</v>
      </c>
      <c r="U76" s="91">
        <v>840</v>
      </c>
      <c r="V76" s="91">
        <v>840</v>
      </c>
      <c r="W76" s="91">
        <v>1680</v>
      </c>
    </row>
    <row r="77" spans="2:23" x14ac:dyDescent="0.25">
      <c r="B77" s="91" t="s">
        <v>197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780000000</v>
      </c>
      <c r="O77" s="91">
        <v>780000000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</row>
    <row r="78" spans="2:23" x14ac:dyDescent="0.25"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2678457.5999999996</v>
      </c>
      <c r="O78" s="91">
        <v>2678457.5999999996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</row>
    <row r="79" spans="2:23" x14ac:dyDescent="0.25">
      <c r="B79" s="91" t="s">
        <v>194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300000000</v>
      </c>
      <c r="S79" s="91">
        <v>300000000</v>
      </c>
      <c r="T79" s="91">
        <v>300000000</v>
      </c>
      <c r="U79" s="91">
        <v>300000000</v>
      </c>
      <c r="V79" s="91">
        <v>300000000</v>
      </c>
      <c r="W79" s="91">
        <v>750000000</v>
      </c>
    </row>
    <row r="80" spans="2:23" x14ac:dyDescent="0.25"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168</v>
      </c>
      <c r="S80" s="91">
        <v>168</v>
      </c>
      <c r="T80" s="91">
        <v>168</v>
      </c>
      <c r="U80" s="91">
        <v>168</v>
      </c>
      <c r="V80" s="91">
        <v>168</v>
      </c>
      <c r="W80" s="91">
        <v>420</v>
      </c>
    </row>
    <row r="81" spans="2:24" x14ac:dyDescent="0.25">
      <c r="B81" s="91" t="s">
        <v>187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15000000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</row>
    <row r="82" spans="2:24" x14ac:dyDescent="0.25"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51508.799999999988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</row>
    <row r="83" spans="2:24" x14ac:dyDescent="0.25">
      <c r="B83" s="91" t="s">
        <v>8</v>
      </c>
      <c r="C83" s="91">
        <v>0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2640000</v>
      </c>
      <c r="J83" s="91">
        <v>2640000</v>
      </c>
      <c r="K83" s="91">
        <v>2640000</v>
      </c>
      <c r="L83" s="91">
        <v>2640000</v>
      </c>
      <c r="M83" s="91">
        <v>2640000</v>
      </c>
      <c r="N83" s="91">
        <v>2760000</v>
      </c>
      <c r="O83" s="91">
        <v>2760000</v>
      </c>
      <c r="P83" s="91">
        <v>2760000</v>
      </c>
      <c r="Q83" s="91">
        <v>2760000</v>
      </c>
      <c r="R83" s="91">
        <v>2760000</v>
      </c>
      <c r="S83" s="91">
        <v>2760000</v>
      </c>
      <c r="T83" s="91">
        <v>2760000</v>
      </c>
      <c r="U83" s="91">
        <v>2760000</v>
      </c>
      <c r="V83" s="91">
        <v>2760000</v>
      </c>
      <c r="W83" s="91">
        <v>2760000</v>
      </c>
    </row>
    <row r="84" spans="2:24" x14ac:dyDescent="0.25"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558.10788000000002</v>
      </c>
      <c r="J84" s="91">
        <v>558.10788000000002</v>
      </c>
      <c r="K84" s="91">
        <v>558.10788000000002</v>
      </c>
      <c r="L84" s="91">
        <v>558.10788000000002</v>
      </c>
      <c r="M84" s="91">
        <v>558.10788000000002</v>
      </c>
      <c r="N84" s="91">
        <v>583.47642000000008</v>
      </c>
      <c r="O84" s="91">
        <v>583.47642000000008</v>
      </c>
      <c r="P84" s="91">
        <v>583.47642000000008</v>
      </c>
      <c r="Q84" s="91">
        <v>583.47642000000008</v>
      </c>
      <c r="R84" s="91">
        <v>583.47642000000008</v>
      </c>
      <c r="S84" s="91">
        <v>583.47642000000008</v>
      </c>
      <c r="T84" s="91">
        <v>583.47642000000008</v>
      </c>
      <c r="U84" s="91">
        <v>583.47642000000008</v>
      </c>
      <c r="V84" s="91">
        <v>583.47642000000008</v>
      </c>
      <c r="W84" s="91">
        <v>583.47642000000008</v>
      </c>
    </row>
    <row r="85" spans="2:24" x14ac:dyDescent="0.25">
      <c r="B85" s="91" t="s">
        <v>182</v>
      </c>
      <c r="C85" s="91">
        <v>0</v>
      </c>
      <c r="D85" s="91">
        <v>1458000</v>
      </c>
      <c r="E85" s="91">
        <v>2916000</v>
      </c>
      <c r="F85" s="91">
        <v>2916000</v>
      </c>
      <c r="G85" s="91">
        <v>2916000</v>
      </c>
      <c r="H85" s="91">
        <v>2916000</v>
      </c>
      <c r="I85" s="91">
        <v>2916000</v>
      </c>
      <c r="J85" s="91">
        <v>2916000</v>
      </c>
      <c r="K85" s="91">
        <v>2916000</v>
      </c>
      <c r="L85" s="91">
        <v>2916000</v>
      </c>
      <c r="M85" s="91">
        <v>2916000</v>
      </c>
      <c r="N85" s="91">
        <v>2916000</v>
      </c>
      <c r="O85" s="91">
        <v>2916000</v>
      </c>
      <c r="P85" s="91">
        <v>2916000</v>
      </c>
      <c r="Q85" s="91">
        <v>2916000</v>
      </c>
      <c r="R85" s="91">
        <v>2916000</v>
      </c>
      <c r="S85" s="91">
        <v>2916000</v>
      </c>
      <c r="T85" s="91">
        <v>2916000</v>
      </c>
      <c r="U85" s="91">
        <v>2916000</v>
      </c>
      <c r="V85" s="91">
        <v>2916000</v>
      </c>
      <c r="W85" s="91">
        <v>2916000</v>
      </c>
    </row>
    <row r="86" spans="2:24" x14ac:dyDescent="0.25">
      <c r="C86" s="91">
        <v>0</v>
      </c>
      <c r="D86" s="91">
        <v>22.463719999999999</v>
      </c>
      <c r="E86" s="91">
        <v>44.927439999999997</v>
      </c>
      <c r="F86" s="91">
        <v>44.927439999999997</v>
      </c>
      <c r="G86" s="91">
        <v>44.927439999999997</v>
      </c>
      <c r="H86" s="91">
        <v>44.927439999999997</v>
      </c>
      <c r="I86" s="91">
        <v>44.927439999999997</v>
      </c>
      <c r="J86" s="91">
        <v>44.927439999999997</v>
      </c>
      <c r="K86" s="91">
        <v>44.927439999999997</v>
      </c>
      <c r="L86" s="91">
        <v>44.927439999999997</v>
      </c>
      <c r="M86" s="91">
        <v>44.927439999999997</v>
      </c>
      <c r="N86" s="91">
        <v>44.927439999999997</v>
      </c>
      <c r="O86" s="91">
        <v>44.927439999999997</v>
      </c>
      <c r="P86" s="91">
        <v>44.927439999999997</v>
      </c>
      <c r="Q86" s="91">
        <v>44.927439999999997</v>
      </c>
      <c r="R86" s="91">
        <v>44.927439999999997</v>
      </c>
      <c r="S86" s="91">
        <v>44.927439999999997</v>
      </c>
      <c r="T86" s="91">
        <v>44.927439999999997</v>
      </c>
      <c r="U86" s="91">
        <v>44.927439999999997</v>
      </c>
      <c r="V86" s="91">
        <v>44.927439999999997</v>
      </c>
      <c r="W86" s="91">
        <v>44.927439999999997</v>
      </c>
    </row>
    <row r="90" spans="2:24" x14ac:dyDescent="0.25">
      <c r="C90" s="91" t="s">
        <v>193</v>
      </c>
      <c r="E90" s="91" t="s">
        <v>191</v>
      </c>
      <c r="G90" s="91" t="s">
        <v>192</v>
      </c>
      <c r="I90" s="91" t="s">
        <v>186</v>
      </c>
      <c r="K90" s="91" t="s">
        <v>195</v>
      </c>
      <c r="M90" s="91" t="s">
        <v>196</v>
      </c>
      <c r="O90" s="91" t="s">
        <v>197</v>
      </c>
      <c r="Q90" s="91" t="s">
        <v>194</v>
      </c>
      <c r="S90" s="91" t="s">
        <v>187</v>
      </c>
      <c r="U90" s="91" t="s">
        <v>8</v>
      </c>
      <c r="W90" s="91" t="s">
        <v>182</v>
      </c>
    </row>
    <row r="91" spans="2:24" x14ac:dyDescent="0.25">
      <c r="B91" s="91">
        <v>2010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</row>
    <row r="92" spans="2:24" x14ac:dyDescent="0.25">
      <c r="B92" s="91">
        <v>2011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1458000</v>
      </c>
      <c r="X92" s="91">
        <v>22.463719999999999</v>
      </c>
    </row>
    <row r="93" spans="2:24" x14ac:dyDescent="0.25">
      <c r="B93" s="91">
        <v>2012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2916000</v>
      </c>
      <c r="X93" s="91">
        <v>44.927439999999997</v>
      </c>
    </row>
    <row r="94" spans="2:24" x14ac:dyDescent="0.25">
      <c r="B94" s="91">
        <v>2013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1">
        <v>0</v>
      </c>
      <c r="W94" s="91">
        <v>2916000</v>
      </c>
      <c r="X94" s="91">
        <v>44.927439999999997</v>
      </c>
    </row>
    <row r="95" spans="2:24" x14ac:dyDescent="0.25">
      <c r="B95" s="91">
        <v>2014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91">
        <v>0</v>
      </c>
      <c r="V95" s="91">
        <v>0</v>
      </c>
      <c r="W95" s="91">
        <v>2916000</v>
      </c>
      <c r="X95" s="91">
        <v>44.927439999999997</v>
      </c>
    </row>
    <row r="96" spans="2:24" x14ac:dyDescent="0.25">
      <c r="B96" s="91">
        <v>2015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1">
        <v>0</v>
      </c>
      <c r="W96" s="91">
        <v>2916000</v>
      </c>
      <c r="X96" s="91">
        <v>44.927439999999997</v>
      </c>
    </row>
    <row r="97" spans="2:24" x14ac:dyDescent="0.25">
      <c r="B97" s="91">
        <v>2016</v>
      </c>
      <c r="C97" s="91">
        <v>0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2640000</v>
      </c>
      <c r="V97" s="91">
        <v>558.10788000000002</v>
      </c>
      <c r="W97" s="91">
        <v>2916000</v>
      </c>
      <c r="X97" s="91">
        <v>44.927439999999997</v>
      </c>
    </row>
    <row r="98" spans="2:24" x14ac:dyDescent="0.25">
      <c r="B98" s="91">
        <v>2017</v>
      </c>
      <c r="C98" s="91">
        <v>33000000</v>
      </c>
      <c r="D98" s="91">
        <v>95242.223999999987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2640000</v>
      </c>
      <c r="V98" s="91">
        <v>558.10788000000002</v>
      </c>
      <c r="W98" s="91">
        <v>2916000</v>
      </c>
      <c r="X98" s="91">
        <v>44.927439999999997</v>
      </c>
    </row>
    <row r="99" spans="2:24" x14ac:dyDescent="0.25">
      <c r="B99" s="91">
        <v>2018</v>
      </c>
      <c r="C99" s="91">
        <v>64484999.999999993</v>
      </c>
      <c r="D99" s="91">
        <v>186111.96407999998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2640000</v>
      </c>
      <c r="V99" s="91">
        <v>558.10788000000002</v>
      </c>
      <c r="W99" s="91">
        <v>2916000</v>
      </c>
      <c r="X99" s="91">
        <v>44.927439999999997</v>
      </c>
    </row>
    <row r="100" spans="2:24" x14ac:dyDescent="0.25">
      <c r="B100" s="91">
        <v>2019</v>
      </c>
      <c r="C100" s="91">
        <v>26700000</v>
      </c>
      <c r="D100" s="91">
        <v>77059.617599999983</v>
      </c>
      <c r="E100" s="91">
        <v>75000000</v>
      </c>
      <c r="F100" s="91">
        <v>42</v>
      </c>
      <c r="G100" s="91">
        <v>75000000</v>
      </c>
      <c r="H100" s="91">
        <v>216459.59999999998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15000000</v>
      </c>
      <c r="T100" s="91">
        <v>51508.799999999988</v>
      </c>
      <c r="U100" s="91">
        <v>2640000</v>
      </c>
      <c r="V100" s="91">
        <v>558.10788000000002</v>
      </c>
      <c r="W100" s="91">
        <v>2916000</v>
      </c>
      <c r="X100" s="91">
        <v>44.927439999999997</v>
      </c>
    </row>
    <row r="101" spans="2:24" x14ac:dyDescent="0.25">
      <c r="B101" s="91">
        <v>2020</v>
      </c>
      <c r="C101" s="91">
        <v>62730000</v>
      </c>
      <c r="D101" s="91">
        <v>181046.80943999995</v>
      </c>
      <c r="E101" s="91">
        <v>75000000</v>
      </c>
      <c r="F101" s="91">
        <v>42</v>
      </c>
      <c r="G101" s="91">
        <v>75000000</v>
      </c>
      <c r="H101" s="91">
        <v>216459.59999999998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2640000</v>
      </c>
      <c r="V101" s="91">
        <v>558.10788000000002</v>
      </c>
      <c r="W101" s="91">
        <v>2916000</v>
      </c>
      <c r="X101" s="91">
        <v>44.927439999999997</v>
      </c>
    </row>
    <row r="102" spans="2:24" x14ac:dyDescent="0.25">
      <c r="B102" s="91">
        <v>2021</v>
      </c>
      <c r="C102" s="91">
        <v>95820000</v>
      </c>
      <c r="D102" s="91">
        <v>276548.78495999996</v>
      </c>
      <c r="E102" s="91">
        <v>75000000</v>
      </c>
      <c r="F102" s="91">
        <v>42</v>
      </c>
      <c r="G102" s="91">
        <v>75000000</v>
      </c>
      <c r="H102" s="91">
        <v>216459.59999999998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780000000</v>
      </c>
      <c r="P102" s="91">
        <v>2678457.5999999996</v>
      </c>
      <c r="Q102" s="91">
        <v>0</v>
      </c>
      <c r="R102" s="91">
        <v>0</v>
      </c>
      <c r="S102" s="91">
        <v>0</v>
      </c>
      <c r="T102" s="91">
        <v>0</v>
      </c>
      <c r="U102" s="91">
        <v>2760000</v>
      </c>
      <c r="V102" s="91">
        <v>583.47642000000008</v>
      </c>
      <c r="W102" s="91">
        <v>2916000</v>
      </c>
      <c r="X102" s="91">
        <v>44.927439999999997</v>
      </c>
    </row>
    <row r="103" spans="2:24" x14ac:dyDescent="0.25">
      <c r="B103" s="91">
        <v>2022</v>
      </c>
      <c r="C103" s="91">
        <v>26016000</v>
      </c>
      <c r="D103" s="91">
        <v>75085.506047999981</v>
      </c>
      <c r="E103" s="91">
        <v>75000000</v>
      </c>
      <c r="F103" s="91">
        <v>42</v>
      </c>
      <c r="G103" s="91">
        <v>75000000</v>
      </c>
      <c r="H103" s="91">
        <v>216459.59999999998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780000000</v>
      </c>
      <c r="P103" s="91">
        <v>2678457.5999999996</v>
      </c>
      <c r="Q103" s="91">
        <v>0</v>
      </c>
      <c r="R103" s="91">
        <v>0</v>
      </c>
      <c r="S103" s="91">
        <v>0</v>
      </c>
      <c r="T103" s="91">
        <v>0</v>
      </c>
      <c r="U103" s="91">
        <v>2760000</v>
      </c>
      <c r="V103" s="91">
        <v>583.47642000000008</v>
      </c>
      <c r="W103" s="91">
        <v>2916000</v>
      </c>
      <c r="X103" s="91">
        <v>44.927439999999997</v>
      </c>
    </row>
    <row r="104" spans="2:24" x14ac:dyDescent="0.25">
      <c r="B104" s="91">
        <v>2023</v>
      </c>
      <c r="C104" s="91">
        <v>0</v>
      </c>
      <c r="D104" s="91">
        <v>0</v>
      </c>
      <c r="E104" s="91">
        <v>75000000</v>
      </c>
      <c r="F104" s="91">
        <v>42</v>
      </c>
      <c r="G104" s="91">
        <v>75000000</v>
      </c>
      <c r="H104" s="91">
        <v>216459.59999999998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2760000</v>
      </c>
      <c r="V104" s="91">
        <v>583.47642000000008</v>
      </c>
      <c r="W104" s="91">
        <v>2916000</v>
      </c>
      <c r="X104" s="91">
        <v>44.927439999999997</v>
      </c>
    </row>
    <row r="105" spans="2:24" x14ac:dyDescent="0.25">
      <c r="B105" s="91">
        <v>2024</v>
      </c>
      <c r="C105" s="91">
        <v>0</v>
      </c>
      <c r="D105" s="91">
        <v>0</v>
      </c>
      <c r="E105" s="91">
        <v>75000000</v>
      </c>
      <c r="F105" s="91">
        <v>42</v>
      </c>
      <c r="G105" s="91">
        <v>75000000</v>
      </c>
      <c r="H105" s="91">
        <v>216459.59999999998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2760000</v>
      </c>
      <c r="V105" s="91">
        <v>583.47642000000008</v>
      </c>
      <c r="W105" s="91">
        <v>2916000</v>
      </c>
      <c r="X105" s="91">
        <v>44.927439999999997</v>
      </c>
    </row>
    <row r="106" spans="2:24" x14ac:dyDescent="0.25">
      <c r="B106" s="91">
        <v>2025</v>
      </c>
      <c r="C106" s="91">
        <v>35100000</v>
      </c>
      <c r="D106" s="91">
        <v>101303.09279999997</v>
      </c>
      <c r="E106" s="91">
        <v>75000000</v>
      </c>
      <c r="F106" s="91">
        <v>42</v>
      </c>
      <c r="G106" s="91">
        <v>75000000</v>
      </c>
      <c r="H106" s="91">
        <v>216459.59999999998</v>
      </c>
      <c r="I106" s="91">
        <v>600000000</v>
      </c>
      <c r="J106" s="91">
        <v>336</v>
      </c>
      <c r="K106" s="91">
        <v>120000000</v>
      </c>
      <c r="L106" s="91">
        <v>672</v>
      </c>
      <c r="M106" s="91">
        <v>1500000000</v>
      </c>
      <c r="N106" s="91">
        <v>840</v>
      </c>
      <c r="O106" s="91">
        <v>0</v>
      </c>
      <c r="P106" s="91">
        <v>0</v>
      </c>
      <c r="Q106" s="91">
        <v>300000000</v>
      </c>
      <c r="R106" s="91">
        <v>168</v>
      </c>
      <c r="S106" s="91">
        <v>0</v>
      </c>
      <c r="T106" s="91">
        <v>0</v>
      </c>
      <c r="U106" s="91">
        <v>2760000</v>
      </c>
      <c r="V106" s="91">
        <v>583.47642000000008</v>
      </c>
      <c r="W106" s="91">
        <v>2916000</v>
      </c>
      <c r="X106" s="91">
        <v>44.927439999999997</v>
      </c>
    </row>
    <row r="107" spans="2:24" x14ac:dyDescent="0.25">
      <c r="B107" s="91">
        <v>2026</v>
      </c>
      <c r="C107" s="91">
        <v>0</v>
      </c>
      <c r="D107" s="91">
        <v>0</v>
      </c>
      <c r="E107" s="91">
        <v>75000000</v>
      </c>
      <c r="F107" s="91">
        <v>42</v>
      </c>
      <c r="G107" s="91">
        <v>75000000</v>
      </c>
      <c r="H107" s="91">
        <v>216459.59999999998</v>
      </c>
      <c r="I107" s="91">
        <v>600000000</v>
      </c>
      <c r="J107" s="91">
        <v>336</v>
      </c>
      <c r="K107" s="91">
        <v>1200000000</v>
      </c>
      <c r="L107" s="91">
        <v>672</v>
      </c>
      <c r="M107" s="91">
        <v>1500000000</v>
      </c>
      <c r="N107" s="91">
        <v>840</v>
      </c>
      <c r="O107" s="91">
        <v>0</v>
      </c>
      <c r="P107" s="91">
        <v>0</v>
      </c>
      <c r="Q107" s="91">
        <v>300000000</v>
      </c>
      <c r="R107" s="91">
        <v>168</v>
      </c>
      <c r="S107" s="91">
        <v>0</v>
      </c>
      <c r="T107" s="91">
        <v>0</v>
      </c>
      <c r="U107" s="91">
        <v>2760000</v>
      </c>
      <c r="V107" s="91">
        <v>583.47642000000008</v>
      </c>
      <c r="W107" s="91">
        <v>2916000</v>
      </c>
      <c r="X107" s="91">
        <v>44.927439999999997</v>
      </c>
    </row>
    <row r="108" spans="2:24" x14ac:dyDescent="0.25">
      <c r="B108" s="91">
        <v>2027</v>
      </c>
      <c r="C108" s="91">
        <v>0</v>
      </c>
      <c r="D108" s="91">
        <v>0</v>
      </c>
      <c r="E108" s="91">
        <v>75000000</v>
      </c>
      <c r="F108" s="91">
        <v>42</v>
      </c>
      <c r="G108" s="91">
        <v>75000000</v>
      </c>
      <c r="H108" s="91">
        <v>216459.59999999998</v>
      </c>
      <c r="I108" s="91">
        <v>600000000</v>
      </c>
      <c r="J108" s="91">
        <v>336</v>
      </c>
      <c r="K108" s="91">
        <v>1200000000</v>
      </c>
      <c r="L108" s="91">
        <v>672</v>
      </c>
      <c r="M108" s="91">
        <v>1500000000</v>
      </c>
      <c r="N108" s="91">
        <v>840</v>
      </c>
      <c r="O108" s="91">
        <v>0</v>
      </c>
      <c r="P108" s="91">
        <v>0</v>
      </c>
      <c r="Q108" s="91">
        <v>300000000</v>
      </c>
      <c r="R108" s="91">
        <v>168</v>
      </c>
      <c r="S108" s="91">
        <v>0</v>
      </c>
      <c r="T108" s="91">
        <v>0</v>
      </c>
      <c r="U108" s="91">
        <v>2760000</v>
      </c>
      <c r="V108" s="91">
        <v>583.47642000000008</v>
      </c>
      <c r="W108" s="91">
        <v>2916000</v>
      </c>
      <c r="X108" s="91">
        <v>44.927439999999997</v>
      </c>
    </row>
    <row r="109" spans="2:24" x14ac:dyDescent="0.25">
      <c r="B109" s="91">
        <v>2028</v>
      </c>
      <c r="C109" s="91">
        <v>0</v>
      </c>
      <c r="D109" s="91">
        <v>0</v>
      </c>
      <c r="E109" s="91">
        <v>75000000</v>
      </c>
      <c r="F109" s="91">
        <v>42</v>
      </c>
      <c r="G109" s="91">
        <v>75000000</v>
      </c>
      <c r="H109" s="91">
        <v>216459.59999999998</v>
      </c>
      <c r="I109" s="91">
        <v>600000000</v>
      </c>
      <c r="J109" s="91">
        <v>336</v>
      </c>
      <c r="K109" s="91">
        <v>1200000000</v>
      </c>
      <c r="L109" s="91">
        <v>672</v>
      </c>
      <c r="M109" s="91">
        <v>1500000000</v>
      </c>
      <c r="N109" s="91">
        <v>840</v>
      </c>
      <c r="O109" s="91">
        <v>0</v>
      </c>
      <c r="P109" s="91">
        <v>0</v>
      </c>
      <c r="Q109" s="91">
        <v>300000000</v>
      </c>
      <c r="R109" s="91">
        <v>168</v>
      </c>
      <c r="S109" s="91">
        <v>0</v>
      </c>
      <c r="T109" s="91">
        <v>0</v>
      </c>
      <c r="U109" s="91">
        <v>2760000</v>
      </c>
      <c r="V109" s="91">
        <v>583.47642000000008</v>
      </c>
      <c r="W109" s="91">
        <v>2916000</v>
      </c>
      <c r="X109" s="91">
        <v>44.927439999999997</v>
      </c>
    </row>
    <row r="110" spans="2:24" x14ac:dyDescent="0.25">
      <c r="B110" s="91">
        <v>2029</v>
      </c>
      <c r="C110" s="91">
        <v>0</v>
      </c>
      <c r="D110" s="91">
        <v>0</v>
      </c>
      <c r="E110" s="91">
        <v>75000000</v>
      </c>
      <c r="F110" s="91">
        <v>42</v>
      </c>
      <c r="G110" s="91">
        <v>75000000</v>
      </c>
      <c r="H110" s="91">
        <v>216459.59999999998</v>
      </c>
      <c r="I110" s="91">
        <v>600000000</v>
      </c>
      <c r="J110" s="91">
        <v>336</v>
      </c>
      <c r="K110" s="91">
        <v>1200000000</v>
      </c>
      <c r="L110" s="91">
        <v>672</v>
      </c>
      <c r="M110" s="91">
        <v>1500000000</v>
      </c>
      <c r="N110" s="91">
        <v>840</v>
      </c>
      <c r="O110" s="91">
        <v>0</v>
      </c>
      <c r="P110" s="91">
        <v>0</v>
      </c>
      <c r="Q110" s="91">
        <v>300000000</v>
      </c>
      <c r="R110" s="91">
        <v>168</v>
      </c>
      <c r="S110" s="91">
        <v>0</v>
      </c>
      <c r="T110" s="91">
        <v>0</v>
      </c>
      <c r="U110" s="91">
        <v>2760000</v>
      </c>
      <c r="V110" s="91">
        <v>583.47642000000008</v>
      </c>
      <c r="W110" s="91">
        <v>2916000</v>
      </c>
      <c r="X110" s="91">
        <v>44.927439999999997</v>
      </c>
    </row>
    <row r="111" spans="2:24" x14ac:dyDescent="0.25">
      <c r="B111" s="91">
        <v>2030</v>
      </c>
      <c r="C111" s="91">
        <v>0</v>
      </c>
      <c r="D111" s="91">
        <v>0</v>
      </c>
      <c r="E111" s="91">
        <v>150000000</v>
      </c>
      <c r="F111" s="91">
        <v>84</v>
      </c>
      <c r="G111" s="91">
        <v>150000000</v>
      </c>
      <c r="H111" s="91">
        <v>432919.19999999995</v>
      </c>
      <c r="I111" s="91">
        <v>1050000000</v>
      </c>
      <c r="J111" s="91">
        <v>558</v>
      </c>
      <c r="K111" s="91">
        <v>2250000000</v>
      </c>
      <c r="L111" s="91">
        <v>1260</v>
      </c>
      <c r="M111" s="91">
        <v>3000000000</v>
      </c>
      <c r="N111" s="91">
        <v>1680</v>
      </c>
      <c r="O111" s="91">
        <v>0</v>
      </c>
      <c r="P111" s="91">
        <v>0</v>
      </c>
      <c r="Q111" s="91">
        <v>750000000</v>
      </c>
      <c r="R111" s="91">
        <v>420</v>
      </c>
      <c r="S111" s="91">
        <v>0</v>
      </c>
      <c r="T111" s="91">
        <v>0</v>
      </c>
      <c r="U111" s="91">
        <v>2760000</v>
      </c>
      <c r="V111" s="91">
        <v>583.47642000000008</v>
      </c>
      <c r="W111" s="91">
        <v>2916000</v>
      </c>
      <c r="X111" s="91">
        <v>44.927439999999997</v>
      </c>
    </row>
  </sheetData>
  <mergeCells count="39">
    <mergeCell ref="A29:A31"/>
    <mergeCell ref="B29:B31"/>
    <mergeCell ref="D29:D31"/>
    <mergeCell ref="A26:A28"/>
    <mergeCell ref="B26:B28"/>
    <mergeCell ref="D26:D28"/>
    <mergeCell ref="A35:A37"/>
    <mergeCell ref="B35:B37"/>
    <mergeCell ref="D35:D37"/>
    <mergeCell ref="A32:A34"/>
    <mergeCell ref="B32:B34"/>
    <mergeCell ref="D32:D34"/>
    <mergeCell ref="A20:A22"/>
    <mergeCell ref="B20:B22"/>
    <mergeCell ref="D20:D22"/>
    <mergeCell ref="A23:A25"/>
    <mergeCell ref="A11:A13"/>
    <mergeCell ref="B11:B13"/>
    <mergeCell ref="D11:D13"/>
    <mergeCell ref="A14:A16"/>
    <mergeCell ref="B14:B16"/>
    <mergeCell ref="D14:D16"/>
    <mergeCell ref="A17:A19"/>
    <mergeCell ref="B17:B19"/>
    <mergeCell ref="D17:D19"/>
    <mergeCell ref="B23:B25"/>
    <mergeCell ref="D23:D25"/>
    <mergeCell ref="A8:A10"/>
    <mergeCell ref="B8:B10"/>
    <mergeCell ref="D8:D10"/>
    <mergeCell ref="P3:Y3"/>
    <mergeCell ref="A5:A7"/>
    <mergeCell ref="B5:B7"/>
    <mergeCell ref="D5:D7"/>
    <mergeCell ref="A3:A4"/>
    <mergeCell ref="B3:B4"/>
    <mergeCell ref="C3:C4"/>
    <mergeCell ref="D3:D4"/>
    <mergeCell ref="E3:O3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3"/>
  <sheetViews>
    <sheetView tabSelected="1" zoomScale="70" zoomScaleNormal="70" workbookViewId="0">
      <selection activeCell="AF29" sqref="AF29:AX52"/>
    </sheetView>
  </sheetViews>
  <sheetFormatPr defaultRowHeight="15" x14ac:dyDescent="0.25"/>
  <cols>
    <col min="1" max="1" width="9.140625" style="293"/>
    <col min="2" max="2" width="14.42578125" customWidth="1"/>
    <col min="3" max="3" width="13.140625" customWidth="1"/>
    <col min="4" max="4" width="13.7109375" customWidth="1"/>
    <col min="5" max="8" width="13.7109375" style="91" customWidth="1"/>
    <col min="9" max="10" width="11.42578125" bestFit="1" customWidth="1"/>
    <col min="11" max="11" width="11.42578125" style="107" customWidth="1"/>
    <col min="12" max="12" width="11.42578125" style="434" customWidth="1"/>
    <col min="13" max="13" width="12.85546875" style="434" customWidth="1"/>
    <col min="14" max="15" width="12.85546875" style="91" hidden="1" customWidth="1"/>
    <col min="16" max="16" width="9.140625" style="293"/>
    <col min="17" max="17" width="16.140625" customWidth="1"/>
    <col min="18" max="18" width="14.7109375" customWidth="1"/>
    <col min="19" max="19" width="13.5703125" customWidth="1"/>
    <col min="20" max="22" width="15.140625" style="91" customWidth="1"/>
    <col min="23" max="23" width="15.5703125" style="91" customWidth="1"/>
    <col min="24" max="24" width="10.5703125" customWidth="1"/>
    <col min="25" max="25" width="11" customWidth="1"/>
    <col min="26" max="26" width="11.7109375" style="107" customWidth="1"/>
    <col min="27" max="27" width="10.5703125" style="91" customWidth="1"/>
    <col min="28" max="28" width="13" style="91" customWidth="1"/>
    <col min="29" max="29" width="15.5703125" customWidth="1"/>
    <col min="30" max="30" width="15.140625" customWidth="1"/>
    <col min="31" max="31" width="15.140625" style="91" customWidth="1"/>
    <col min="32" max="32" width="16" customWidth="1"/>
    <col min="33" max="33" width="14.85546875" customWidth="1"/>
    <col min="34" max="34" width="14.140625" customWidth="1"/>
    <col min="35" max="35" width="12.42578125" bestFit="1" customWidth="1"/>
    <col min="36" max="36" width="14.28515625" customWidth="1"/>
    <col min="37" max="37" width="10.7109375" bestFit="1" customWidth="1"/>
    <col min="38" max="38" width="12.5703125" customWidth="1"/>
    <col min="40" max="40" width="11.5703125" customWidth="1"/>
    <col min="42" max="42" width="14.28515625" customWidth="1"/>
    <col min="43" max="43" width="10.7109375" bestFit="1" customWidth="1"/>
    <col min="44" max="44" width="11" customWidth="1"/>
    <col min="46" max="46" width="11.85546875" customWidth="1"/>
    <col min="47" max="47" width="11.140625" customWidth="1"/>
    <col min="48" max="48" width="10.7109375" customWidth="1"/>
    <col min="49" max="49" width="13" customWidth="1"/>
    <col min="50" max="50" width="14.7109375" customWidth="1"/>
  </cols>
  <sheetData>
    <row r="1" spans="1:33" s="91" customFormat="1" x14ac:dyDescent="0.25">
      <c r="A1" s="293"/>
      <c r="K1" s="107"/>
      <c r="L1" s="434"/>
      <c r="M1" s="434"/>
      <c r="P1" s="293"/>
      <c r="Z1" s="107"/>
    </row>
    <row r="2" spans="1:33" s="91" customFormat="1" x14ac:dyDescent="0.25">
      <c r="A2" s="293"/>
      <c r="B2" s="91">
        <v>1</v>
      </c>
      <c r="C2" s="91">
        <v>2</v>
      </c>
      <c r="D2" s="91">
        <v>3</v>
      </c>
      <c r="E2" s="91">
        <v>4</v>
      </c>
      <c r="H2" s="91">
        <v>5</v>
      </c>
      <c r="I2" s="91">
        <v>6</v>
      </c>
      <c r="J2" s="91">
        <v>7</v>
      </c>
      <c r="K2" s="107"/>
      <c r="L2" s="434">
        <v>8</v>
      </c>
      <c r="M2" s="434">
        <v>9</v>
      </c>
      <c r="P2" s="293"/>
      <c r="Q2" s="91">
        <v>1</v>
      </c>
      <c r="R2" s="91">
        <v>2</v>
      </c>
      <c r="S2" s="91">
        <v>3</v>
      </c>
      <c r="T2" s="91">
        <v>4</v>
      </c>
      <c r="U2" s="91">
        <v>5</v>
      </c>
      <c r="V2" s="91">
        <v>6</v>
      </c>
      <c r="W2" s="91">
        <v>7</v>
      </c>
      <c r="X2" s="91">
        <v>8</v>
      </c>
      <c r="Y2" s="91">
        <v>9</v>
      </c>
      <c r="Z2" s="107">
        <v>10</v>
      </c>
      <c r="AA2" s="91">
        <v>8</v>
      </c>
      <c r="AB2" s="91">
        <v>9</v>
      </c>
    </row>
    <row r="3" spans="1:33" s="91" customFormat="1" ht="45.75" thickBot="1" x14ac:dyDescent="0.3"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375"/>
      <c r="O3" s="375"/>
      <c r="Q3" s="630" t="s">
        <v>207</v>
      </c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G3" s="119" t="s">
        <v>326</v>
      </c>
    </row>
    <row r="4" spans="1:33" s="119" customFormat="1" ht="52.5" customHeight="1" thickBot="1" x14ac:dyDescent="0.3">
      <c r="A4" s="305" t="s">
        <v>5</v>
      </c>
      <c r="B4" s="145" t="s">
        <v>435</v>
      </c>
      <c r="C4" s="145" t="s">
        <v>310</v>
      </c>
      <c r="D4" s="145" t="s">
        <v>416</v>
      </c>
      <c r="E4" s="145" t="s">
        <v>312</v>
      </c>
      <c r="F4" s="145" t="s">
        <v>442</v>
      </c>
      <c r="G4" s="145" t="s">
        <v>446</v>
      </c>
      <c r="H4" s="145" t="s">
        <v>311</v>
      </c>
      <c r="I4" s="145" t="s">
        <v>313</v>
      </c>
      <c r="J4" s="145" t="s">
        <v>298</v>
      </c>
      <c r="K4" s="432" t="s">
        <v>329</v>
      </c>
      <c r="L4" s="435" t="s">
        <v>418</v>
      </c>
      <c r="M4" s="435" t="s">
        <v>419</v>
      </c>
      <c r="N4" s="376" t="s">
        <v>394</v>
      </c>
      <c r="O4" s="377" t="s">
        <v>395</v>
      </c>
      <c r="P4" s="305" t="s">
        <v>5</v>
      </c>
      <c r="Q4" s="284" t="s">
        <v>436</v>
      </c>
      <c r="R4" s="284" t="s">
        <v>305</v>
      </c>
      <c r="S4" s="284" t="s">
        <v>417</v>
      </c>
      <c r="T4" s="284" t="s">
        <v>264</v>
      </c>
      <c r="U4" s="284" t="s">
        <v>443</v>
      </c>
      <c r="V4" s="284" t="s">
        <v>445</v>
      </c>
      <c r="W4" s="284" t="s">
        <v>263</v>
      </c>
      <c r="X4" s="284" t="s">
        <v>8</v>
      </c>
      <c r="Y4" s="284" t="s">
        <v>298</v>
      </c>
      <c r="Z4" s="432" t="s">
        <v>329</v>
      </c>
      <c r="AA4" s="337" t="s">
        <v>299</v>
      </c>
      <c r="AB4" s="337" t="s">
        <v>300</v>
      </c>
      <c r="AC4" s="303" t="s">
        <v>321</v>
      </c>
      <c r="AD4" s="321" t="s">
        <v>322</v>
      </c>
      <c r="AE4" s="330" t="s">
        <v>323</v>
      </c>
      <c r="AF4" s="331" t="s">
        <v>320</v>
      </c>
      <c r="AG4" s="332" t="s">
        <v>327</v>
      </c>
    </row>
    <row r="5" spans="1:33" x14ac:dyDescent="0.25">
      <c r="A5" s="294">
        <v>2010</v>
      </c>
      <c r="B5" s="418">
        <f>'DATA PLTM'!F64</f>
        <v>1.79</v>
      </c>
      <c r="C5" s="492">
        <v>6.6400000000000001E-2</v>
      </c>
      <c r="D5" s="227"/>
      <c r="E5" s="227"/>
      <c r="F5" s="227"/>
      <c r="G5" s="227"/>
      <c r="H5" s="227">
        <v>8.4999999999999995E-4</v>
      </c>
      <c r="I5" s="227">
        <v>283</v>
      </c>
      <c r="J5" s="227">
        <v>0</v>
      </c>
      <c r="K5" s="433">
        <f>L5+M5</f>
        <v>0</v>
      </c>
      <c r="L5" s="436">
        <f>'PJU LED'!L57</f>
        <v>0</v>
      </c>
      <c r="M5" s="436">
        <f>'PJU LED'!L81</f>
        <v>0</v>
      </c>
      <c r="N5" s="374"/>
      <c r="O5" s="374"/>
      <c r="P5" s="294">
        <v>2010</v>
      </c>
      <c r="Q5" s="496">
        <f>'DATA PLTM'!J64</f>
        <v>7749.2536799999989</v>
      </c>
      <c r="R5" s="493">
        <f>'DATA PLTM'!J88</f>
        <v>287.45834879999995</v>
      </c>
      <c r="S5" s="23"/>
      <c r="T5" s="23"/>
      <c r="U5" s="23"/>
      <c r="V5" s="23"/>
      <c r="W5" s="23">
        <v>1.19</v>
      </c>
      <c r="X5" s="23">
        <v>11094.056535599999</v>
      </c>
      <c r="Y5" s="57">
        <f>'PJU solar cell'!K63</f>
        <v>0</v>
      </c>
      <c r="Z5" s="446">
        <f>AA5+AB5</f>
        <v>0</v>
      </c>
      <c r="AA5" s="447">
        <f>'PJU LED'!M57</f>
        <v>0</v>
      </c>
      <c r="AB5" s="447">
        <f>'PJU LED'!M81</f>
        <v>0</v>
      </c>
      <c r="AC5" s="304">
        <f>SUM(Q5:Z5)</f>
        <v>19131.958564399996</v>
      </c>
      <c r="AD5" s="327">
        <f>AC5/1000</f>
        <v>19.131958564399998</v>
      </c>
      <c r="AE5" s="328">
        <f>AC5</f>
        <v>19131.958564399996</v>
      </c>
      <c r="AF5" s="329">
        <v>14140297.7228</v>
      </c>
      <c r="AG5" s="334">
        <f>AF5-AE5</f>
        <v>14121165.764235599</v>
      </c>
    </row>
    <row r="6" spans="1:33" x14ac:dyDescent="0.25">
      <c r="A6" s="294">
        <v>2011</v>
      </c>
      <c r="B6" s="418">
        <f>'DATA PLTM'!F65</f>
        <v>1.1000000000000001</v>
      </c>
      <c r="C6" s="492">
        <v>1.6E-2</v>
      </c>
      <c r="D6" s="227"/>
      <c r="E6" s="227"/>
      <c r="F6" s="227"/>
      <c r="G6" s="227"/>
      <c r="H6" s="227">
        <v>1.0330000000000001E-2</v>
      </c>
      <c r="I6" s="227">
        <v>283</v>
      </c>
      <c r="J6" s="227">
        <v>30</v>
      </c>
      <c r="K6" s="433">
        <f t="shared" ref="K6:K25" si="0">L6+M6</f>
        <v>254</v>
      </c>
      <c r="L6" s="436">
        <f>'PJU LED'!L58</f>
        <v>218</v>
      </c>
      <c r="M6" s="436">
        <f>'PJU LED'!L82</f>
        <v>36</v>
      </c>
      <c r="N6" s="374"/>
      <c r="O6" s="374"/>
      <c r="P6" s="294">
        <v>2011</v>
      </c>
      <c r="Q6" s="496">
        <f>'DATA PLTM'!J65</f>
        <v>4762.1111999999994</v>
      </c>
      <c r="R6" s="493">
        <f>'DATA PLTM'!J89</f>
        <v>69.267071999999985</v>
      </c>
      <c r="S6" s="23"/>
      <c r="T6" s="23"/>
      <c r="U6" s="23"/>
      <c r="V6" s="23"/>
      <c r="W6" s="23">
        <v>14.48</v>
      </c>
      <c r="X6" s="23">
        <v>11094.056535599999</v>
      </c>
      <c r="Y6" s="57">
        <f>'PJU solar cell'!K64</f>
        <v>4.0776048000000005</v>
      </c>
      <c r="Z6" s="446">
        <f t="shared" ref="Z6:Z25" si="1">AA6+AB6</f>
        <v>54.821131199999982</v>
      </c>
      <c r="AA6" s="447">
        <f>'PJU LED'!M58</f>
        <v>49.38432479999998</v>
      </c>
      <c r="AB6" s="447">
        <f>'PJU LED'!M82</f>
        <v>5.4368064000000009</v>
      </c>
      <c r="AC6" s="304">
        <f>SUM(Q6:Z6)</f>
        <v>15998.813543599999</v>
      </c>
      <c r="AD6" s="327">
        <f t="shared" ref="AD6:AD25" si="2">AC6/1000</f>
        <v>15.998813543599999</v>
      </c>
      <c r="AE6" s="322">
        <f>AE5+AC6</f>
        <v>35130.772107999997</v>
      </c>
      <c r="AF6" s="323">
        <v>15242224.488288</v>
      </c>
      <c r="AG6" s="334">
        <f t="shared" ref="AG6:AG25" si="3">AF6-AE6</f>
        <v>15207093.71618</v>
      </c>
    </row>
    <row r="7" spans="1:33" x14ac:dyDescent="0.25">
      <c r="A7" s="294">
        <v>2012</v>
      </c>
      <c r="B7" s="418">
        <f>'DATA PLTM'!F66</f>
        <v>0</v>
      </c>
      <c r="C7" s="492">
        <v>1E-4</v>
      </c>
      <c r="D7" s="227"/>
      <c r="E7" s="297"/>
      <c r="F7" s="297"/>
      <c r="G7" s="297"/>
      <c r="H7" s="227">
        <v>1E-4</v>
      </c>
      <c r="I7" s="227">
        <v>717</v>
      </c>
      <c r="J7" s="227">
        <v>60</v>
      </c>
      <c r="K7" s="433">
        <f t="shared" si="0"/>
        <v>255</v>
      </c>
      <c r="L7" s="436">
        <f>'PJU LED'!L59</f>
        <v>219</v>
      </c>
      <c r="M7" s="436">
        <f>'PJU LED'!L83</f>
        <v>36</v>
      </c>
      <c r="N7" s="374"/>
      <c r="O7" s="374"/>
      <c r="P7" s="294">
        <v>2012</v>
      </c>
      <c r="Q7" s="496">
        <f>'DATA PLTM'!J66</f>
        <v>0</v>
      </c>
      <c r="R7" s="493">
        <f>'DATA PLTM'!J90</f>
        <v>0.43291919999999995</v>
      </c>
      <c r="S7" s="283"/>
      <c r="T7" s="283"/>
      <c r="U7" s="283"/>
      <c r="V7" s="283"/>
      <c r="W7" s="283">
        <v>0.14000000000000001</v>
      </c>
      <c r="X7" s="283">
        <v>28107.556664399995</v>
      </c>
      <c r="Y7" s="57">
        <f>'PJU solar cell'!K65</f>
        <v>6.7960080000000005</v>
      </c>
      <c r="Z7" s="446">
        <f t="shared" si="1"/>
        <v>55.047664799999986</v>
      </c>
      <c r="AA7" s="447">
        <f>'PJU LED'!M59</f>
        <v>49.610858399999984</v>
      </c>
      <c r="AB7" s="447">
        <f>'PJU LED'!M83</f>
        <v>5.4368064000000009</v>
      </c>
      <c r="AC7" s="304">
        <f t="shared" ref="AC7:AC26" si="4">SUM(Q7:Z7)</f>
        <v>28169.973256399997</v>
      </c>
      <c r="AD7" s="327">
        <f t="shared" si="2"/>
        <v>28.169973256399995</v>
      </c>
      <c r="AE7" s="322">
        <f t="shared" ref="AE7:AE24" si="5">AE6+AC7</f>
        <v>63300.745364399991</v>
      </c>
      <c r="AF7" s="323">
        <v>16352477.988976004</v>
      </c>
      <c r="AG7" s="334">
        <f t="shared" si="3"/>
        <v>16289177.243611604</v>
      </c>
    </row>
    <row r="8" spans="1:33" x14ac:dyDescent="0.25">
      <c r="A8" s="294">
        <v>2013</v>
      </c>
      <c r="B8" s="418">
        <f>'DATA PLTM'!F67</f>
        <v>5.3</v>
      </c>
      <c r="C8" s="492">
        <v>0</v>
      </c>
      <c r="D8" s="227"/>
      <c r="E8" s="297"/>
      <c r="F8" s="297"/>
      <c r="G8" s="297"/>
      <c r="H8" s="227">
        <v>0</v>
      </c>
      <c r="I8" s="227">
        <v>150</v>
      </c>
      <c r="J8" s="227">
        <v>60</v>
      </c>
      <c r="K8" s="433">
        <f t="shared" si="0"/>
        <v>255</v>
      </c>
      <c r="L8" s="436">
        <f>'PJU LED'!L60</f>
        <v>219</v>
      </c>
      <c r="M8" s="436">
        <f>'PJU LED'!L84</f>
        <v>36</v>
      </c>
      <c r="N8" s="374"/>
      <c r="O8" s="374"/>
      <c r="P8" s="294">
        <v>2013</v>
      </c>
      <c r="Q8" s="496">
        <f>'DATA PLTM'!J67</f>
        <v>22944.717599999996</v>
      </c>
      <c r="R8" s="493">
        <f>'DATA PLTM'!J91</f>
        <v>0</v>
      </c>
      <c r="S8" s="283"/>
      <c r="T8" s="283"/>
      <c r="U8" s="283"/>
      <c r="V8" s="283"/>
      <c r="W8" s="283">
        <v>0</v>
      </c>
      <c r="X8" s="283">
        <v>5880.2419799999998</v>
      </c>
      <c r="Y8" s="57">
        <f>'PJU solar cell'!K66</f>
        <v>8.1552096000000009</v>
      </c>
      <c r="Z8" s="446">
        <f t="shared" si="1"/>
        <v>55.047664799999986</v>
      </c>
      <c r="AA8" s="447">
        <f>'PJU LED'!M60</f>
        <v>49.610858399999984</v>
      </c>
      <c r="AB8" s="447">
        <f>'PJU LED'!M84</f>
        <v>5.4368064000000009</v>
      </c>
      <c r="AC8" s="304">
        <f t="shared" si="4"/>
        <v>28888.162454399997</v>
      </c>
      <c r="AD8" s="327">
        <f t="shared" si="2"/>
        <v>28.888162454399996</v>
      </c>
      <c r="AE8" s="322">
        <f t="shared" si="5"/>
        <v>92188.907818799984</v>
      </c>
      <c r="AF8" s="323">
        <v>17462731.489664003</v>
      </c>
      <c r="AG8" s="334">
        <f t="shared" si="3"/>
        <v>17370542.581845202</v>
      </c>
    </row>
    <row r="9" spans="1:33" x14ac:dyDescent="0.25">
      <c r="A9" s="294">
        <v>2014</v>
      </c>
      <c r="B9" s="418">
        <f>'DATA PLTM'!F68</f>
        <v>8</v>
      </c>
      <c r="C9" s="492">
        <v>8</v>
      </c>
      <c r="D9" s="227"/>
      <c r="E9" s="297"/>
      <c r="F9" s="297"/>
      <c r="G9" s="297"/>
      <c r="H9" s="227">
        <v>2.7999999999999998E-4</v>
      </c>
      <c r="I9" s="227">
        <v>74</v>
      </c>
      <c r="J9" s="227">
        <v>60</v>
      </c>
      <c r="K9" s="433">
        <f t="shared" si="0"/>
        <v>256</v>
      </c>
      <c r="L9" s="436">
        <f>'PJU LED'!L61</f>
        <v>220</v>
      </c>
      <c r="M9" s="436">
        <f>'PJU LED'!L85</f>
        <v>36</v>
      </c>
      <c r="N9" s="374"/>
      <c r="O9" s="374"/>
      <c r="P9" s="294">
        <v>2014</v>
      </c>
      <c r="Q9" s="496">
        <f>'DATA PLTM'!J68</f>
        <v>34633.535999999993</v>
      </c>
      <c r="R9" s="493">
        <f>'DATA PLTM'!J92</f>
        <v>34633.535999999993</v>
      </c>
      <c r="S9" s="283"/>
      <c r="T9" s="283"/>
      <c r="U9" s="283"/>
      <c r="V9" s="283"/>
      <c r="W9" s="283">
        <v>3.53</v>
      </c>
      <c r="X9" s="283">
        <v>2900.9193768000005</v>
      </c>
      <c r="Y9" s="57">
        <f>'PJU solar cell'!K67</f>
        <v>8.1552096000000009</v>
      </c>
      <c r="Z9" s="446">
        <f t="shared" si="1"/>
        <v>55.274198399999982</v>
      </c>
      <c r="AA9" s="447">
        <f>'PJU LED'!M61</f>
        <v>49.83739199999998</v>
      </c>
      <c r="AB9" s="447">
        <f>'PJU LED'!M85</f>
        <v>5.4368064000000009</v>
      </c>
      <c r="AC9" s="304">
        <f t="shared" si="4"/>
        <v>72234.950784799978</v>
      </c>
      <c r="AD9" s="327">
        <f t="shared" si="2"/>
        <v>72.234950784799977</v>
      </c>
      <c r="AE9" s="322">
        <f t="shared" si="5"/>
        <v>164423.85860359995</v>
      </c>
      <c r="AF9" s="323">
        <v>18572984.990352001</v>
      </c>
      <c r="AG9" s="334">
        <f t="shared" si="3"/>
        <v>18408561.131748401</v>
      </c>
    </row>
    <row r="10" spans="1:33" x14ac:dyDescent="0.25">
      <c r="A10" s="294">
        <v>2015</v>
      </c>
      <c r="B10" s="418">
        <f>'DATA PLTM'!F69</f>
        <v>31.4</v>
      </c>
      <c r="C10" s="492">
        <v>0</v>
      </c>
      <c r="D10" s="227"/>
      <c r="E10" s="297"/>
      <c r="F10" s="297"/>
      <c r="G10" s="297"/>
      <c r="H10" s="227">
        <v>0</v>
      </c>
      <c r="I10" s="227">
        <v>80</v>
      </c>
      <c r="J10" s="227">
        <v>60</v>
      </c>
      <c r="K10" s="433">
        <f t="shared" si="0"/>
        <v>256</v>
      </c>
      <c r="L10" s="436">
        <f>'PJU LED'!L62</f>
        <v>220</v>
      </c>
      <c r="M10" s="436">
        <f>'PJU LED'!L86</f>
        <v>36</v>
      </c>
      <c r="N10" s="374"/>
      <c r="O10" s="374"/>
      <c r="P10" s="294">
        <v>2015</v>
      </c>
      <c r="Q10" s="496">
        <f>'DATA PLTM'!J69</f>
        <v>135936.62879999998</v>
      </c>
      <c r="R10" s="493">
        <f>'DATA PLTM'!J93</f>
        <v>0</v>
      </c>
      <c r="S10" s="283"/>
      <c r="T10" s="283"/>
      <c r="U10" s="283"/>
      <c r="V10" s="283"/>
      <c r="W10" s="283">
        <v>0</v>
      </c>
      <c r="X10" s="283">
        <v>3136.1290559999998</v>
      </c>
      <c r="Y10" s="57">
        <f>'PJU solar cell'!K68</f>
        <v>8.1552096000000009</v>
      </c>
      <c r="Z10" s="446">
        <f t="shared" si="1"/>
        <v>55.274198399999982</v>
      </c>
      <c r="AA10" s="447">
        <f>'PJU LED'!M62</f>
        <v>49.83739199999998</v>
      </c>
      <c r="AB10" s="447">
        <f>'PJU LED'!M86</f>
        <v>5.4368064000000009</v>
      </c>
      <c r="AC10" s="304">
        <f t="shared" si="4"/>
        <v>139136.18726399998</v>
      </c>
      <c r="AD10" s="327">
        <f t="shared" si="2"/>
        <v>139.13618726399997</v>
      </c>
      <c r="AE10" s="322">
        <f t="shared" si="5"/>
        <v>303560.0458675999</v>
      </c>
      <c r="AF10" s="323">
        <v>19683238.491039999</v>
      </c>
      <c r="AG10" s="334">
        <f t="shared" si="3"/>
        <v>19379678.445172399</v>
      </c>
    </row>
    <row r="11" spans="1:33" x14ac:dyDescent="0.25">
      <c r="A11" s="294">
        <v>2016</v>
      </c>
      <c r="B11" s="418">
        <f>'DATA PLTM'!F70</f>
        <v>3</v>
      </c>
      <c r="C11" s="492">
        <v>8</v>
      </c>
      <c r="D11" s="227"/>
      <c r="E11" s="297"/>
      <c r="F11" s="297"/>
      <c r="G11" s="297"/>
      <c r="H11" s="227"/>
      <c r="I11" s="227">
        <v>83</v>
      </c>
      <c r="J11" s="227">
        <v>60</v>
      </c>
      <c r="K11" s="433">
        <f t="shared" si="0"/>
        <v>257</v>
      </c>
      <c r="L11" s="436">
        <f>'PJU LED'!L63</f>
        <v>220</v>
      </c>
      <c r="M11" s="436">
        <f>'PJU LED'!L87</f>
        <v>37</v>
      </c>
      <c r="N11" s="374"/>
      <c r="O11" s="374"/>
      <c r="P11" s="294">
        <v>2016</v>
      </c>
      <c r="Q11" s="496">
        <f>'DATA PLTM'!J70</f>
        <v>12987.575999999997</v>
      </c>
      <c r="R11" s="493">
        <f>'DATA PLTM'!J94</f>
        <v>34633.535999999993</v>
      </c>
      <c r="S11" s="283"/>
      <c r="T11" s="283"/>
      <c r="U11" s="283"/>
      <c r="V11" s="283"/>
      <c r="W11" s="283"/>
      <c r="X11" s="283">
        <v>3253.7338955999999</v>
      </c>
      <c r="Y11" s="57">
        <f>'PJU solar cell'!K69</f>
        <v>8.1552096000000009</v>
      </c>
      <c r="Z11" s="446">
        <f t="shared" si="1"/>
        <v>55.425220799999984</v>
      </c>
      <c r="AA11" s="447">
        <f>'PJU LED'!M63</f>
        <v>49.83739199999998</v>
      </c>
      <c r="AB11" s="447">
        <f>'PJU LED'!M87</f>
        <v>5.5878288000000014</v>
      </c>
      <c r="AC11" s="304">
        <f t="shared" si="4"/>
        <v>50938.426326000001</v>
      </c>
      <c r="AD11" s="327">
        <f t="shared" si="2"/>
        <v>50.938426325999998</v>
      </c>
      <c r="AE11" s="322">
        <f t="shared" si="5"/>
        <v>354498.47219359991</v>
      </c>
      <c r="AF11" s="323">
        <v>21063296.927415997</v>
      </c>
      <c r="AG11" s="334">
        <f t="shared" si="3"/>
        <v>20708798.455222398</v>
      </c>
    </row>
    <row r="12" spans="1:33" x14ac:dyDescent="0.25">
      <c r="A12" s="294">
        <v>2017</v>
      </c>
      <c r="B12" s="418">
        <f>'DATA PLTM'!F71</f>
        <v>30.6</v>
      </c>
      <c r="C12" s="492">
        <v>0.63</v>
      </c>
      <c r="D12" s="227"/>
      <c r="E12" s="297">
        <v>12</v>
      </c>
      <c r="F12" s="297"/>
      <c r="G12" s="297"/>
      <c r="H12" s="227">
        <v>1.4644E-3</v>
      </c>
      <c r="I12" s="227">
        <v>94</v>
      </c>
      <c r="J12" s="227">
        <v>60</v>
      </c>
      <c r="K12" s="433">
        <f t="shared" si="0"/>
        <v>257</v>
      </c>
      <c r="L12" s="436">
        <f>'PJU LED'!L64</f>
        <v>220</v>
      </c>
      <c r="M12" s="436">
        <f>'PJU LED'!L88</f>
        <v>37</v>
      </c>
      <c r="N12" s="374"/>
      <c r="O12" s="374"/>
      <c r="P12" s="294">
        <v>2017</v>
      </c>
      <c r="Q12" s="496">
        <f>'DATA PLTM'!J71</f>
        <v>132473.27519999997</v>
      </c>
      <c r="R12" s="493">
        <f>'DATA PLTM'!J95</f>
        <v>2727.3909599999993</v>
      </c>
      <c r="S12" s="283"/>
      <c r="T12" s="283">
        <f>'HIT HIBRID ROOFTOP'!J8</f>
        <v>90.613439999999997</v>
      </c>
      <c r="U12" s="283"/>
      <c r="V12" s="283"/>
      <c r="W12" s="283">
        <v>9056.6696639999991</v>
      </c>
      <c r="X12" s="283">
        <v>3684.9516407999995</v>
      </c>
      <c r="Y12" s="57">
        <f>'PJU solar cell'!K70</f>
        <v>8.1552096000000009</v>
      </c>
      <c r="Z12" s="446">
        <f t="shared" si="1"/>
        <v>55.425220799999984</v>
      </c>
      <c r="AA12" s="447">
        <f>'PJU LED'!M64</f>
        <v>49.83739199999998</v>
      </c>
      <c r="AB12" s="447">
        <f>'PJU LED'!M88</f>
        <v>5.5878288000000014</v>
      </c>
      <c r="AC12" s="304">
        <f t="shared" si="4"/>
        <v>148096.48133519993</v>
      </c>
      <c r="AD12" s="327">
        <f t="shared" si="2"/>
        <v>148.09648133519994</v>
      </c>
      <c r="AE12" s="322">
        <f t="shared" si="5"/>
        <v>502594.95352879982</v>
      </c>
      <c r="AF12" s="323">
        <v>22443355.363791998</v>
      </c>
      <c r="AG12" s="334">
        <f t="shared" si="3"/>
        <v>21940760.410263199</v>
      </c>
    </row>
    <row r="13" spans="1:33" x14ac:dyDescent="0.25">
      <c r="A13" s="294">
        <v>2018</v>
      </c>
      <c r="B13" s="418">
        <f>'DATA PLTM'!F72</f>
        <v>17.8</v>
      </c>
      <c r="C13" s="492">
        <f>'DATA PLTM'!F96</f>
        <v>8.153946510110895E-3</v>
      </c>
      <c r="D13" s="227"/>
      <c r="E13" s="297"/>
      <c r="F13" s="297"/>
      <c r="G13" s="297"/>
      <c r="H13" s="227"/>
      <c r="I13" s="227">
        <v>195</v>
      </c>
      <c r="J13" s="227">
        <v>60</v>
      </c>
      <c r="K13" s="433">
        <f t="shared" si="0"/>
        <v>258</v>
      </c>
      <c r="L13" s="436">
        <f>'PJU LED'!L65</f>
        <v>221</v>
      </c>
      <c r="M13" s="436">
        <f>'PJU LED'!L89</f>
        <v>37</v>
      </c>
      <c r="N13" s="374"/>
      <c r="O13" s="374"/>
      <c r="P13" s="294">
        <v>2018</v>
      </c>
      <c r="Q13" s="496">
        <f>'DATA PLTM'!J72</f>
        <v>77059.617599999983</v>
      </c>
      <c r="R13" s="493">
        <f>'DATA PLTM'!J96</f>
        <v>35.299999999999997</v>
      </c>
      <c r="S13" s="283"/>
      <c r="T13" s="283">
        <f>'HIT HIBRID ROOFTOP'!J9</f>
        <v>0</v>
      </c>
      <c r="U13" s="283"/>
      <c r="V13" s="283"/>
      <c r="W13" s="283"/>
      <c r="X13" s="283">
        <v>7644.314574</v>
      </c>
      <c r="Y13" s="57">
        <f>'PJU solar cell'!K71</f>
        <v>8.1552096000000009</v>
      </c>
      <c r="Z13" s="446">
        <f t="shared" si="1"/>
        <v>55.651754399999987</v>
      </c>
      <c r="AA13" s="447">
        <f>'PJU LED'!M65</f>
        <v>50.063925599999983</v>
      </c>
      <c r="AB13" s="447">
        <f>'PJU LED'!M89</f>
        <v>5.5878288000000014</v>
      </c>
      <c r="AC13" s="304">
        <f t="shared" si="4"/>
        <v>84803.039137999978</v>
      </c>
      <c r="AD13" s="327">
        <f t="shared" si="2"/>
        <v>84.803039137999974</v>
      </c>
      <c r="AE13" s="322">
        <f t="shared" si="5"/>
        <v>587397.99266679981</v>
      </c>
      <c r="AF13" s="323">
        <v>23823413.800168</v>
      </c>
      <c r="AG13" s="334">
        <f t="shared" si="3"/>
        <v>23236015.807501201</v>
      </c>
    </row>
    <row r="14" spans="1:33" x14ac:dyDescent="0.25">
      <c r="A14" s="294">
        <v>2019</v>
      </c>
      <c r="B14" s="418">
        <f>'DATA PLTM'!F73</f>
        <v>41.82</v>
      </c>
      <c r="C14" s="492">
        <f>'DATA PLTM'!F97</f>
        <v>8.153946510110895E-3</v>
      </c>
      <c r="D14" s="227"/>
      <c r="E14" s="297">
        <v>28.8</v>
      </c>
      <c r="F14" s="297">
        <f>'HIT PLTB'!E5</f>
        <v>100</v>
      </c>
      <c r="G14" s="297"/>
      <c r="H14" s="227"/>
      <c r="I14" s="227">
        <v>100</v>
      </c>
      <c r="J14" s="227">
        <v>60</v>
      </c>
      <c r="K14" s="433">
        <f t="shared" si="0"/>
        <v>258</v>
      </c>
      <c r="L14" s="436">
        <f>'PJU LED'!L66</f>
        <v>221</v>
      </c>
      <c r="M14" s="436">
        <f>'PJU LED'!L90</f>
        <v>37</v>
      </c>
      <c r="N14" s="374"/>
      <c r="O14" s="374"/>
      <c r="P14" s="294">
        <v>2019</v>
      </c>
      <c r="Q14" s="496">
        <f>'DATA PLTM'!J73</f>
        <v>181046.80943999995</v>
      </c>
      <c r="R14" s="493">
        <f>'DATA PLTM'!J97</f>
        <v>35.299999999999997</v>
      </c>
      <c r="S14" s="493"/>
      <c r="T14" s="283">
        <f>'HIT HIBRID ROOFTOP'!J10</f>
        <v>217.47225599999999</v>
      </c>
      <c r="U14" s="495">
        <f>'HIT PLTB'!I5</f>
        <v>123691.2</v>
      </c>
      <c r="V14" s="23"/>
      <c r="W14" s="283"/>
      <c r="X14" s="283">
        <v>3920.1613200000002</v>
      </c>
      <c r="Y14" s="57">
        <f>'PJU solar cell'!K72</f>
        <v>8.1552096000000009</v>
      </c>
      <c r="Z14" s="446">
        <f t="shared" si="1"/>
        <v>55.651754399999987</v>
      </c>
      <c r="AA14" s="447">
        <f>'PJU LED'!M66</f>
        <v>50.063925599999983</v>
      </c>
      <c r="AB14" s="447">
        <f>'PJU LED'!M90</f>
        <v>5.5878288000000014</v>
      </c>
      <c r="AC14" s="304">
        <f t="shared" si="4"/>
        <v>308974.74997999996</v>
      </c>
      <c r="AD14" s="327">
        <f t="shared" si="2"/>
        <v>308.97474997999996</v>
      </c>
      <c r="AE14" s="322">
        <f t="shared" si="5"/>
        <v>896372.74264679977</v>
      </c>
      <c r="AF14" s="323">
        <v>25203472.236544002</v>
      </c>
      <c r="AG14" s="334">
        <f t="shared" si="3"/>
        <v>24307099.493897203</v>
      </c>
    </row>
    <row r="15" spans="1:33" x14ac:dyDescent="0.25">
      <c r="A15" s="294">
        <v>2020</v>
      </c>
      <c r="B15" s="418">
        <f>'DATA PLTM'!F74</f>
        <v>63.88</v>
      </c>
      <c r="C15" s="492">
        <f>'DATA PLTM'!F98</f>
        <v>8.153946510110895E-3</v>
      </c>
      <c r="D15" s="227">
        <v>10</v>
      </c>
      <c r="E15" s="297">
        <v>28.8</v>
      </c>
      <c r="F15" s="297">
        <f>'HIT PLTB'!E6</f>
        <v>100</v>
      </c>
      <c r="G15" s="297"/>
      <c r="H15" s="227"/>
      <c r="I15" s="227">
        <v>100</v>
      </c>
      <c r="J15" s="227">
        <v>60</v>
      </c>
      <c r="K15" s="433">
        <f t="shared" si="0"/>
        <v>258</v>
      </c>
      <c r="L15" s="436">
        <f>'PJU LED'!L67</f>
        <v>221</v>
      </c>
      <c r="M15" s="436">
        <f>'PJU LED'!L91</f>
        <v>37</v>
      </c>
      <c r="N15" s="374"/>
      <c r="O15" s="374"/>
      <c r="P15" s="294">
        <v>2020</v>
      </c>
      <c r="Q15" s="496">
        <f>'DATA PLTM'!J74</f>
        <v>276548.78495999996</v>
      </c>
      <c r="R15" s="493">
        <f>'DATA PLTM'!J98</f>
        <v>35.299999999999997</v>
      </c>
      <c r="S15" s="493">
        <f>PLTSa!P4</f>
        <v>43291.919999999991</v>
      </c>
      <c r="T15" s="283">
        <f>'HIT HIBRID ROOFTOP'!J11</f>
        <v>217.47225599999999</v>
      </c>
      <c r="U15" s="495">
        <f>'HIT PLTB'!I6</f>
        <v>123691.2</v>
      </c>
      <c r="V15" s="23"/>
      <c r="W15" s="283"/>
      <c r="X15" s="283">
        <v>3920.1613200000002</v>
      </c>
      <c r="Y15" s="57">
        <f>'PJU solar cell'!K73</f>
        <v>8.1552096000000009</v>
      </c>
      <c r="Z15" s="446">
        <f t="shared" si="1"/>
        <v>55.651754399999987</v>
      </c>
      <c r="AA15" s="447">
        <f>'PJU LED'!M67</f>
        <v>50.063925599999983</v>
      </c>
      <c r="AB15" s="447">
        <f>'PJU LED'!M91</f>
        <v>5.5878288000000014</v>
      </c>
      <c r="AC15" s="304">
        <f t="shared" si="4"/>
        <v>447768.64549999993</v>
      </c>
      <c r="AD15" s="327">
        <f t="shared" si="2"/>
        <v>447.76864549999993</v>
      </c>
      <c r="AE15" s="322">
        <f t="shared" si="5"/>
        <v>1344141.3881467998</v>
      </c>
      <c r="AF15" s="324">
        <v>26583530.672920004</v>
      </c>
      <c r="AG15" s="334">
        <f t="shared" si="3"/>
        <v>25239389.284773204</v>
      </c>
    </row>
    <row r="16" spans="1:33" x14ac:dyDescent="0.25">
      <c r="A16" s="294">
        <v>2021</v>
      </c>
      <c r="B16" s="418">
        <f>'DATA PLTM'!F75</f>
        <v>17.344000000000001</v>
      </c>
      <c r="C16" s="492">
        <f>'DATA PLTM'!F99</f>
        <v>8.153946510110895E-3</v>
      </c>
      <c r="D16" s="227">
        <v>10</v>
      </c>
      <c r="E16" s="297">
        <v>28.8</v>
      </c>
      <c r="F16" s="297"/>
      <c r="G16" s="297">
        <f>'HITGN PLT PUMP STORAGE'!E24</f>
        <v>312</v>
      </c>
      <c r="H16" s="227"/>
      <c r="I16" s="227">
        <v>100</v>
      </c>
      <c r="J16" s="227">
        <v>60</v>
      </c>
      <c r="K16" s="433">
        <f t="shared" si="0"/>
        <v>258</v>
      </c>
      <c r="L16" s="436">
        <f>'PJU LED'!L68</f>
        <v>221</v>
      </c>
      <c r="M16" s="436">
        <f>'PJU LED'!L92</f>
        <v>37</v>
      </c>
      <c r="N16" s="374"/>
      <c r="O16" s="374"/>
      <c r="P16" s="294">
        <v>2021</v>
      </c>
      <c r="Q16" s="496">
        <f>'DATA PLTM'!J75</f>
        <v>75085.506047999996</v>
      </c>
      <c r="R16" s="493">
        <f>'DATA PLTM'!J99</f>
        <v>35.299999999999997</v>
      </c>
      <c r="S16" s="493">
        <f>PLTSa!P5</f>
        <v>43291.919999999991</v>
      </c>
      <c r="T16" s="283">
        <f>'HIT HIBRID ROOFTOP'!J12</f>
        <v>217.47225599999999</v>
      </c>
      <c r="U16" s="283"/>
      <c r="V16" s="283">
        <f>'HITGN PLT PUMP STORAGE'!I24</f>
        <v>1350707.9039999999</v>
      </c>
      <c r="W16" s="283"/>
      <c r="X16" s="283">
        <v>3920.1613200000002</v>
      </c>
      <c r="Y16" s="57">
        <f>'PJU solar cell'!K74</f>
        <v>8.1552096000000009</v>
      </c>
      <c r="Z16" s="446">
        <f t="shared" si="1"/>
        <v>55.651754399999987</v>
      </c>
      <c r="AA16" s="447">
        <f>'PJU LED'!M68</f>
        <v>50.063925599999983</v>
      </c>
      <c r="AB16" s="447">
        <f>'PJU LED'!M92</f>
        <v>5.5878288000000014</v>
      </c>
      <c r="AC16" s="304">
        <f t="shared" si="4"/>
        <v>1473322.0705879999</v>
      </c>
      <c r="AD16" s="327">
        <f t="shared" si="2"/>
        <v>1473.3220705879999</v>
      </c>
      <c r="AE16" s="322">
        <f t="shared" si="5"/>
        <v>2817463.4587347996</v>
      </c>
      <c r="AF16" s="323">
        <v>28756664.710143995</v>
      </c>
      <c r="AG16" s="334">
        <f t="shared" si="3"/>
        <v>25939201.251409195</v>
      </c>
    </row>
    <row r="17" spans="1:55" x14ac:dyDescent="0.25">
      <c r="A17" s="294">
        <v>2022</v>
      </c>
      <c r="B17" s="418">
        <f>'DATA PLTM'!F76</f>
        <v>0</v>
      </c>
      <c r="C17" s="492">
        <f>'DATA PLTM'!F100</f>
        <v>8.153946510110895E-3</v>
      </c>
      <c r="D17" s="227"/>
      <c r="E17" s="297">
        <v>28.8</v>
      </c>
      <c r="F17" s="297"/>
      <c r="G17" s="297">
        <f>'HITGN PLT PUMP STORAGE'!E25</f>
        <v>312</v>
      </c>
      <c r="H17" s="227"/>
      <c r="I17" s="227">
        <v>100</v>
      </c>
      <c r="J17" s="227">
        <v>60</v>
      </c>
      <c r="K17" s="433">
        <f t="shared" si="0"/>
        <v>258</v>
      </c>
      <c r="L17" s="436">
        <f>'PJU LED'!L69</f>
        <v>221</v>
      </c>
      <c r="M17" s="436">
        <f>'PJU LED'!L93</f>
        <v>37</v>
      </c>
      <c r="N17" s="374"/>
      <c r="O17" s="374"/>
      <c r="P17" s="294">
        <v>2022</v>
      </c>
      <c r="Q17" s="496">
        <f>'DATA PLTM'!J76</f>
        <v>0</v>
      </c>
      <c r="R17" s="493">
        <f>'DATA PLTM'!J100</f>
        <v>35.299999999999997</v>
      </c>
      <c r="S17" s="494"/>
      <c r="T17" s="283">
        <f>'HIT HIBRID ROOFTOP'!J13</f>
        <v>217.47225599999999</v>
      </c>
      <c r="U17" s="283"/>
      <c r="V17" s="283">
        <f>'HITGN PLT PUMP STORAGE'!I25</f>
        <v>1350707.9039999999</v>
      </c>
      <c r="W17" s="283"/>
      <c r="X17" s="283">
        <v>3920.1613200000002</v>
      </c>
      <c r="Y17" s="57">
        <f>'PJU solar cell'!K75</f>
        <v>8.1552096000000009</v>
      </c>
      <c r="Z17" s="446">
        <f t="shared" si="1"/>
        <v>55.651754399999987</v>
      </c>
      <c r="AA17" s="447">
        <f>'PJU LED'!M69</f>
        <v>50.063925599999983</v>
      </c>
      <c r="AB17" s="447">
        <f>'PJU LED'!M93</f>
        <v>5.5878288000000014</v>
      </c>
      <c r="AC17" s="304">
        <f t="shared" si="4"/>
        <v>1354944.6445399998</v>
      </c>
      <c r="AD17" s="327">
        <f t="shared" si="2"/>
        <v>1354.9446445399997</v>
      </c>
      <c r="AE17" s="322">
        <f t="shared" si="5"/>
        <v>4172408.1032747994</v>
      </c>
      <c r="AF17" s="323">
        <v>30821457.299832001</v>
      </c>
      <c r="AG17" s="334">
        <f t="shared" si="3"/>
        <v>26649049.196557201</v>
      </c>
    </row>
    <row r="18" spans="1:55" x14ac:dyDescent="0.25">
      <c r="A18" s="294">
        <v>2023</v>
      </c>
      <c r="B18" s="418">
        <f>'DATA PLTM'!F77</f>
        <v>0</v>
      </c>
      <c r="C18" s="492">
        <f>'DATA PLTM'!F101</f>
        <v>8.153946510110895E-3</v>
      </c>
      <c r="D18" s="227">
        <v>10</v>
      </c>
      <c r="E18" s="297">
        <v>28.8</v>
      </c>
      <c r="F18" s="297"/>
      <c r="G18" s="297"/>
      <c r="H18" s="227"/>
      <c r="I18" s="227">
        <v>100</v>
      </c>
      <c r="J18" s="227">
        <v>60</v>
      </c>
      <c r="K18" s="433">
        <f t="shared" si="0"/>
        <v>258</v>
      </c>
      <c r="L18" s="436">
        <f>'PJU LED'!L70</f>
        <v>221</v>
      </c>
      <c r="M18" s="436">
        <f>'PJU LED'!L94</f>
        <v>37</v>
      </c>
      <c r="N18" s="374"/>
      <c r="O18" s="374"/>
      <c r="P18" s="294">
        <v>2023</v>
      </c>
      <c r="Q18" s="496">
        <f>'DATA PLTM'!J77</f>
        <v>0</v>
      </c>
      <c r="R18" s="493">
        <f>'DATA PLTM'!J101</f>
        <v>35.299999999999997</v>
      </c>
      <c r="S18" s="493">
        <f>PLTSa!P6</f>
        <v>43291.919999999991</v>
      </c>
      <c r="T18" s="283">
        <f>'HIT HIBRID ROOFTOP'!J14</f>
        <v>217.47225599999999</v>
      </c>
      <c r="U18" s="283"/>
      <c r="V18" s="283"/>
      <c r="W18" s="283"/>
      <c r="X18" s="283">
        <v>3920.1613200000002</v>
      </c>
      <c r="Y18" s="57">
        <f>'PJU solar cell'!K76</f>
        <v>8.1552096000000009</v>
      </c>
      <c r="Z18" s="446">
        <f t="shared" si="1"/>
        <v>55.651754399999987</v>
      </c>
      <c r="AA18" s="447">
        <f>'PJU LED'!M70</f>
        <v>50.063925599999983</v>
      </c>
      <c r="AB18" s="447">
        <f>'PJU LED'!M94</f>
        <v>5.5878288000000014</v>
      </c>
      <c r="AC18" s="304">
        <f t="shared" si="4"/>
        <v>47528.660539999997</v>
      </c>
      <c r="AD18" s="327">
        <f t="shared" si="2"/>
        <v>47.528660539999997</v>
      </c>
      <c r="AE18" s="322">
        <f t="shared" si="5"/>
        <v>4219936.7638147995</v>
      </c>
      <c r="AF18" s="323">
        <v>32886249.889519997</v>
      </c>
      <c r="AG18" s="334">
        <f t="shared" si="3"/>
        <v>28666313.125705197</v>
      </c>
    </row>
    <row r="19" spans="1:55" x14ac:dyDescent="0.25">
      <c r="A19" s="294">
        <v>2024</v>
      </c>
      <c r="B19" s="418">
        <f>'DATA PLTM'!F78</f>
        <v>23.4</v>
      </c>
      <c r="C19" s="492">
        <f>'DATA PLTM'!F102</f>
        <v>8.153946510110895E-3</v>
      </c>
      <c r="D19" s="227"/>
      <c r="E19" s="297">
        <v>28.8</v>
      </c>
      <c r="F19" s="297"/>
      <c r="G19" s="297"/>
      <c r="H19" s="227"/>
      <c r="I19" s="227">
        <v>100</v>
      </c>
      <c r="J19" s="227">
        <v>60</v>
      </c>
      <c r="K19" s="433">
        <f t="shared" si="0"/>
        <v>258</v>
      </c>
      <c r="L19" s="436">
        <f>'PJU LED'!L71</f>
        <v>221</v>
      </c>
      <c r="M19" s="436">
        <f>'PJU LED'!L95</f>
        <v>37</v>
      </c>
      <c r="N19" s="374"/>
      <c r="O19" s="374"/>
      <c r="P19" s="294">
        <v>2024</v>
      </c>
      <c r="Q19" s="496">
        <f>'DATA PLTM'!J78</f>
        <v>101303.09279999997</v>
      </c>
      <c r="R19" s="493">
        <f>'DATA PLTM'!J102</f>
        <v>35.299999999999997</v>
      </c>
      <c r="S19" s="494"/>
      <c r="T19" s="283">
        <f>'HIT HIBRID ROOFTOP'!J15</f>
        <v>217.47225599999999</v>
      </c>
      <c r="U19" s="283"/>
      <c r="V19" s="283"/>
      <c r="W19" s="283"/>
      <c r="X19" s="283">
        <v>3920.1613200000002</v>
      </c>
      <c r="Y19" s="57">
        <f>'PJU solar cell'!K77</f>
        <v>8.1552096000000009</v>
      </c>
      <c r="Z19" s="446">
        <f t="shared" si="1"/>
        <v>55.651754399999987</v>
      </c>
      <c r="AA19" s="447">
        <f>'PJU LED'!M71</f>
        <v>50.063925599999983</v>
      </c>
      <c r="AB19" s="447">
        <f>'PJU LED'!M95</f>
        <v>5.5878288000000014</v>
      </c>
      <c r="AC19" s="304">
        <f t="shared" si="4"/>
        <v>105539.83333999995</v>
      </c>
      <c r="AD19" s="327">
        <f t="shared" si="2"/>
        <v>105.53983333999996</v>
      </c>
      <c r="AE19" s="322">
        <f t="shared" si="5"/>
        <v>4325476.5971547998</v>
      </c>
      <c r="AF19" s="323">
        <v>34951042.479208</v>
      </c>
      <c r="AG19" s="334">
        <f t="shared" si="3"/>
        <v>30625565.8820532</v>
      </c>
    </row>
    <row r="20" spans="1:55" x14ac:dyDescent="0.25">
      <c r="A20" s="294">
        <v>2025</v>
      </c>
      <c r="B20" s="418">
        <f>'DATA PLTM'!F79</f>
        <v>0</v>
      </c>
      <c r="C20" s="492">
        <f>'DATA PLTM'!F103</f>
        <v>8.153946510110895E-3</v>
      </c>
      <c r="D20" s="227">
        <v>10</v>
      </c>
      <c r="E20" s="297">
        <v>28.8</v>
      </c>
      <c r="F20" s="297"/>
      <c r="G20" s="297"/>
      <c r="H20" s="227"/>
      <c r="I20" s="227">
        <v>100</v>
      </c>
      <c r="J20" s="227">
        <v>60</v>
      </c>
      <c r="K20" s="433">
        <f t="shared" si="0"/>
        <v>258</v>
      </c>
      <c r="L20" s="436">
        <f>'PJU LED'!L72</f>
        <v>221</v>
      </c>
      <c r="M20" s="436">
        <f>'PJU LED'!L96</f>
        <v>37</v>
      </c>
      <c r="N20" s="374"/>
      <c r="O20" s="374"/>
      <c r="P20" s="294">
        <v>2025</v>
      </c>
      <c r="Q20" s="496">
        <f>'DATA PLTM'!J79</f>
        <v>0</v>
      </c>
      <c r="R20" s="493">
        <f>'DATA PLTM'!J103</f>
        <v>35.299999999999997</v>
      </c>
      <c r="S20" s="493">
        <f>PLTSa!P7</f>
        <v>43291.919999999991</v>
      </c>
      <c r="T20" s="283">
        <f>'HIT HIBRID ROOFTOP'!J16</f>
        <v>217.47225599999999</v>
      </c>
      <c r="U20" s="283"/>
      <c r="V20" s="283"/>
      <c r="W20" s="283"/>
      <c r="X20" s="283">
        <v>3920.1613200000002</v>
      </c>
      <c r="Y20" s="57">
        <f>'PJU solar cell'!K78</f>
        <v>8.1552096000000009</v>
      </c>
      <c r="Z20" s="446">
        <f t="shared" si="1"/>
        <v>55.651754399999987</v>
      </c>
      <c r="AA20" s="447">
        <f>'PJU LED'!M72</f>
        <v>50.063925599999983</v>
      </c>
      <c r="AB20" s="447">
        <f>'PJU LED'!M96</f>
        <v>5.5878288000000014</v>
      </c>
      <c r="AC20" s="304">
        <f t="shared" si="4"/>
        <v>47528.660539999997</v>
      </c>
      <c r="AD20" s="327">
        <f t="shared" si="2"/>
        <v>47.528660539999997</v>
      </c>
      <c r="AE20" s="322">
        <f t="shared" si="5"/>
        <v>4373005.2576947995</v>
      </c>
      <c r="AF20" s="323">
        <v>36711946.621359996</v>
      </c>
      <c r="AG20" s="334">
        <f t="shared" si="3"/>
        <v>32338941.363665197</v>
      </c>
    </row>
    <row r="21" spans="1:55" x14ac:dyDescent="0.25">
      <c r="A21" s="294">
        <v>2026</v>
      </c>
      <c r="B21" s="418">
        <f>'DATA PLTM'!F80</f>
        <v>0</v>
      </c>
      <c r="C21" s="492">
        <f>'DATA PLTM'!F104</f>
        <v>8.153946510110895E-3</v>
      </c>
      <c r="D21" s="227"/>
      <c r="E21" s="297">
        <v>28.8</v>
      </c>
      <c r="F21" s="297"/>
      <c r="G21" s="297"/>
      <c r="H21" s="227"/>
      <c r="I21" s="227">
        <v>100</v>
      </c>
      <c r="J21" s="227">
        <v>60</v>
      </c>
      <c r="K21" s="433">
        <f t="shared" si="0"/>
        <v>258</v>
      </c>
      <c r="L21" s="436">
        <f>'PJU LED'!L73</f>
        <v>221</v>
      </c>
      <c r="M21" s="436">
        <f>'PJU LED'!L97</f>
        <v>37</v>
      </c>
      <c r="N21" s="374"/>
      <c r="O21" s="374"/>
      <c r="P21" s="294">
        <v>2026</v>
      </c>
      <c r="Q21" s="496">
        <f>'DATA PLTM'!J80</f>
        <v>0</v>
      </c>
      <c r="R21" s="493">
        <f>'DATA PLTM'!J104</f>
        <v>35.299999999999997</v>
      </c>
      <c r="S21" s="283"/>
      <c r="T21" s="283">
        <f>'HIT HIBRID ROOFTOP'!J17</f>
        <v>217.47225599999999</v>
      </c>
      <c r="U21" s="283"/>
      <c r="V21" s="283"/>
      <c r="W21" s="283"/>
      <c r="X21" s="283">
        <v>3920.1613200000002</v>
      </c>
      <c r="Y21" s="57">
        <f>'PJU solar cell'!K79</f>
        <v>8.1552096000000009</v>
      </c>
      <c r="Z21" s="446">
        <f t="shared" si="1"/>
        <v>55.651754399999987</v>
      </c>
      <c r="AA21" s="447">
        <f>'PJU LED'!M73</f>
        <v>50.063925599999983</v>
      </c>
      <c r="AB21" s="447">
        <f>'PJU LED'!M97</f>
        <v>5.5878288000000014</v>
      </c>
      <c r="AC21" s="304">
        <f t="shared" si="4"/>
        <v>4236.7405399999998</v>
      </c>
      <c r="AD21" s="327">
        <f t="shared" si="2"/>
        <v>4.2367405399999996</v>
      </c>
      <c r="AE21" s="322">
        <f t="shared" si="5"/>
        <v>4377241.9982347991</v>
      </c>
      <c r="AF21" s="323">
        <v>40362973.365040004</v>
      </c>
      <c r="AG21" s="334">
        <f t="shared" si="3"/>
        <v>35985731.366805203</v>
      </c>
    </row>
    <row r="22" spans="1:55" x14ac:dyDescent="0.25">
      <c r="A22" s="294">
        <v>2027</v>
      </c>
      <c r="B22" s="418">
        <f>'DATA PLTM'!F81</f>
        <v>0</v>
      </c>
      <c r="C22" s="492">
        <f>'DATA PLTM'!F105</f>
        <v>8.153946510110895E-3</v>
      </c>
      <c r="D22" s="227"/>
      <c r="E22" s="297">
        <v>28.8</v>
      </c>
      <c r="F22" s="297"/>
      <c r="G22" s="297"/>
      <c r="H22" s="227"/>
      <c r="I22" s="227">
        <v>100</v>
      </c>
      <c r="J22" s="227">
        <v>60</v>
      </c>
      <c r="K22" s="433">
        <f t="shared" si="0"/>
        <v>258</v>
      </c>
      <c r="L22" s="436">
        <f>'PJU LED'!L74</f>
        <v>221</v>
      </c>
      <c r="M22" s="436">
        <f>'PJU LED'!L98</f>
        <v>37</v>
      </c>
      <c r="N22" s="374"/>
      <c r="O22" s="374"/>
      <c r="P22" s="294">
        <v>2027</v>
      </c>
      <c r="Q22" s="496">
        <f>'DATA PLTM'!J81</f>
        <v>0</v>
      </c>
      <c r="R22" s="493">
        <f>'DATA PLTM'!J105</f>
        <v>35.299999999999997</v>
      </c>
      <c r="S22" s="283"/>
      <c r="T22" s="283">
        <f>'HIT HIBRID ROOFTOP'!J18</f>
        <v>217.47225599999999</v>
      </c>
      <c r="U22" s="283"/>
      <c r="V22" s="283"/>
      <c r="W22" s="283"/>
      <c r="X22" s="283">
        <v>3920.1613200000002</v>
      </c>
      <c r="Y22" s="57">
        <f>'PJU solar cell'!K80</f>
        <v>8.1552096000000009</v>
      </c>
      <c r="Z22" s="446">
        <f t="shared" si="1"/>
        <v>55.651754399999987</v>
      </c>
      <c r="AA22" s="447">
        <f>'PJU LED'!M74</f>
        <v>50.063925599999983</v>
      </c>
      <c r="AB22" s="447">
        <f>'PJU LED'!M98</f>
        <v>5.5878288000000014</v>
      </c>
      <c r="AC22" s="304">
        <f t="shared" si="4"/>
        <v>4236.7405399999998</v>
      </c>
      <c r="AD22" s="327">
        <f t="shared" si="2"/>
        <v>4.2367405399999996</v>
      </c>
      <c r="AE22" s="322">
        <f t="shared" si="5"/>
        <v>4381478.7387747988</v>
      </c>
      <c r="AF22" s="323">
        <v>44014000.108720005</v>
      </c>
      <c r="AG22" s="334">
        <f t="shared" si="3"/>
        <v>39632521.369945206</v>
      </c>
    </row>
    <row r="23" spans="1:55" x14ac:dyDescent="0.25">
      <c r="A23" s="294">
        <v>2028</v>
      </c>
      <c r="B23" s="418">
        <f>'DATA PLTM'!F82</f>
        <v>0</v>
      </c>
      <c r="C23" s="492">
        <f>'DATA PLTM'!F106</f>
        <v>8.153946510110895E-3</v>
      </c>
      <c r="D23" s="227"/>
      <c r="E23" s="297">
        <v>28.8</v>
      </c>
      <c r="F23" s="297"/>
      <c r="G23" s="297"/>
      <c r="H23" s="227"/>
      <c r="I23" s="227">
        <v>100</v>
      </c>
      <c r="J23" s="227">
        <v>60</v>
      </c>
      <c r="K23" s="433">
        <f t="shared" si="0"/>
        <v>258</v>
      </c>
      <c r="L23" s="436">
        <f>'PJU LED'!L75</f>
        <v>221</v>
      </c>
      <c r="M23" s="436">
        <f>'PJU LED'!L99</f>
        <v>37</v>
      </c>
      <c r="N23" s="374"/>
      <c r="O23" s="374"/>
      <c r="P23" s="294">
        <v>2028</v>
      </c>
      <c r="Q23" s="496">
        <f>'DATA PLTM'!J82</f>
        <v>0</v>
      </c>
      <c r="R23" s="493">
        <f>'DATA PLTM'!J106</f>
        <v>35.299999999999997</v>
      </c>
      <c r="S23" s="283"/>
      <c r="T23" s="283">
        <f>'HIT HIBRID ROOFTOP'!J19</f>
        <v>217.47225599999999</v>
      </c>
      <c r="U23" s="283"/>
      <c r="V23" s="283"/>
      <c r="W23" s="283"/>
      <c r="X23" s="283">
        <v>3920.1613200000002</v>
      </c>
      <c r="Y23" s="57">
        <f>'PJU solar cell'!K81</f>
        <v>8.1552096000000009</v>
      </c>
      <c r="Z23" s="446">
        <f t="shared" si="1"/>
        <v>55.651754399999987</v>
      </c>
      <c r="AA23" s="447">
        <f>'PJU LED'!M75</f>
        <v>50.063925599999983</v>
      </c>
      <c r="AB23" s="447">
        <f>'PJU LED'!M99</f>
        <v>5.5878288000000014</v>
      </c>
      <c r="AC23" s="304">
        <f t="shared" si="4"/>
        <v>4236.7405399999998</v>
      </c>
      <c r="AD23" s="327">
        <f t="shared" si="2"/>
        <v>4.2367405399999996</v>
      </c>
      <c r="AE23" s="322">
        <f t="shared" si="5"/>
        <v>4385715.4793147985</v>
      </c>
      <c r="AF23" s="323">
        <v>47665026.85239999</v>
      </c>
      <c r="AG23" s="334">
        <f t="shared" si="3"/>
        <v>43279311.373085193</v>
      </c>
    </row>
    <row r="24" spans="1:55" x14ac:dyDescent="0.25">
      <c r="A24" s="294">
        <v>2029</v>
      </c>
      <c r="B24" s="418">
        <f>'DATA PLTM'!F83</f>
        <v>0</v>
      </c>
      <c r="C24" s="492">
        <f>'DATA PLTM'!F107</f>
        <v>8.153946510110895E-3</v>
      </c>
      <c r="D24" s="227"/>
      <c r="E24" s="297">
        <v>28.8</v>
      </c>
      <c r="F24" s="297"/>
      <c r="G24" s="297"/>
      <c r="H24" s="227"/>
      <c r="I24" s="227">
        <v>100</v>
      </c>
      <c r="J24" s="227">
        <v>60</v>
      </c>
      <c r="K24" s="433">
        <f t="shared" si="0"/>
        <v>258</v>
      </c>
      <c r="L24" s="436">
        <f>'PJU LED'!L76</f>
        <v>221</v>
      </c>
      <c r="M24" s="436">
        <f>'PJU LED'!L100</f>
        <v>37</v>
      </c>
      <c r="N24" s="374"/>
      <c r="O24" s="374"/>
      <c r="P24" s="294">
        <v>2029</v>
      </c>
      <c r="Q24" s="496">
        <f>'DATA PLTM'!J83</f>
        <v>0</v>
      </c>
      <c r="R24" s="493">
        <f>'DATA PLTM'!J107</f>
        <v>35.299999999999997</v>
      </c>
      <c r="S24" s="283"/>
      <c r="T24" s="283">
        <f>'HIT HIBRID ROOFTOP'!J20</f>
        <v>217.47225599999999</v>
      </c>
      <c r="U24" s="283"/>
      <c r="V24" s="283"/>
      <c r="W24" s="283"/>
      <c r="X24" s="283">
        <v>3920.1613200000002</v>
      </c>
      <c r="Y24" s="57">
        <f>'PJU solar cell'!K82</f>
        <v>8.1552096000000009</v>
      </c>
      <c r="Z24" s="446">
        <f t="shared" si="1"/>
        <v>55.651754399999987</v>
      </c>
      <c r="AA24" s="447">
        <f>'PJU LED'!M76</f>
        <v>50.063925599999983</v>
      </c>
      <c r="AB24" s="447">
        <f>'PJU LED'!M100</f>
        <v>5.5878288000000014</v>
      </c>
      <c r="AC24" s="304">
        <f>SUM(Q24:Z24)</f>
        <v>4236.7405399999998</v>
      </c>
      <c r="AD24" s="327">
        <f t="shared" si="2"/>
        <v>4.2367405399999996</v>
      </c>
      <c r="AE24" s="322">
        <f t="shared" si="5"/>
        <v>4389952.2198547982</v>
      </c>
      <c r="AF24" s="323">
        <v>51316053.596080005</v>
      </c>
      <c r="AG24" s="334">
        <f t="shared" si="3"/>
        <v>46926101.376225203</v>
      </c>
    </row>
    <row r="25" spans="1:55" ht="15.75" thickBot="1" x14ac:dyDescent="0.3">
      <c r="A25" s="294">
        <v>2030</v>
      </c>
      <c r="B25" s="418">
        <f>'DATA PLTM'!F84</f>
        <v>0</v>
      </c>
      <c r="C25" s="492">
        <f>'DATA PLTM'!F108</f>
        <v>8.153946510110895E-3</v>
      </c>
      <c r="D25" s="227"/>
      <c r="E25" s="297">
        <v>28.8</v>
      </c>
      <c r="F25" s="297"/>
      <c r="G25" s="297"/>
      <c r="H25" s="227"/>
      <c r="I25" s="227">
        <v>100</v>
      </c>
      <c r="J25" s="227">
        <v>60</v>
      </c>
      <c r="K25" s="433">
        <f t="shared" si="0"/>
        <v>258</v>
      </c>
      <c r="L25" s="436">
        <f>'PJU LED'!L77</f>
        <v>221</v>
      </c>
      <c r="M25" s="436">
        <f>'PJU LED'!L101</f>
        <v>37</v>
      </c>
      <c r="N25" s="374"/>
      <c r="O25" s="374"/>
      <c r="P25" s="294">
        <v>2030</v>
      </c>
      <c r="Q25" s="496">
        <f>'DATA PLTM'!J84</f>
        <v>0</v>
      </c>
      <c r="R25" s="493">
        <f>'DATA PLTM'!J108</f>
        <v>0</v>
      </c>
      <c r="S25" s="283"/>
      <c r="T25" s="283">
        <f>'HIT HIBRID ROOFTOP'!J21</f>
        <v>217.47225599999999</v>
      </c>
      <c r="U25" s="283"/>
      <c r="V25" s="283"/>
      <c r="W25" s="283"/>
      <c r="X25" s="283">
        <v>3920.1613200000002</v>
      </c>
      <c r="Y25" s="57">
        <f>'PJU solar cell'!K83</f>
        <v>8.1552096000000009</v>
      </c>
      <c r="Z25" s="446">
        <f t="shared" si="1"/>
        <v>55.651754399999987</v>
      </c>
      <c r="AA25" s="447">
        <f>'PJU LED'!M77</f>
        <v>50.063925599999983</v>
      </c>
      <c r="AB25" s="447">
        <f>'PJU LED'!M101</f>
        <v>5.5878288000000014</v>
      </c>
      <c r="AC25" s="304">
        <f t="shared" si="4"/>
        <v>4201.4405399999996</v>
      </c>
      <c r="AD25" s="327">
        <f t="shared" si="2"/>
        <v>4.2014405399999992</v>
      </c>
      <c r="AE25" s="325">
        <f>AE24+AC25</f>
        <v>4394153.660394798</v>
      </c>
      <c r="AF25" s="326">
        <v>54967080.339760005</v>
      </c>
      <c r="AG25" s="335">
        <f t="shared" si="3"/>
        <v>50572926.67936521</v>
      </c>
    </row>
    <row r="26" spans="1:55" ht="32.25" thickBot="1" x14ac:dyDescent="0.4">
      <c r="B26" s="465">
        <f>SUM(B5:B25)</f>
        <v>245.434</v>
      </c>
      <c r="C26" s="465">
        <f>SUM(C5:C25)</f>
        <v>16.818501304631422</v>
      </c>
      <c r="D26" s="465">
        <f>B26+C26</f>
        <v>262.25250130463144</v>
      </c>
      <c r="M26" s="437" t="s">
        <v>324</v>
      </c>
      <c r="N26" s="320"/>
      <c r="O26" s="320"/>
      <c r="Q26" s="318">
        <f>SUM(Q5:Q25)</f>
        <v>1062530.9093279997</v>
      </c>
      <c r="R26" s="318">
        <f>SUM(R5:R25)</f>
        <v>72775.221300000019</v>
      </c>
      <c r="S26" s="318">
        <f>SUM(S5:S25)</f>
        <v>173167.67999999996</v>
      </c>
      <c r="T26" s="318">
        <f t="shared" ref="T26:AB26" si="6">SUM(T5:T25)</f>
        <v>2700.2805119999998</v>
      </c>
      <c r="U26" s="318"/>
      <c r="V26" s="318"/>
      <c r="W26" s="318">
        <f t="shared" si="6"/>
        <v>9076.0096639999992</v>
      </c>
      <c r="X26" s="318">
        <f t="shared" si="6"/>
        <v>123837.89609879999</v>
      </c>
      <c r="Y26" s="318">
        <f t="shared" si="6"/>
        <v>157.66738560000007</v>
      </c>
      <c r="Z26" s="442">
        <f t="shared" si="6"/>
        <v>1109.7881063999996</v>
      </c>
      <c r="AA26" s="318">
        <f t="shared" si="6"/>
        <v>998.78664239999932</v>
      </c>
      <c r="AB26" s="318">
        <f t="shared" si="6"/>
        <v>111.001464</v>
      </c>
      <c r="AC26" s="319">
        <f t="shared" si="4"/>
        <v>1445355.4523947998</v>
      </c>
      <c r="AE26" s="333" t="s">
        <v>325</v>
      </c>
      <c r="AF26" s="749">
        <f>AE25/AF25</f>
        <v>7.9941551074458675E-2</v>
      </c>
    </row>
    <row r="27" spans="1:55" x14ac:dyDescent="0.25">
      <c r="B27" s="91"/>
      <c r="C27" s="91"/>
      <c r="D27" s="91"/>
      <c r="I27" s="91"/>
      <c r="J27" s="91"/>
      <c r="Q27" s="91"/>
      <c r="R27" s="91"/>
      <c r="S27" s="91"/>
      <c r="X27" s="91"/>
      <c r="Y27" s="91"/>
      <c r="AC27" s="91"/>
      <c r="AD27" s="91"/>
    </row>
    <row r="28" spans="1:55" ht="21" x14ac:dyDescent="0.35">
      <c r="A28" s="631" t="str">
        <f>A4</f>
        <v>Tahun</v>
      </c>
      <c r="B28" s="633" t="s">
        <v>414</v>
      </c>
      <c r="C28" s="633"/>
      <c r="D28" s="633"/>
      <c r="E28" s="633"/>
      <c r="F28" s="633"/>
      <c r="G28" s="633"/>
      <c r="H28" s="633"/>
      <c r="I28" s="633"/>
      <c r="J28" s="633"/>
      <c r="K28" s="633"/>
      <c r="L28" s="633"/>
      <c r="M28" s="634"/>
      <c r="N28" s="635" t="s">
        <v>330</v>
      </c>
      <c r="O28" s="636"/>
      <c r="P28" s="636"/>
      <c r="Q28" s="636"/>
      <c r="R28" s="636"/>
      <c r="S28" s="636"/>
      <c r="T28" s="636"/>
      <c r="U28" s="636"/>
      <c r="V28" s="636"/>
      <c r="W28" s="636"/>
      <c r="X28" s="636"/>
      <c r="Y28" s="636"/>
      <c r="Z28" s="636"/>
      <c r="AA28" s="636"/>
      <c r="AB28" s="636"/>
      <c r="AC28" s="636"/>
      <c r="AD28" s="298"/>
      <c r="AE28" s="298"/>
      <c r="AF28" s="228" t="s">
        <v>225</v>
      </c>
    </row>
    <row r="29" spans="1:55" s="119" customFormat="1" ht="51.75" customHeight="1" x14ac:dyDescent="0.25">
      <c r="A29" s="631"/>
      <c r="B29" s="301" t="str">
        <f>Q4</f>
        <v>PLTM off grid</v>
      </c>
      <c r="C29" s="301" t="str">
        <f>R4</f>
        <v>PLTMH off grid</v>
      </c>
      <c r="D29" s="301" t="str">
        <f>S4</f>
        <v xml:space="preserve">PLTSa off grid </v>
      </c>
      <c r="E29" s="301" t="str">
        <f>T4</f>
        <v>PLT Hybrif rooftop</v>
      </c>
      <c r="F29" s="284" t="s">
        <v>443</v>
      </c>
      <c r="G29" s="301" t="s">
        <v>445</v>
      </c>
      <c r="H29" s="301" t="str">
        <f t="shared" ref="H29:O29" si="7">W4</f>
        <v xml:space="preserve">PLTSurya  </v>
      </c>
      <c r="I29" s="301" t="str">
        <f t="shared" si="7"/>
        <v>Biogas</v>
      </c>
      <c r="J29" s="301" t="str">
        <f t="shared" si="7"/>
        <v>PJU solar cel</v>
      </c>
      <c r="K29" s="301" t="str">
        <f t="shared" si="7"/>
        <v>PJU LED TOTAL</v>
      </c>
      <c r="L29" s="438" t="str">
        <f t="shared" si="7"/>
        <v>PJU LED JALAN UMUM</v>
      </c>
      <c r="M29" s="438" t="str">
        <f t="shared" si="7"/>
        <v>PJU LED JALAN LINGKUNGAN</v>
      </c>
      <c r="N29" s="301" t="str">
        <f t="shared" si="7"/>
        <v>PENURUNAN  GRK (TON CO2)</v>
      </c>
      <c r="O29" s="301" t="str">
        <f t="shared" si="7"/>
        <v>PENURUNAN  GRK (RIBU TON CO2)</v>
      </c>
      <c r="P29" s="301"/>
      <c r="Q29" s="378" t="str">
        <f>B29</f>
        <v>PLTM off grid</v>
      </c>
      <c r="R29" s="378" t="str">
        <f>C29</f>
        <v>PLTMH off grid</v>
      </c>
      <c r="S29" s="378" t="s">
        <v>417</v>
      </c>
      <c r="T29" s="378" t="str">
        <f>E29</f>
        <v>PLT Hybrif rooftop</v>
      </c>
      <c r="U29" s="284" t="s">
        <v>443</v>
      </c>
      <c r="V29" s="378" t="s">
        <v>445</v>
      </c>
      <c r="W29" s="378" t="str">
        <f>H29</f>
        <v xml:space="preserve">PLTSurya  </v>
      </c>
      <c r="X29" s="378" t="str">
        <f>I29</f>
        <v>Biogas</v>
      </c>
      <c r="Y29" s="378" t="str">
        <f>J29</f>
        <v>PJU solar cel</v>
      </c>
      <c r="Z29" s="443" t="s">
        <v>329</v>
      </c>
      <c r="AA29" s="379" t="str">
        <f>L29</f>
        <v>PJU LED JALAN UMUM</v>
      </c>
      <c r="AB29" s="379" t="str">
        <f>M29</f>
        <v>PJU LED JALAN LINGKUNGAN</v>
      </c>
      <c r="AC29" s="380" t="s">
        <v>304</v>
      </c>
      <c r="AE29" s="336"/>
      <c r="AF29" s="637" t="s">
        <v>279</v>
      </c>
      <c r="AG29" s="637" t="str">
        <f>Q4</f>
        <v>PLTM off grid</v>
      </c>
      <c r="AH29" s="637"/>
      <c r="AI29" s="339" t="str">
        <f>R4</f>
        <v>PLTMH off grid</v>
      </c>
      <c r="AJ29" s="339"/>
      <c r="AK29" s="637" t="str">
        <f>S4</f>
        <v xml:space="preserve">PLTSa off grid </v>
      </c>
      <c r="AL29" s="637"/>
      <c r="AM29" s="339" t="str">
        <f>T4</f>
        <v>PLT Hybrif rooftop</v>
      </c>
      <c r="AN29" s="339"/>
      <c r="AO29" s="637" t="str">
        <f>W4</f>
        <v xml:space="preserve">PLTSurya  </v>
      </c>
      <c r="AP29" s="637"/>
      <c r="AQ29" s="637" t="str">
        <f>X4</f>
        <v>Biogas</v>
      </c>
      <c r="AR29" s="637"/>
      <c r="AS29" s="339" t="str">
        <f>Y4</f>
        <v>PJU solar cel</v>
      </c>
      <c r="AT29" s="339"/>
      <c r="AU29" s="638" t="str">
        <f>Z4</f>
        <v>PJU LED TOTAL</v>
      </c>
      <c r="AV29" s="638"/>
      <c r="AW29" s="638" t="s">
        <v>304</v>
      </c>
      <c r="AX29" s="638"/>
      <c r="BA29" s="91"/>
      <c r="BB29"/>
      <c r="BC29"/>
    </row>
    <row r="30" spans="1:55" s="119" customFormat="1" ht="52.5" x14ac:dyDescent="0.25">
      <c r="A30" s="299"/>
      <c r="B30" s="301" t="s">
        <v>301</v>
      </c>
      <c r="C30" s="301" t="s">
        <v>301</v>
      </c>
      <c r="D30" s="301" t="s">
        <v>301</v>
      </c>
      <c r="E30" s="301" t="s">
        <v>301</v>
      </c>
      <c r="F30" s="301"/>
      <c r="G30" s="301"/>
      <c r="H30" s="301" t="s">
        <v>301</v>
      </c>
      <c r="I30" s="301" t="s">
        <v>303</v>
      </c>
      <c r="J30" s="301" t="s">
        <v>303</v>
      </c>
      <c r="K30" s="301" t="s">
        <v>302</v>
      </c>
      <c r="L30" s="438" t="s">
        <v>303</v>
      </c>
      <c r="M30" s="438" t="s">
        <v>303</v>
      </c>
      <c r="N30" s="378"/>
      <c r="O30" s="378"/>
      <c r="P30" s="299"/>
      <c r="Q30" s="378" t="s">
        <v>303</v>
      </c>
      <c r="R30" s="378" t="s">
        <v>303</v>
      </c>
      <c r="S30" s="378" t="s">
        <v>303</v>
      </c>
      <c r="T30" s="378" t="s">
        <v>303</v>
      </c>
      <c r="U30" s="378"/>
      <c r="V30" s="378"/>
      <c r="W30" s="378" t="s">
        <v>303</v>
      </c>
      <c r="X30" s="378" t="s">
        <v>303</v>
      </c>
      <c r="Y30" s="378" t="s">
        <v>303</v>
      </c>
      <c r="Z30" s="378" t="s">
        <v>303</v>
      </c>
      <c r="AA30" s="379" t="s">
        <v>303</v>
      </c>
      <c r="AB30" s="379" t="s">
        <v>303</v>
      </c>
      <c r="AC30" s="381" t="s">
        <v>303</v>
      </c>
      <c r="AE30" s="336"/>
      <c r="AF30" s="637"/>
      <c r="AG30" s="340" t="s">
        <v>328</v>
      </c>
      <c r="AH30" s="340" t="s">
        <v>230</v>
      </c>
      <c r="AI30" s="340" t="s">
        <v>328</v>
      </c>
      <c r="AJ30" s="340" t="s">
        <v>230</v>
      </c>
      <c r="AK30" s="340" t="s">
        <v>328</v>
      </c>
      <c r="AL30" s="340" t="s">
        <v>230</v>
      </c>
      <c r="AM30" s="340" t="s">
        <v>328</v>
      </c>
      <c r="AN30" s="340" t="s">
        <v>230</v>
      </c>
      <c r="AO30" s="340" t="s">
        <v>328</v>
      </c>
      <c r="AP30" s="340" t="s">
        <v>230</v>
      </c>
      <c r="AQ30" s="340" t="s">
        <v>328</v>
      </c>
      <c r="AR30" s="340" t="s">
        <v>230</v>
      </c>
      <c r="AS30" s="340" t="s">
        <v>328</v>
      </c>
      <c r="AT30" s="340" t="s">
        <v>230</v>
      </c>
      <c r="AU30" s="340" t="s">
        <v>328</v>
      </c>
      <c r="AV30" s="340" t="s">
        <v>230</v>
      </c>
      <c r="AW30" s="340" t="s">
        <v>328</v>
      </c>
      <c r="AX30" s="340" t="s">
        <v>230</v>
      </c>
      <c r="BA30"/>
    </row>
    <row r="31" spans="1:55" x14ac:dyDescent="0.25">
      <c r="A31" s="300">
        <f>A5</f>
        <v>2010</v>
      </c>
      <c r="B31" s="296">
        <f>Q31/15.2</f>
        <v>52631578.947368421</v>
      </c>
      <c r="C31" s="296">
        <v>4500000</v>
      </c>
      <c r="D31" s="296"/>
      <c r="E31" s="296"/>
      <c r="F31" s="296"/>
      <c r="G31" s="296"/>
      <c r="H31" s="296">
        <v>5000000</v>
      </c>
      <c r="I31" s="296">
        <v>1600000</v>
      </c>
      <c r="J31" s="296"/>
      <c r="K31" s="441">
        <f>L31+M31</f>
        <v>0</v>
      </c>
      <c r="L31" s="439">
        <v>0</v>
      </c>
      <c r="M31" s="439">
        <v>0</v>
      </c>
      <c r="N31" s="368">
        <f>'DATA PLTM'!I32</f>
        <v>800000000</v>
      </c>
      <c r="O31" s="368"/>
      <c r="P31" s="300">
        <f>P5</f>
        <v>2010</v>
      </c>
      <c r="Q31" s="368">
        <f>'DATA PLTM'!I32</f>
        <v>800000000</v>
      </c>
      <c r="R31" s="368">
        <f t="shared" ref="R31:R39" si="8">C31*15.2</f>
        <v>68400000</v>
      </c>
      <c r="S31" s="368">
        <f t="shared" ref="S31:S51" si="9">D31*15.2</f>
        <v>0</v>
      </c>
      <c r="T31" s="368">
        <f t="shared" ref="T31:T51" si="10">E31*15.2</f>
        <v>0</v>
      </c>
      <c r="U31" s="368"/>
      <c r="V31" s="368"/>
      <c r="W31" s="368">
        <f t="shared" ref="W31:W51" si="11">H31*15.2</f>
        <v>76000000</v>
      </c>
      <c r="X31" s="368">
        <f t="shared" ref="X31:X51" si="12">I31</f>
        <v>1600000</v>
      </c>
      <c r="Y31" s="368">
        <f t="shared" ref="Y31:Y51" si="13">J31</f>
        <v>0</v>
      </c>
      <c r="Z31" s="368">
        <f>AA31+AB31</f>
        <v>0</v>
      </c>
      <c r="AA31" s="382">
        <f t="shared" ref="AA31:AA51" si="14">L31</f>
        <v>0</v>
      </c>
      <c r="AB31" s="382">
        <f t="shared" ref="AB31:AB51" si="15">M31</f>
        <v>0</v>
      </c>
      <c r="AC31" s="383">
        <f>SUM(Q31:Z31)</f>
        <v>946000000</v>
      </c>
      <c r="AF31" s="339">
        <f t="shared" ref="AF31:AF51" si="16">A5</f>
        <v>2010</v>
      </c>
      <c r="AG31" s="302">
        <f>Q5</f>
        <v>7749.2536799999989</v>
      </c>
      <c r="AH31" s="338">
        <f>Q31</f>
        <v>800000000</v>
      </c>
      <c r="AI31" s="302">
        <f>R5</f>
        <v>287.45834879999995</v>
      </c>
      <c r="AJ31" s="338">
        <f>R31</f>
        <v>68400000</v>
      </c>
      <c r="AK31" s="302">
        <f>S5</f>
        <v>0</v>
      </c>
      <c r="AL31" s="338">
        <f>S31</f>
        <v>0</v>
      </c>
      <c r="AM31" s="302">
        <f>T5</f>
        <v>0</v>
      </c>
      <c r="AN31" s="338">
        <f>T31</f>
        <v>0</v>
      </c>
      <c r="AO31" s="302">
        <f>W5</f>
        <v>1.19</v>
      </c>
      <c r="AP31" s="338">
        <f>W31</f>
        <v>76000000</v>
      </c>
      <c r="AQ31" s="302">
        <f>X5</f>
        <v>11094.056535599999</v>
      </c>
      <c r="AR31" s="338">
        <f>X31</f>
        <v>1600000</v>
      </c>
      <c r="AS31" s="302">
        <f>Y5</f>
        <v>0</v>
      </c>
      <c r="AT31" s="338">
        <f>Y31</f>
        <v>0</v>
      </c>
      <c r="AU31" s="302">
        <f>Z5</f>
        <v>0</v>
      </c>
      <c r="AV31" s="338">
        <f>Z31</f>
        <v>0</v>
      </c>
      <c r="AW31" s="342">
        <f>AG31+AI31+AK31+AM31+AO31+AQ31+AS31+AU31</f>
        <v>19131.958564399996</v>
      </c>
      <c r="AX31" s="343">
        <f>AH31+AJ31+AL31+AN31+AP31+AR31+AT31+AV31</f>
        <v>946000000</v>
      </c>
      <c r="AY31" s="91"/>
      <c r="AZ31" s="91"/>
      <c r="BA31" s="91"/>
    </row>
    <row r="32" spans="1:55" x14ac:dyDescent="0.25">
      <c r="A32" s="300">
        <f t="shared" ref="A32:A51" si="17">A6</f>
        <v>2011</v>
      </c>
      <c r="B32" s="296">
        <f t="shared" ref="B32:B38" si="18">Q32/15.2</f>
        <v>44736842.105263159</v>
      </c>
      <c r="C32" s="296">
        <v>1900000</v>
      </c>
      <c r="D32" s="296"/>
      <c r="E32" s="295"/>
      <c r="F32" s="295"/>
      <c r="G32" s="295"/>
      <c r="H32" s="296">
        <v>500000</v>
      </c>
      <c r="I32" s="296">
        <v>7000000</v>
      </c>
      <c r="J32" s="296"/>
      <c r="K32" s="441">
        <f t="shared" ref="K32:K51" si="19">L32+M32</f>
        <v>428400</v>
      </c>
      <c r="L32" s="439">
        <v>392400</v>
      </c>
      <c r="M32" s="439">
        <v>36000</v>
      </c>
      <c r="N32" s="368">
        <f>'DATA PLTM'!I33</f>
        <v>680000000</v>
      </c>
      <c r="O32" s="368"/>
      <c r="P32" s="300">
        <f t="shared" ref="P32:P51" si="20">P6</f>
        <v>2011</v>
      </c>
      <c r="Q32" s="368">
        <f>'DATA PLTM'!I33</f>
        <v>680000000</v>
      </c>
      <c r="R32" s="368">
        <f t="shared" si="8"/>
        <v>28880000</v>
      </c>
      <c r="S32" s="368">
        <f t="shared" si="9"/>
        <v>0</v>
      </c>
      <c r="T32" s="368">
        <f t="shared" si="10"/>
        <v>0</v>
      </c>
      <c r="U32" s="368"/>
      <c r="V32" s="368"/>
      <c r="W32" s="368">
        <f t="shared" si="11"/>
        <v>7600000</v>
      </c>
      <c r="X32" s="368">
        <f t="shared" si="12"/>
        <v>7000000</v>
      </c>
      <c r="Y32" s="368">
        <f t="shared" si="13"/>
        <v>0</v>
      </c>
      <c r="Z32" s="368">
        <f t="shared" ref="Z32:Z51" si="21">AA32+AB32</f>
        <v>428400</v>
      </c>
      <c r="AA32" s="382">
        <f>L32</f>
        <v>392400</v>
      </c>
      <c r="AB32" s="382">
        <f t="shared" si="15"/>
        <v>36000</v>
      </c>
      <c r="AC32" s="383">
        <f t="shared" ref="AC32:AC51" si="22">SUM(Q32:Z32)</f>
        <v>723908400</v>
      </c>
      <c r="AE32" s="336"/>
      <c r="AF32" s="339">
        <f t="shared" si="16"/>
        <v>2011</v>
      </c>
      <c r="AG32" s="302">
        <f t="shared" ref="AG32:AG51" si="23">Q6+AG31</f>
        <v>12511.364879999997</v>
      </c>
      <c r="AH32" s="338">
        <f t="shared" ref="AH32:AH51" si="24">Q32+AH31</f>
        <v>1480000000</v>
      </c>
      <c r="AI32" s="302">
        <f t="shared" ref="AI32:AI51" si="25">AI31+R6</f>
        <v>356.72542079999994</v>
      </c>
      <c r="AJ32" s="338">
        <f t="shared" ref="AJ32:AJ51" si="26">AJ31+R32</f>
        <v>97280000</v>
      </c>
      <c r="AK32" s="302">
        <f>AK31+S6</f>
        <v>0</v>
      </c>
      <c r="AL32" s="338">
        <f>S32+AL31</f>
        <v>0</v>
      </c>
      <c r="AM32" s="302">
        <f>AM31+T6</f>
        <v>0</v>
      </c>
      <c r="AN32" s="338">
        <f>T32+AN31</f>
        <v>0</v>
      </c>
      <c r="AO32" s="302">
        <f>AO31+W6</f>
        <v>15.67</v>
      </c>
      <c r="AP32" s="338">
        <f>W32+AP31</f>
        <v>83600000</v>
      </c>
      <c r="AQ32" s="302">
        <f>X6+AQ31</f>
        <v>22188.113071199998</v>
      </c>
      <c r="AR32" s="338">
        <f>X32+AR31</f>
        <v>8600000</v>
      </c>
      <c r="AS32" s="302">
        <f>Y6+AS31</f>
        <v>4.0776048000000005</v>
      </c>
      <c r="AT32" s="338">
        <f>AT31+Y32</f>
        <v>0</v>
      </c>
      <c r="AU32" s="302">
        <f>Z6+AU31</f>
        <v>54.821131199999982</v>
      </c>
      <c r="AV32" s="338">
        <f>Z32+AV31</f>
        <v>428400</v>
      </c>
      <c r="AW32" s="342">
        <f t="shared" ref="AW32:AW50" si="27">AG32+AI32+AK32+AM32+AO32+AQ32+AS32+AU32</f>
        <v>35130.77210799999</v>
      </c>
      <c r="AX32" s="343">
        <f t="shared" ref="AX32:AX51" si="28">AH32+AJ32+AL32+AN32+AP32+AR32+AT32+AV32</f>
        <v>1669908400</v>
      </c>
      <c r="AY32" s="91"/>
      <c r="AZ32" s="91"/>
      <c r="BA32" s="91"/>
    </row>
    <row r="33" spans="1:50" x14ac:dyDescent="0.25">
      <c r="A33" s="300">
        <f t="shared" si="17"/>
        <v>2012</v>
      </c>
      <c r="B33" s="296">
        <f t="shared" si="18"/>
        <v>0</v>
      </c>
      <c r="C33" s="296">
        <v>1600000</v>
      </c>
      <c r="D33" s="296"/>
      <c r="E33" s="296"/>
      <c r="F33" s="296"/>
      <c r="G33" s="296"/>
      <c r="H33" s="296">
        <v>4000000</v>
      </c>
      <c r="I33" s="296">
        <v>1500000</v>
      </c>
      <c r="J33" s="296">
        <v>900000</v>
      </c>
      <c r="K33" s="441">
        <f t="shared" si="19"/>
        <v>430200</v>
      </c>
      <c r="L33" s="439">
        <v>394200</v>
      </c>
      <c r="M33" s="439">
        <v>36000</v>
      </c>
      <c r="N33" s="368">
        <f>'DATA PLTM'!I34</f>
        <v>0</v>
      </c>
      <c r="O33" s="368"/>
      <c r="P33" s="300">
        <f t="shared" si="20"/>
        <v>2012</v>
      </c>
      <c r="Q33" s="368">
        <f>'DATA PLTM'!I34</f>
        <v>0</v>
      </c>
      <c r="R33" s="368">
        <f t="shared" si="8"/>
        <v>24320000</v>
      </c>
      <c r="S33" s="368">
        <f t="shared" si="9"/>
        <v>0</v>
      </c>
      <c r="T33" s="368">
        <f t="shared" si="10"/>
        <v>0</v>
      </c>
      <c r="U33" s="368"/>
      <c r="V33" s="368"/>
      <c r="W33" s="368">
        <f t="shared" si="11"/>
        <v>60800000</v>
      </c>
      <c r="X33" s="368">
        <f t="shared" si="12"/>
        <v>1500000</v>
      </c>
      <c r="Y33" s="368">
        <f t="shared" si="13"/>
        <v>900000</v>
      </c>
      <c r="Z33" s="368">
        <f t="shared" si="21"/>
        <v>430200</v>
      </c>
      <c r="AA33" s="382">
        <f t="shared" si="14"/>
        <v>394200</v>
      </c>
      <c r="AB33" s="382">
        <f t="shared" si="15"/>
        <v>36000</v>
      </c>
      <c r="AC33" s="383">
        <f t="shared" si="22"/>
        <v>87950200</v>
      </c>
      <c r="AF33" s="339">
        <f t="shared" si="16"/>
        <v>2012</v>
      </c>
      <c r="AG33" s="302">
        <f t="shared" si="23"/>
        <v>12511.364879999997</v>
      </c>
      <c r="AH33" s="338">
        <f t="shared" si="24"/>
        <v>1480000000</v>
      </c>
      <c r="AI33" s="302">
        <f t="shared" si="25"/>
        <v>357.15833999999995</v>
      </c>
      <c r="AJ33" s="338">
        <f t="shared" si="26"/>
        <v>121600000</v>
      </c>
      <c r="AK33" s="302">
        <f t="shared" ref="AK33:AK51" si="29">AK32+S7</f>
        <v>0</v>
      </c>
      <c r="AL33" s="338">
        <f t="shared" ref="AL33:AL51" si="30">S33+AL32</f>
        <v>0</v>
      </c>
      <c r="AM33" s="302">
        <f t="shared" ref="AM33:AM51" si="31">AM32+T7</f>
        <v>0</v>
      </c>
      <c r="AN33" s="338">
        <f t="shared" ref="AN33:AN51" si="32">T33+AN32</f>
        <v>0</v>
      </c>
      <c r="AO33" s="302">
        <f t="shared" ref="AO33:AO51" si="33">AO32+W7</f>
        <v>15.81</v>
      </c>
      <c r="AP33" s="338">
        <f t="shared" ref="AP33:AP51" si="34">W33+AP32</f>
        <v>144400000</v>
      </c>
      <c r="AQ33" s="302">
        <f t="shared" ref="AQ33:AQ51" si="35">X7+AQ32</f>
        <v>50295.669735599993</v>
      </c>
      <c r="AR33" s="338">
        <f t="shared" ref="AR33:AR51" si="36">X33+AR32</f>
        <v>10100000</v>
      </c>
      <c r="AS33" s="302">
        <f t="shared" ref="AS33:AS51" si="37">Y7+AS32</f>
        <v>10.8736128</v>
      </c>
      <c r="AT33" s="338">
        <f t="shared" ref="AT33:AT51" si="38">AT32+Y33</f>
        <v>900000</v>
      </c>
      <c r="AU33" s="302">
        <f t="shared" ref="AU33:AU51" si="39">Z7+AU32</f>
        <v>109.86879599999997</v>
      </c>
      <c r="AV33" s="338">
        <f t="shared" ref="AV33:AV51" si="40">Z33+AV32</f>
        <v>858600</v>
      </c>
      <c r="AW33" s="342">
        <f t="shared" si="27"/>
        <v>63300.745364399998</v>
      </c>
      <c r="AX33" s="343">
        <f t="shared" si="28"/>
        <v>1757858600</v>
      </c>
    </row>
    <row r="34" spans="1:50" x14ac:dyDescent="0.25">
      <c r="A34" s="300">
        <f t="shared" si="17"/>
        <v>2013</v>
      </c>
      <c r="B34" s="296">
        <f t="shared" si="18"/>
        <v>210526.31578947368</v>
      </c>
      <c r="C34" s="296">
        <v>0</v>
      </c>
      <c r="D34" s="296"/>
      <c r="E34" s="296"/>
      <c r="F34" s="296"/>
      <c r="G34" s="296"/>
      <c r="H34" s="296">
        <v>0</v>
      </c>
      <c r="I34" s="296">
        <v>1090000</v>
      </c>
      <c r="J34" s="296">
        <v>1080000</v>
      </c>
      <c r="K34" s="441">
        <f t="shared" si="19"/>
        <v>430200</v>
      </c>
      <c r="L34" s="439">
        <v>394200</v>
      </c>
      <c r="M34" s="439">
        <v>36000</v>
      </c>
      <c r="N34" s="368">
        <f>'DATA PLTM'!I35</f>
        <v>3200000</v>
      </c>
      <c r="O34" s="368"/>
      <c r="P34" s="300">
        <f t="shared" si="20"/>
        <v>2013</v>
      </c>
      <c r="Q34" s="368">
        <f>'DATA PLTM'!I35</f>
        <v>3200000</v>
      </c>
      <c r="R34" s="368">
        <f t="shared" si="8"/>
        <v>0</v>
      </c>
      <c r="S34" s="368">
        <f t="shared" si="9"/>
        <v>0</v>
      </c>
      <c r="T34" s="368">
        <f t="shared" si="10"/>
        <v>0</v>
      </c>
      <c r="U34" s="368"/>
      <c r="V34" s="368"/>
      <c r="W34" s="368">
        <f t="shared" si="11"/>
        <v>0</v>
      </c>
      <c r="X34" s="368">
        <f t="shared" si="12"/>
        <v>1090000</v>
      </c>
      <c r="Y34" s="368">
        <f t="shared" si="13"/>
        <v>1080000</v>
      </c>
      <c r="Z34" s="368">
        <f t="shared" si="21"/>
        <v>430200</v>
      </c>
      <c r="AA34" s="382">
        <f t="shared" si="14"/>
        <v>394200</v>
      </c>
      <c r="AB34" s="382">
        <f t="shared" si="15"/>
        <v>36000</v>
      </c>
      <c r="AC34" s="383">
        <f t="shared" si="22"/>
        <v>5800200</v>
      </c>
      <c r="AF34" s="339">
        <f t="shared" si="16"/>
        <v>2013</v>
      </c>
      <c r="AG34" s="302">
        <f t="shared" si="23"/>
        <v>35456.082479999997</v>
      </c>
      <c r="AH34" s="338">
        <f t="shared" si="24"/>
        <v>1483200000</v>
      </c>
      <c r="AI34" s="302">
        <f t="shared" si="25"/>
        <v>357.15833999999995</v>
      </c>
      <c r="AJ34" s="338">
        <f t="shared" si="26"/>
        <v>121600000</v>
      </c>
      <c r="AK34" s="302">
        <f t="shared" si="29"/>
        <v>0</v>
      </c>
      <c r="AL34" s="338">
        <f t="shared" si="30"/>
        <v>0</v>
      </c>
      <c r="AM34" s="302">
        <f t="shared" si="31"/>
        <v>0</v>
      </c>
      <c r="AN34" s="338">
        <f t="shared" si="32"/>
        <v>0</v>
      </c>
      <c r="AO34" s="302">
        <f t="shared" si="33"/>
        <v>15.81</v>
      </c>
      <c r="AP34" s="338">
        <f t="shared" si="34"/>
        <v>144400000</v>
      </c>
      <c r="AQ34" s="302">
        <f t="shared" si="35"/>
        <v>56175.911715599992</v>
      </c>
      <c r="AR34" s="338">
        <f t="shared" si="36"/>
        <v>11190000</v>
      </c>
      <c r="AS34" s="302">
        <f t="shared" si="37"/>
        <v>19.028822400000003</v>
      </c>
      <c r="AT34" s="338">
        <f t="shared" si="38"/>
        <v>1980000</v>
      </c>
      <c r="AU34" s="302">
        <f t="shared" si="39"/>
        <v>164.91646079999995</v>
      </c>
      <c r="AV34" s="338">
        <f t="shared" si="40"/>
        <v>1288800</v>
      </c>
      <c r="AW34" s="342">
        <f t="shared" si="27"/>
        <v>92188.907818799984</v>
      </c>
      <c r="AX34" s="343">
        <f t="shared" si="28"/>
        <v>1763658800</v>
      </c>
    </row>
    <row r="35" spans="1:50" x14ac:dyDescent="0.25">
      <c r="A35" s="300">
        <f t="shared" si="17"/>
        <v>2014</v>
      </c>
      <c r="B35" s="296">
        <f t="shared" si="18"/>
        <v>11315789.47368421</v>
      </c>
      <c r="C35" s="296">
        <v>2000000</v>
      </c>
      <c r="D35" s="296"/>
      <c r="E35" s="296"/>
      <c r="F35" s="296"/>
      <c r="G35" s="296"/>
      <c r="H35" s="296">
        <v>200000</v>
      </c>
      <c r="I35" s="296">
        <v>1800000</v>
      </c>
      <c r="J35" s="296">
        <v>1080000</v>
      </c>
      <c r="K35" s="441">
        <f t="shared" si="19"/>
        <v>432000</v>
      </c>
      <c r="L35" s="439">
        <v>396000</v>
      </c>
      <c r="M35" s="439">
        <v>36000</v>
      </c>
      <c r="N35" s="368">
        <f>'DATA PLTM'!I36</f>
        <v>172000000</v>
      </c>
      <c r="O35" s="368"/>
      <c r="P35" s="300">
        <f t="shared" si="20"/>
        <v>2014</v>
      </c>
      <c r="Q35" s="368">
        <f>'DATA PLTM'!I36</f>
        <v>172000000</v>
      </c>
      <c r="R35" s="368">
        <f t="shared" si="8"/>
        <v>30400000</v>
      </c>
      <c r="S35" s="368">
        <f t="shared" si="9"/>
        <v>0</v>
      </c>
      <c r="T35" s="368">
        <f t="shared" si="10"/>
        <v>0</v>
      </c>
      <c r="U35" s="368"/>
      <c r="V35" s="368"/>
      <c r="W35" s="368">
        <f t="shared" si="11"/>
        <v>3040000</v>
      </c>
      <c r="X35" s="368">
        <f t="shared" si="12"/>
        <v>1800000</v>
      </c>
      <c r="Y35" s="368">
        <f t="shared" si="13"/>
        <v>1080000</v>
      </c>
      <c r="Z35" s="368">
        <f t="shared" si="21"/>
        <v>432000</v>
      </c>
      <c r="AA35" s="382">
        <f t="shared" si="14"/>
        <v>396000</v>
      </c>
      <c r="AB35" s="382">
        <f t="shared" si="15"/>
        <v>36000</v>
      </c>
      <c r="AC35" s="383">
        <f t="shared" si="22"/>
        <v>208752000</v>
      </c>
      <c r="AF35" s="339">
        <f t="shared" si="16"/>
        <v>2014</v>
      </c>
      <c r="AG35" s="302">
        <f t="shared" si="23"/>
        <v>70089.61847999999</v>
      </c>
      <c r="AH35" s="338">
        <f t="shared" si="24"/>
        <v>1655200000</v>
      </c>
      <c r="AI35" s="302">
        <f t="shared" si="25"/>
        <v>34990.694339999995</v>
      </c>
      <c r="AJ35" s="338">
        <f t="shared" si="26"/>
        <v>152000000</v>
      </c>
      <c r="AK35" s="302">
        <f t="shared" si="29"/>
        <v>0</v>
      </c>
      <c r="AL35" s="338">
        <f t="shared" si="30"/>
        <v>0</v>
      </c>
      <c r="AM35" s="302">
        <f t="shared" si="31"/>
        <v>0</v>
      </c>
      <c r="AN35" s="338">
        <f t="shared" si="32"/>
        <v>0</v>
      </c>
      <c r="AO35" s="302">
        <f t="shared" si="33"/>
        <v>19.34</v>
      </c>
      <c r="AP35" s="338">
        <f t="shared" si="34"/>
        <v>147440000</v>
      </c>
      <c r="AQ35" s="302">
        <f t="shared" si="35"/>
        <v>59076.831092399996</v>
      </c>
      <c r="AR35" s="338">
        <f t="shared" si="36"/>
        <v>12990000</v>
      </c>
      <c r="AS35" s="302">
        <f t="shared" si="37"/>
        <v>27.184032000000002</v>
      </c>
      <c r="AT35" s="338">
        <f t="shared" si="38"/>
        <v>3060000</v>
      </c>
      <c r="AU35" s="302">
        <f t="shared" si="39"/>
        <v>220.19065919999994</v>
      </c>
      <c r="AV35" s="338">
        <f t="shared" si="40"/>
        <v>1720800</v>
      </c>
      <c r="AW35" s="342">
        <f t="shared" si="27"/>
        <v>164423.85860359995</v>
      </c>
      <c r="AX35" s="343">
        <f t="shared" si="28"/>
        <v>1972410800</v>
      </c>
    </row>
    <row r="36" spans="1:50" x14ac:dyDescent="0.25">
      <c r="A36" s="300">
        <f t="shared" si="17"/>
        <v>2015</v>
      </c>
      <c r="B36" s="296">
        <f t="shared" si="18"/>
        <v>2870394.7368421052</v>
      </c>
      <c r="C36" s="296">
        <v>0</v>
      </c>
      <c r="D36" s="296"/>
      <c r="E36" s="296"/>
      <c r="F36" s="296"/>
      <c r="G36" s="296"/>
      <c r="H36" s="296">
        <v>0</v>
      </c>
      <c r="I36" s="296">
        <v>1500000</v>
      </c>
      <c r="J36" s="296">
        <v>1080000</v>
      </c>
      <c r="K36" s="441">
        <f t="shared" si="19"/>
        <v>432000</v>
      </c>
      <c r="L36" s="439">
        <v>396000</v>
      </c>
      <c r="M36" s="439">
        <v>36000</v>
      </c>
      <c r="N36" s="368">
        <f>'DATA PLTM'!I37</f>
        <v>43630000</v>
      </c>
      <c r="O36" s="368"/>
      <c r="P36" s="300">
        <f t="shared" si="20"/>
        <v>2015</v>
      </c>
      <c r="Q36" s="368">
        <f>'DATA PLTM'!I37</f>
        <v>43630000</v>
      </c>
      <c r="R36" s="368">
        <f t="shared" si="8"/>
        <v>0</v>
      </c>
      <c r="S36" s="368">
        <f t="shared" si="9"/>
        <v>0</v>
      </c>
      <c r="T36" s="368">
        <f t="shared" si="10"/>
        <v>0</v>
      </c>
      <c r="U36" s="368"/>
      <c r="V36" s="368"/>
      <c r="W36" s="368">
        <f t="shared" si="11"/>
        <v>0</v>
      </c>
      <c r="X36" s="368">
        <f t="shared" si="12"/>
        <v>1500000</v>
      </c>
      <c r="Y36" s="368">
        <f t="shared" si="13"/>
        <v>1080000</v>
      </c>
      <c r="Z36" s="368">
        <f t="shared" si="21"/>
        <v>432000</v>
      </c>
      <c r="AA36" s="382">
        <f t="shared" si="14"/>
        <v>396000</v>
      </c>
      <c r="AB36" s="382">
        <f t="shared" si="15"/>
        <v>36000</v>
      </c>
      <c r="AC36" s="383">
        <f t="shared" si="22"/>
        <v>46642000</v>
      </c>
      <c r="AF36" s="339">
        <f t="shared" si="16"/>
        <v>2015</v>
      </c>
      <c r="AG36" s="302">
        <f t="shared" si="23"/>
        <v>206026.24727999995</v>
      </c>
      <c r="AH36" s="338">
        <f t="shared" si="24"/>
        <v>1698830000</v>
      </c>
      <c r="AI36" s="302">
        <f t="shared" si="25"/>
        <v>34990.694339999995</v>
      </c>
      <c r="AJ36" s="338">
        <f t="shared" si="26"/>
        <v>152000000</v>
      </c>
      <c r="AK36" s="302">
        <f t="shared" si="29"/>
        <v>0</v>
      </c>
      <c r="AL36" s="338">
        <f t="shared" si="30"/>
        <v>0</v>
      </c>
      <c r="AM36" s="302">
        <f t="shared" si="31"/>
        <v>0</v>
      </c>
      <c r="AN36" s="338">
        <f t="shared" si="32"/>
        <v>0</v>
      </c>
      <c r="AO36" s="302">
        <f t="shared" si="33"/>
        <v>19.34</v>
      </c>
      <c r="AP36" s="338">
        <f t="shared" si="34"/>
        <v>147440000</v>
      </c>
      <c r="AQ36" s="302">
        <f t="shared" si="35"/>
        <v>62212.960148399994</v>
      </c>
      <c r="AR36" s="338">
        <f t="shared" si="36"/>
        <v>14490000</v>
      </c>
      <c r="AS36" s="302">
        <f t="shared" si="37"/>
        <v>35.339241600000001</v>
      </c>
      <c r="AT36" s="338">
        <f t="shared" si="38"/>
        <v>4140000</v>
      </c>
      <c r="AU36" s="302">
        <f t="shared" si="39"/>
        <v>275.4648575999999</v>
      </c>
      <c r="AV36" s="338">
        <f t="shared" si="40"/>
        <v>2152800</v>
      </c>
      <c r="AW36" s="342">
        <f t="shared" si="27"/>
        <v>303560.04586759995</v>
      </c>
      <c r="AX36" s="343">
        <f t="shared" si="28"/>
        <v>2019052800</v>
      </c>
    </row>
    <row r="37" spans="1:50" x14ac:dyDescent="0.25">
      <c r="A37" s="300">
        <f t="shared" si="17"/>
        <v>2016</v>
      </c>
      <c r="B37" s="296">
        <f t="shared" si="18"/>
        <v>121710.52631578948</v>
      </c>
      <c r="C37" s="296"/>
      <c r="D37" s="296"/>
      <c r="E37" s="296"/>
      <c r="F37" s="296"/>
      <c r="G37" s="296"/>
      <c r="H37" s="296">
        <v>200000</v>
      </c>
      <c r="I37" s="296">
        <v>996000</v>
      </c>
      <c r="J37" s="296">
        <v>1080000</v>
      </c>
      <c r="K37" s="441">
        <f t="shared" si="19"/>
        <v>433000</v>
      </c>
      <c r="L37" s="439">
        <v>396000</v>
      </c>
      <c r="M37" s="439">
        <v>37000</v>
      </c>
      <c r="N37" s="368">
        <f>'DATA PLTM'!I38</f>
        <v>1850000</v>
      </c>
      <c r="O37" s="368"/>
      <c r="P37" s="300">
        <f t="shared" si="20"/>
        <v>2016</v>
      </c>
      <c r="Q37" s="368">
        <f>'DATA PLTM'!I38</f>
        <v>1850000</v>
      </c>
      <c r="R37" s="368">
        <f t="shared" si="8"/>
        <v>0</v>
      </c>
      <c r="S37" s="368">
        <f t="shared" si="9"/>
        <v>0</v>
      </c>
      <c r="T37" s="368">
        <f t="shared" si="10"/>
        <v>0</v>
      </c>
      <c r="U37" s="368"/>
      <c r="V37" s="368"/>
      <c r="W37" s="368">
        <f t="shared" si="11"/>
        <v>3040000</v>
      </c>
      <c r="X37" s="368">
        <f t="shared" si="12"/>
        <v>996000</v>
      </c>
      <c r="Y37" s="368">
        <f t="shared" si="13"/>
        <v>1080000</v>
      </c>
      <c r="Z37" s="368">
        <f t="shared" si="21"/>
        <v>433000</v>
      </c>
      <c r="AA37" s="382">
        <f t="shared" si="14"/>
        <v>396000</v>
      </c>
      <c r="AB37" s="382">
        <f t="shared" si="15"/>
        <v>37000</v>
      </c>
      <c r="AC37" s="383">
        <f t="shared" si="22"/>
        <v>7399000</v>
      </c>
      <c r="AF37" s="339">
        <f t="shared" si="16"/>
        <v>2016</v>
      </c>
      <c r="AG37" s="302">
        <f t="shared" si="23"/>
        <v>219013.82327999995</v>
      </c>
      <c r="AH37" s="338">
        <f t="shared" si="24"/>
        <v>1700680000</v>
      </c>
      <c r="AI37" s="302">
        <f t="shared" si="25"/>
        <v>69624.23033999998</v>
      </c>
      <c r="AJ37" s="338">
        <f t="shared" si="26"/>
        <v>152000000</v>
      </c>
      <c r="AK37" s="302">
        <f t="shared" si="29"/>
        <v>0</v>
      </c>
      <c r="AL37" s="338">
        <f t="shared" si="30"/>
        <v>0</v>
      </c>
      <c r="AM37" s="302">
        <f t="shared" si="31"/>
        <v>0</v>
      </c>
      <c r="AN37" s="338">
        <f t="shared" si="32"/>
        <v>0</v>
      </c>
      <c r="AO37" s="302">
        <f t="shared" si="33"/>
        <v>19.34</v>
      </c>
      <c r="AP37" s="338">
        <f t="shared" si="34"/>
        <v>150480000</v>
      </c>
      <c r="AQ37" s="302">
        <f t="shared" si="35"/>
        <v>65466.694043999996</v>
      </c>
      <c r="AR37" s="338">
        <f t="shared" si="36"/>
        <v>15486000</v>
      </c>
      <c r="AS37" s="302">
        <f t="shared" si="37"/>
        <v>43.4944512</v>
      </c>
      <c r="AT37" s="338">
        <f t="shared" si="38"/>
        <v>5220000</v>
      </c>
      <c r="AU37" s="302">
        <f t="shared" si="39"/>
        <v>330.89007839999988</v>
      </c>
      <c r="AV37" s="338">
        <f t="shared" si="40"/>
        <v>2585800</v>
      </c>
      <c r="AW37" s="342">
        <f t="shared" si="27"/>
        <v>354498.47219359997</v>
      </c>
      <c r="AX37" s="343">
        <f t="shared" si="28"/>
        <v>2026451800</v>
      </c>
    </row>
    <row r="38" spans="1:50" x14ac:dyDescent="0.25">
      <c r="A38" s="300">
        <f t="shared" si="17"/>
        <v>2017</v>
      </c>
      <c r="B38" s="296">
        <f t="shared" si="18"/>
        <v>187500</v>
      </c>
      <c r="C38" s="296"/>
      <c r="D38" s="296"/>
      <c r="E38" s="296">
        <v>63483.789473684214</v>
      </c>
      <c r="F38" s="296"/>
      <c r="G38" s="296"/>
      <c r="H38" s="296">
        <f>858193000/15200</f>
        <v>56460.065789473687</v>
      </c>
      <c r="I38" s="296">
        <v>1128000</v>
      </c>
      <c r="J38" s="296">
        <v>1080000</v>
      </c>
      <c r="K38" s="441">
        <f t="shared" si="19"/>
        <v>433000</v>
      </c>
      <c r="L38" s="439">
        <v>396000</v>
      </c>
      <c r="M38" s="439">
        <v>37000</v>
      </c>
      <c r="N38" s="368"/>
      <c r="O38" s="368"/>
      <c r="P38" s="300">
        <f t="shared" si="20"/>
        <v>2017</v>
      </c>
      <c r="Q38" s="368">
        <f>'DATA PLTM'!I39</f>
        <v>2850000</v>
      </c>
      <c r="R38" s="368">
        <f t="shared" si="8"/>
        <v>0</v>
      </c>
      <c r="S38" s="368">
        <f t="shared" si="9"/>
        <v>0</v>
      </c>
      <c r="T38" s="368">
        <f t="shared" si="10"/>
        <v>964953.59999999998</v>
      </c>
      <c r="U38" s="368"/>
      <c r="V38" s="368"/>
      <c r="W38" s="368">
        <f t="shared" si="11"/>
        <v>858193</v>
      </c>
      <c r="X38" s="368">
        <f t="shared" si="12"/>
        <v>1128000</v>
      </c>
      <c r="Y38" s="368">
        <f t="shared" si="13"/>
        <v>1080000</v>
      </c>
      <c r="Z38" s="368">
        <f t="shared" si="21"/>
        <v>433000</v>
      </c>
      <c r="AA38" s="382">
        <f t="shared" si="14"/>
        <v>396000</v>
      </c>
      <c r="AB38" s="382">
        <f t="shared" si="15"/>
        <v>37000</v>
      </c>
      <c r="AC38" s="383">
        <f t="shared" si="22"/>
        <v>7314146.5999999996</v>
      </c>
      <c r="AF38" s="339">
        <f t="shared" si="16"/>
        <v>2017</v>
      </c>
      <c r="AG38" s="302">
        <f t="shared" si="23"/>
        <v>351487.09847999993</v>
      </c>
      <c r="AH38" s="338">
        <f t="shared" si="24"/>
        <v>1703530000</v>
      </c>
      <c r="AI38" s="302">
        <f t="shared" si="25"/>
        <v>72351.621299999984</v>
      </c>
      <c r="AJ38" s="338">
        <f t="shared" si="26"/>
        <v>152000000</v>
      </c>
      <c r="AK38" s="302">
        <f t="shared" si="29"/>
        <v>0</v>
      </c>
      <c r="AL38" s="338">
        <f t="shared" si="30"/>
        <v>0</v>
      </c>
      <c r="AM38" s="302">
        <f t="shared" si="31"/>
        <v>90.613439999999997</v>
      </c>
      <c r="AN38" s="338">
        <f t="shared" si="32"/>
        <v>964953.59999999998</v>
      </c>
      <c r="AO38" s="302">
        <f t="shared" si="33"/>
        <v>9076.0096639999992</v>
      </c>
      <c r="AP38" s="338">
        <f t="shared" si="34"/>
        <v>151338193</v>
      </c>
      <c r="AQ38" s="302">
        <f t="shared" si="35"/>
        <v>69151.645684799994</v>
      </c>
      <c r="AR38" s="338">
        <f t="shared" si="36"/>
        <v>16614000</v>
      </c>
      <c r="AS38" s="302">
        <f t="shared" si="37"/>
        <v>51.649660799999999</v>
      </c>
      <c r="AT38" s="338">
        <f t="shared" si="38"/>
        <v>6300000</v>
      </c>
      <c r="AU38" s="302">
        <f t="shared" si="39"/>
        <v>386.31529919999986</v>
      </c>
      <c r="AV38" s="338">
        <f t="shared" si="40"/>
        <v>3018800</v>
      </c>
      <c r="AW38" s="342">
        <f t="shared" si="27"/>
        <v>502594.95352879993</v>
      </c>
      <c r="AX38" s="343">
        <f t="shared" si="28"/>
        <v>2033765946.5999999</v>
      </c>
    </row>
    <row r="39" spans="1:50" x14ac:dyDescent="0.25">
      <c r="A39" s="300">
        <f t="shared" si="17"/>
        <v>2018</v>
      </c>
      <c r="B39" s="296">
        <f>(B13/B5)*$B$31</f>
        <v>523375477.80064684</v>
      </c>
      <c r="C39" s="296">
        <v>234400000</v>
      </c>
      <c r="D39" s="296"/>
      <c r="E39" s="296"/>
      <c r="F39" s="296"/>
      <c r="G39" s="296"/>
      <c r="H39" s="296"/>
      <c r="I39" s="296">
        <v>2340000</v>
      </c>
      <c r="J39" s="296">
        <v>1080000</v>
      </c>
      <c r="K39" s="441">
        <f t="shared" si="19"/>
        <v>434800</v>
      </c>
      <c r="L39" s="439">
        <v>397800</v>
      </c>
      <c r="M39" s="439">
        <v>37000</v>
      </c>
      <c r="N39" s="368"/>
      <c r="O39" s="368"/>
      <c r="P39" s="300">
        <f t="shared" si="20"/>
        <v>2018</v>
      </c>
      <c r="Q39" s="368">
        <f t="shared" ref="Q39:Q51" si="41">B39*15.2</f>
        <v>7955307262.5698318</v>
      </c>
      <c r="R39" s="368">
        <f t="shared" si="8"/>
        <v>3562880000</v>
      </c>
      <c r="S39" s="368">
        <f t="shared" si="9"/>
        <v>0</v>
      </c>
      <c r="T39" s="368">
        <f t="shared" si="10"/>
        <v>0</v>
      </c>
      <c r="U39" s="368"/>
      <c r="V39" s="368"/>
      <c r="W39" s="368">
        <f t="shared" si="11"/>
        <v>0</v>
      </c>
      <c r="X39" s="368">
        <f t="shared" si="12"/>
        <v>2340000</v>
      </c>
      <c r="Y39" s="368">
        <f t="shared" si="13"/>
        <v>1080000</v>
      </c>
      <c r="Z39" s="368">
        <f t="shared" si="21"/>
        <v>434800</v>
      </c>
      <c r="AA39" s="382">
        <f t="shared" si="14"/>
        <v>397800</v>
      </c>
      <c r="AB39" s="382">
        <f t="shared" si="15"/>
        <v>37000</v>
      </c>
      <c r="AC39" s="383">
        <f t="shared" si="22"/>
        <v>11522042062.569832</v>
      </c>
      <c r="AF39" s="339">
        <f t="shared" si="16"/>
        <v>2018</v>
      </c>
      <c r="AG39" s="302">
        <f t="shared" si="23"/>
        <v>428546.71607999993</v>
      </c>
      <c r="AH39" s="338">
        <f t="shared" si="24"/>
        <v>9658837262.5698318</v>
      </c>
      <c r="AI39" s="302">
        <f t="shared" si="25"/>
        <v>72386.921299999987</v>
      </c>
      <c r="AJ39" s="338">
        <f t="shared" si="26"/>
        <v>3714880000</v>
      </c>
      <c r="AK39" s="302">
        <f t="shared" si="29"/>
        <v>0</v>
      </c>
      <c r="AL39" s="338">
        <f t="shared" si="30"/>
        <v>0</v>
      </c>
      <c r="AM39" s="302">
        <f t="shared" si="31"/>
        <v>90.613439999999997</v>
      </c>
      <c r="AN39" s="338">
        <f t="shared" si="32"/>
        <v>964953.59999999998</v>
      </c>
      <c r="AO39" s="302">
        <f t="shared" si="33"/>
        <v>9076.0096639999992</v>
      </c>
      <c r="AP39" s="338">
        <f t="shared" si="34"/>
        <v>151338193</v>
      </c>
      <c r="AQ39" s="302">
        <f t="shared" si="35"/>
        <v>76795.960258799998</v>
      </c>
      <c r="AR39" s="338">
        <f t="shared" si="36"/>
        <v>18954000</v>
      </c>
      <c r="AS39" s="302">
        <f t="shared" si="37"/>
        <v>59.804870399999999</v>
      </c>
      <c r="AT39" s="338">
        <f t="shared" si="38"/>
        <v>7380000</v>
      </c>
      <c r="AU39" s="302">
        <f t="shared" si="39"/>
        <v>441.96705359999987</v>
      </c>
      <c r="AV39" s="338">
        <f t="shared" si="40"/>
        <v>3453600</v>
      </c>
      <c r="AW39" s="342">
        <f t="shared" si="27"/>
        <v>587397.99266679992</v>
      </c>
      <c r="AX39" s="343">
        <f t="shared" si="28"/>
        <v>13555808009.169832</v>
      </c>
    </row>
    <row r="40" spans="1:50" ht="18.75" x14ac:dyDescent="0.25">
      <c r="A40" s="300">
        <f t="shared" si="17"/>
        <v>2019</v>
      </c>
      <c r="B40" s="296">
        <f>(B14/$B$5)*$B$31</f>
        <v>1229638341.6642165</v>
      </c>
      <c r="C40" s="296">
        <v>75000000</v>
      </c>
      <c r="D40" s="490"/>
      <c r="E40" s="296">
        <v>111842.10526315789</v>
      </c>
      <c r="F40" s="296">
        <f>(100/400)*600000000</f>
        <v>150000000</v>
      </c>
      <c r="G40" s="296">
        <f>(182/1000)*1500000000</f>
        <v>273000000</v>
      </c>
      <c r="H40" s="296"/>
      <c r="I40" s="296">
        <v>1200000</v>
      </c>
      <c r="J40" s="296">
        <v>1080000</v>
      </c>
      <c r="K40" s="441">
        <f t="shared" si="19"/>
        <v>434800</v>
      </c>
      <c r="L40" s="439">
        <v>397800</v>
      </c>
      <c r="M40" s="439">
        <v>37000</v>
      </c>
      <c r="N40" s="368"/>
      <c r="O40" s="368"/>
      <c r="P40" s="300">
        <f t="shared" si="20"/>
        <v>2019</v>
      </c>
      <c r="Q40" s="368">
        <f t="shared" si="41"/>
        <v>18690502793.296089</v>
      </c>
      <c r="R40" s="368">
        <f>C40*15.2</f>
        <v>1140000000</v>
      </c>
      <c r="S40" s="368">
        <f t="shared" si="9"/>
        <v>0</v>
      </c>
      <c r="T40" s="368">
        <f t="shared" si="10"/>
        <v>1700000</v>
      </c>
      <c r="U40" s="368">
        <f>F40*15.2</f>
        <v>2280000000</v>
      </c>
      <c r="V40" s="368">
        <f>G40*15.2</f>
        <v>4149600000</v>
      </c>
      <c r="W40" s="368">
        <f t="shared" si="11"/>
        <v>0</v>
      </c>
      <c r="X40" s="368">
        <f t="shared" si="12"/>
        <v>1200000</v>
      </c>
      <c r="Y40" s="368">
        <f t="shared" si="13"/>
        <v>1080000</v>
      </c>
      <c r="Z40" s="368">
        <f t="shared" si="21"/>
        <v>434800</v>
      </c>
      <c r="AA40" s="382">
        <f t="shared" si="14"/>
        <v>397800</v>
      </c>
      <c r="AB40" s="382">
        <f t="shared" si="15"/>
        <v>37000</v>
      </c>
      <c r="AC40" s="383">
        <f t="shared" si="22"/>
        <v>26264517593.296089</v>
      </c>
      <c r="AF40" s="339">
        <f t="shared" si="16"/>
        <v>2019</v>
      </c>
      <c r="AG40" s="302">
        <f t="shared" si="23"/>
        <v>609593.52551999991</v>
      </c>
      <c r="AH40" s="338">
        <f t="shared" si="24"/>
        <v>28349340055.865921</v>
      </c>
      <c r="AI40" s="302">
        <f t="shared" si="25"/>
        <v>72422.22129999999</v>
      </c>
      <c r="AJ40" s="338">
        <f t="shared" si="26"/>
        <v>4854880000</v>
      </c>
      <c r="AK40" s="302">
        <f t="shared" si="29"/>
        <v>0</v>
      </c>
      <c r="AL40" s="338">
        <f t="shared" si="30"/>
        <v>0</v>
      </c>
      <c r="AM40" s="302">
        <f t="shared" si="31"/>
        <v>308.08569599999998</v>
      </c>
      <c r="AN40" s="338">
        <f t="shared" si="32"/>
        <v>2664953.6</v>
      </c>
      <c r="AO40" s="302">
        <f t="shared" si="33"/>
        <v>9076.0096639999992</v>
      </c>
      <c r="AP40" s="338">
        <f t="shared" si="34"/>
        <v>151338193</v>
      </c>
      <c r="AQ40" s="302">
        <f t="shared" si="35"/>
        <v>80716.121578799997</v>
      </c>
      <c r="AR40" s="338">
        <f t="shared" si="36"/>
        <v>20154000</v>
      </c>
      <c r="AS40" s="302">
        <f t="shared" si="37"/>
        <v>67.960080000000005</v>
      </c>
      <c r="AT40" s="338">
        <f t="shared" si="38"/>
        <v>8460000</v>
      </c>
      <c r="AU40" s="302">
        <f t="shared" si="39"/>
        <v>497.61880799999983</v>
      </c>
      <c r="AV40" s="338">
        <f t="shared" si="40"/>
        <v>3888400</v>
      </c>
      <c r="AW40" s="342">
        <f t="shared" si="27"/>
        <v>772681.54264679994</v>
      </c>
      <c r="AX40" s="343">
        <f t="shared" si="28"/>
        <v>33390725602.465919</v>
      </c>
    </row>
    <row r="41" spans="1:50" x14ac:dyDescent="0.25">
      <c r="A41" s="300">
        <f t="shared" si="17"/>
        <v>2020</v>
      </c>
      <c r="B41" s="296">
        <f>(B15/$B$5)*$B$31</f>
        <v>1878271096.736254</v>
      </c>
      <c r="C41" s="296">
        <v>75000000</v>
      </c>
      <c r="D41" s="491">
        <v>15000000</v>
      </c>
      <c r="E41" s="296">
        <v>111842.10526315789</v>
      </c>
      <c r="F41" s="296">
        <f>(100/400)*600000000</f>
        <v>150000000</v>
      </c>
      <c r="G41" s="296">
        <f>(182/1000)*1500000000</f>
        <v>273000000</v>
      </c>
      <c r="H41" s="296"/>
      <c r="I41" s="296">
        <v>1200000</v>
      </c>
      <c r="J41" s="296">
        <v>1080000</v>
      </c>
      <c r="K41" s="441">
        <f t="shared" si="19"/>
        <v>434800</v>
      </c>
      <c r="L41" s="439">
        <v>397800</v>
      </c>
      <c r="M41" s="439">
        <v>37000</v>
      </c>
      <c r="N41" s="368"/>
      <c r="O41" s="368"/>
      <c r="P41" s="300">
        <f t="shared" si="20"/>
        <v>2020</v>
      </c>
      <c r="Q41" s="368">
        <f t="shared" si="41"/>
        <v>28549720670.39106</v>
      </c>
      <c r="R41" s="368">
        <f t="shared" ref="R41:R51" si="42">C41*15.2</f>
        <v>1140000000</v>
      </c>
      <c r="S41" s="368">
        <f t="shared" si="9"/>
        <v>228000000</v>
      </c>
      <c r="T41" s="368">
        <f t="shared" si="10"/>
        <v>1700000</v>
      </c>
      <c r="U41" s="368">
        <f>F41*15.2</f>
        <v>2280000000</v>
      </c>
      <c r="V41" s="368">
        <f>G41*15.2</f>
        <v>4149600000</v>
      </c>
      <c r="W41" s="368">
        <f t="shared" si="11"/>
        <v>0</v>
      </c>
      <c r="X41" s="368">
        <f t="shared" si="12"/>
        <v>1200000</v>
      </c>
      <c r="Y41" s="368">
        <f t="shared" si="13"/>
        <v>1080000</v>
      </c>
      <c r="Z41" s="368">
        <f t="shared" si="21"/>
        <v>434800</v>
      </c>
      <c r="AA41" s="382">
        <f t="shared" si="14"/>
        <v>397800</v>
      </c>
      <c r="AB41" s="382">
        <f t="shared" si="15"/>
        <v>37000</v>
      </c>
      <c r="AC41" s="383">
        <f t="shared" si="22"/>
        <v>36351735470.39106</v>
      </c>
      <c r="AF41" s="339">
        <f t="shared" si="16"/>
        <v>2020</v>
      </c>
      <c r="AG41" s="302">
        <f t="shared" si="23"/>
        <v>886142.31047999987</v>
      </c>
      <c r="AH41" s="338">
        <f t="shared" si="24"/>
        <v>56899060726.256981</v>
      </c>
      <c r="AI41" s="302">
        <f t="shared" si="25"/>
        <v>72457.521299999993</v>
      </c>
      <c r="AJ41" s="338">
        <f t="shared" si="26"/>
        <v>5994880000</v>
      </c>
      <c r="AK41" s="302">
        <f t="shared" si="29"/>
        <v>43291.919999999991</v>
      </c>
      <c r="AL41" s="338">
        <f t="shared" si="30"/>
        <v>228000000</v>
      </c>
      <c r="AM41" s="302">
        <f t="shared" si="31"/>
        <v>525.557952</v>
      </c>
      <c r="AN41" s="338">
        <f t="shared" si="32"/>
        <v>4364953.5999999996</v>
      </c>
      <c r="AO41" s="302">
        <f t="shared" si="33"/>
        <v>9076.0096639999992</v>
      </c>
      <c r="AP41" s="338">
        <f t="shared" si="34"/>
        <v>151338193</v>
      </c>
      <c r="AQ41" s="302">
        <f t="shared" si="35"/>
        <v>84636.282898799996</v>
      </c>
      <c r="AR41" s="338">
        <f t="shared" si="36"/>
        <v>21354000</v>
      </c>
      <c r="AS41" s="302">
        <f t="shared" si="37"/>
        <v>76.115289600000011</v>
      </c>
      <c r="AT41" s="338">
        <f t="shared" si="38"/>
        <v>9540000</v>
      </c>
      <c r="AU41" s="302">
        <f t="shared" si="39"/>
        <v>553.27056239999979</v>
      </c>
      <c r="AV41" s="338">
        <f t="shared" si="40"/>
        <v>4323200</v>
      </c>
      <c r="AW41" s="342">
        <f t="shared" si="27"/>
        <v>1096758.9881468001</v>
      </c>
      <c r="AX41" s="343">
        <f t="shared" si="28"/>
        <v>63312861072.856979</v>
      </c>
    </row>
    <row r="42" spans="1:50" x14ac:dyDescent="0.25">
      <c r="A42" s="300">
        <f t="shared" si="17"/>
        <v>2021</v>
      </c>
      <c r="B42" s="296">
        <f>(B16/$B$5)*$B$31</f>
        <v>509967656.57159662</v>
      </c>
      <c r="C42" s="296">
        <v>75000000</v>
      </c>
      <c r="D42" s="491">
        <v>15000000</v>
      </c>
      <c r="E42" s="296">
        <v>111842.10526315789</v>
      </c>
      <c r="F42" s="296"/>
      <c r="G42" s="296"/>
      <c r="H42" s="296"/>
      <c r="I42" s="296">
        <v>1200000</v>
      </c>
      <c r="J42" s="296">
        <v>1080000</v>
      </c>
      <c r="K42" s="441">
        <f t="shared" si="19"/>
        <v>434800</v>
      </c>
      <c r="L42" s="439">
        <v>397800</v>
      </c>
      <c r="M42" s="439">
        <v>37000</v>
      </c>
      <c r="N42" s="368"/>
      <c r="O42" s="368"/>
      <c r="P42" s="300">
        <f t="shared" si="20"/>
        <v>2021</v>
      </c>
      <c r="Q42" s="368">
        <f t="shared" si="41"/>
        <v>7751508379.8882685</v>
      </c>
      <c r="R42" s="368">
        <f t="shared" si="42"/>
        <v>1140000000</v>
      </c>
      <c r="S42" s="368">
        <f t="shared" si="9"/>
        <v>228000000</v>
      </c>
      <c r="T42" s="368">
        <f t="shared" si="10"/>
        <v>1700000</v>
      </c>
      <c r="U42" s="368"/>
      <c r="V42" s="368"/>
      <c r="W42" s="368">
        <f t="shared" si="11"/>
        <v>0</v>
      </c>
      <c r="X42" s="368">
        <f t="shared" si="12"/>
        <v>1200000</v>
      </c>
      <c r="Y42" s="368">
        <f t="shared" si="13"/>
        <v>1080000</v>
      </c>
      <c r="Z42" s="368">
        <f t="shared" si="21"/>
        <v>434800</v>
      </c>
      <c r="AA42" s="382">
        <f t="shared" si="14"/>
        <v>397800</v>
      </c>
      <c r="AB42" s="382">
        <f t="shared" si="15"/>
        <v>37000</v>
      </c>
      <c r="AC42" s="383">
        <f t="shared" si="22"/>
        <v>9123923179.8882675</v>
      </c>
      <c r="AF42" s="339">
        <f t="shared" si="16"/>
        <v>2021</v>
      </c>
      <c r="AG42" s="302">
        <f t="shared" si="23"/>
        <v>961227.81652799982</v>
      </c>
      <c r="AH42" s="338">
        <f t="shared" si="24"/>
        <v>64650569106.145248</v>
      </c>
      <c r="AI42" s="302">
        <f t="shared" si="25"/>
        <v>72492.821299999996</v>
      </c>
      <c r="AJ42" s="338">
        <f t="shared" si="26"/>
        <v>7134880000</v>
      </c>
      <c r="AK42" s="302">
        <f t="shared" si="29"/>
        <v>86583.839999999982</v>
      </c>
      <c r="AL42" s="338">
        <f t="shared" si="30"/>
        <v>456000000</v>
      </c>
      <c r="AM42" s="302">
        <f t="shared" si="31"/>
        <v>743.03020800000002</v>
      </c>
      <c r="AN42" s="338">
        <f t="shared" si="32"/>
        <v>6064953.5999999996</v>
      </c>
      <c r="AO42" s="302">
        <f t="shared" si="33"/>
        <v>9076.0096639999992</v>
      </c>
      <c r="AP42" s="338">
        <f t="shared" si="34"/>
        <v>151338193</v>
      </c>
      <c r="AQ42" s="302">
        <f t="shared" si="35"/>
        <v>88556.444218799996</v>
      </c>
      <c r="AR42" s="338">
        <f t="shared" si="36"/>
        <v>22554000</v>
      </c>
      <c r="AS42" s="302">
        <f t="shared" si="37"/>
        <v>84.270499200000017</v>
      </c>
      <c r="AT42" s="338">
        <f t="shared" si="38"/>
        <v>10620000</v>
      </c>
      <c r="AU42" s="302">
        <f t="shared" si="39"/>
        <v>608.92231679999975</v>
      </c>
      <c r="AV42" s="338">
        <f t="shared" si="40"/>
        <v>4758000</v>
      </c>
      <c r="AW42" s="342">
        <f t="shared" si="27"/>
        <v>1219373.1547347999</v>
      </c>
      <c r="AX42" s="343">
        <f t="shared" si="28"/>
        <v>72436784252.745255</v>
      </c>
    </row>
    <row r="43" spans="1:50" x14ac:dyDescent="0.25">
      <c r="A43" s="300">
        <f t="shared" si="17"/>
        <v>2022</v>
      </c>
      <c r="B43" s="296">
        <f t="shared" ref="B43:B51" si="43">(B17/$B$5)*$B$31</f>
        <v>0</v>
      </c>
      <c r="C43" s="296">
        <v>75000000</v>
      </c>
      <c r="D43" s="296"/>
      <c r="E43" s="296">
        <v>111842.10526315789</v>
      </c>
      <c r="F43" s="296"/>
      <c r="G43" s="296"/>
      <c r="H43" s="296"/>
      <c r="I43" s="296">
        <v>1200000</v>
      </c>
      <c r="J43" s="296">
        <v>1080000</v>
      </c>
      <c r="K43" s="441">
        <f t="shared" si="19"/>
        <v>434800</v>
      </c>
      <c r="L43" s="439">
        <v>397800</v>
      </c>
      <c r="M43" s="439">
        <v>37000</v>
      </c>
      <c r="N43" s="368"/>
      <c r="O43" s="368"/>
      <c r="P43" s="300">
        <f t="shared" si="20"/>
        <v>2022</v>
      </c>
      <c r="Q43" s="368">
        <f t="shared" si="41"/>
        <v>0</v>
      </c>
      <c r="R43" s="368">
        <f t="shared" si="42"/>
        <v>1140000000</v>
      </c>
      <c r="S43" s="368">
        <f t="shared" si="9"/>
        <v>0</v>
      </c>
      <c r="T43" s="368">
        <f t="shared" si="10"/>
        <v>1700000</v>
      </c>
      <c r="U43" s="368"/>
      <c r="V43" s="368"/>
      <c r="W43" s="368">
        <f t="shared" si="11"/>
        <v>0</v>
      </c>
      <c r="X43" s="368">
        <f t="shared" si="12"/>
        <v>1200000</v>
      </c>
      <c r="Y43" s="368">
        <f t="shared" si="13"/>
        <v>1080000</v>
      </c>
      <c r="Z43" s="368">
        <f t="shared" si="21"/>
        <v>434800</v>
      </c>
      <c r="AA43" s="382">
        <f t="shared" si="14"/>
        <v>397800</v>
      </c>
      <c r="AB43" s="382">
        <f t="shared" si="15"/>
        <v>37000</v>
      </c>
      <c r="AC43" s="383">
        <f t="shared" si="22"/>
        <v>1144414800</v>
      </c>
      <c r="AF43" s="339">
        <f t="shared" si="16"/>
        <v>2022</v>
      </c>
      <c r="AG43" s="302">
        <f t="shared" si="23"/>
        <v>961227.81652799982</v>
      </c>
      <c r="AH43" s="338">
        <f t="shared" si="24"/>
        <v>64650569106.145248</v>
      </c>
      <c r="AI43" s="302">
        <f t="shared" si="25"/>
        <v>72528.121299999999</v>
      </c>
      <c r="AJ43" s="338">
        <f t="shared" si="26"/>
        <v>8274880000</v>
      </c>
      <c r="AK43" s="302">
        <f t="shared" si="29"/>
        <v>86583.839999999982</v>
      </c>
      <c r="AL43" s="338">
        <f t="shared" si="30"/>
        <v>456000000</v>
      </c>
      <c r="AM43" s="302">
        <f t="shared" si="31"/>
        <v>960.50246400000003</v>
      </c>
      <c r="AN43" s="338">
        <f t="shared" si="32"/>
        <v>7764953.5999999996</v>
      </c>
      <c r="AO43" s="302">
        <f t="shared" si="33"/>
        <v>9076.0096639999992</v>
      </c>
      <c r="AP43" s="338">
        <f t="shared" si="34"/>
        <v>151338193</v>
      </c>
      <c r="AQ43" s="302">
        <f t="shared" si="35"/>
        <v>92476.605538799995</v>
      </c>
      <c r="AR43" s="338">
        <f t="shared" si="36"/>
        <v>23754000</v>
      </c>
      <c r="AS43" s="302">
        <f t="shared" si="37"/>
        <v>92.425708800000024</v>
      </c>
      <c r="AT43" s="338">
        <f t="shared" si="38"/>
        <v>11700000</v>
      </c>
      <c r="AU43" s="302">
        <f t="shared" si="39"/>
        <v>664.57407119999971</v>
      </c>
      <c r="AV43" s="338">
        <f t="shared" si="40"/>
        <v>5192800</v>
      </c>
      <c r="AW43" s="342">
        <f t="shared" si="27"/>
        <v>1223609.8952747998</v>
      </c>
      <c r="AX43" s="343">
        <f t="shared" si="28"/>
        <v>73581199052.745255</v>
      </c>
    </row>
    <row r="44" spans="1:50" x14ac:dyDescent="0.25">
      <c r="A44" s="300">
        <f t="shared" si="17"/>
        <v>2023</v>
      </c>
      <c r="B44" s="296">
        <f t="shared" si="43"/>
        <v>0</v>
      </c>
      <c r="C44" s="296">
        <v>75000000</v>
      </c>
      <c r="D44" s="491">
        <v>15000000</v>
      </c>
      <c r="E44" s="296">
        <v>111842.10526315789</v>
      </c>
      <c r="F44" s="296"/>
      <c r="G44" s="296"/>
      <c r="H44" s="296"/>
      <c r="I44" s="296">
        <v>1200000</v>
      </c>
      <c r="J44" s="296">
        <v>1080000</v>
      </c>
      <c r="K44" s="441">
        <f t="shared" si="19"/>
        <v>434800</v>
      </c>
      <c r="L44" s="439">
        <v>397800</v>
      </c>
      <c r="M44" s="439">
        <v>37000</v>
      </c>
      <c r="N44" s="368"/>
      <c r="O44" s="368"/>
      <c r="P44" s="300">
        <f t="shared" si="20"/>
        <v>2023</v>
      </c>
      <c r="Q44" s="368">
        <f t="shared" si="41"/>
        <v>0</v>
      </c>
      <c r="R44" s="368">
        <f t="shared" si="42"/>
        <v>1140000000</v>
      </c>
      <c r="S44" s="368">
        <f t="shared" si="9"/>
        <v>228000000</v>
      </c>
      <c r="T44" s="368">
        <f t="shared" si="10"/>
        <v>1700000</v>
      </c>
      <c r="U44" s="368"/>
      <c r="V44" s="368"/>
      <c r="W44" s="368">
        <f t="shared" si="11"/>
        <v>0</v>
      </c>
      <c r="X44" s="368">
        <f t="shared" si="12"/>
        <v>1200000</v>
      </c>
      <c r="Y44" s="368">
        <f t="shared" si="13"/>
        <v>1080000</v>
      </c>
      <c r="Z44" s="368">
        <f t="shared" si="21"/>
        <v>434800</v>
      </c>
      <c r="AA44" s="382">
        <f t="shared" si="14"/>
        <v>397800</v>
      </c>
      <c r="AB44" s="382">
        <f t="shared" si="15"/>
        <v>37000</v>
      </c>
      <c r="AC44" s="383">
        <f t="shared" si="22"/>
        <v>1372414800</v>
      </c>
      <c r="AF44" s="339">
        <f t="shared" si="16"/>
        <v>2023</v>
      </c>
      <c r="AG44" s="302">
        <f t="shared" si="23"/>
        <v>961227.81652799982</v>
      </c>
      <c r="AH44" s="338">
        <f t="shared" si="24"/>
        <v>64650569106.145248</v>
      </c>
      <c r="AI44" s="302">
        <f t="shared" si="25"/>
        <v>72563.421300000002</v>
      </c>
      <c r="AJ44" s="338">
        <f t="shared" si="26"/>
        <v>9414880000</v>
      </c>
      <c r="AK44" s="302">
        <f t="shared" si="29"/>
        <v>129875.75999999998</v>
      </c>
      <c r="AL44" s="338">
        <f t="shared" si="30"/>
        <v>684000000</v>
      </c>
      <c r="AM44" s="302">
        <f t="shared" si="31"/>
        <v>1177.9747199999999</v>
      </c>
      <c r="AN44" s="338">
        <f t="shared" si="32"/>
        <v>9464953.5999999996</v>
      </c>
      <c r="AO44" s="302">
        <f t="shared" si="33"/>
        <v>9076.0096639999992</v>
      </c>
      <c r="AP44" s="338">
        <f t="shared" si="34"/>
        <v>151338193</v>
      </c>
      <c r="AQ44" s="302">
        <f t="shared" si="35"/>
        <v>96396.766858799994</v>
      </c>
      <c r="AR44" s="338">
        <f t="shared" si="36"/>
        <v>24954000</v>
      </c>
      <c r="AS44" s="302">
        <f t="shared" si="37"/>
        <v>100.58091840000003</v>
      </c>
      <c r="AT44" s="338">
        <f t="shared" si="38"/>
        <v>12780000</v>
      </c>
      <c r="AU44" s="302">
        <f t="shared" si="39"/>
        <v>720.22582559999967</v>
      </c>
      <c r="AV44" s="338">
        <f t="shared" si="40"/>
        <v>5627600</v>
      </c>
      <c r="AW44" s="342">
        <f t="shared" si="27"/>
        <v>1271138.5558148001</v>
      </c>
      <c r="AX44" s="343">
        <f t="shared" si="28"/>
        <v>74953613852.745255</v>
      </c>
    </row>
    <row r="45" spans="1:50" x14ac:dyDescent="0.25">
      <c r="A45" s="300">
        <f t="shared" si="17"/>
        <v>2024</v>
      </c>
      <c r="B45" s="296">
        <f>(B19/$B$5)*$B$31</f>
        <v>688032931.49073792</v>
      </c>
      <c r="C45" s="296">
        <v>75000000</v>
      </c>
      <c r="D45" s="296"/>
      <c r="E45" s="296">
        <v>111842.10526315789</v>
      </c>
      <c r="F45" s="296"/>
      <c r="G45" s="296"/>
      <c r="H45" s="296"/>
      <c r="I45" s="296">
        <v>1200000</v>
      </c>
      <c r="J45" s="296">
        <v>1080000</v>
      </c>
      <c r="K45" s="441">
        <f t="shared" si="19"/>
        <v>434800</v>
      </c>
      <c r="L45" s="439">
        <v>397800</v>
      </c>
      <c r="M45" s="439">
        <v>37000</v>
      </c>
      <c r="N45" s="368"/>
      <c r="O45" s="368"/>
      <c r="P45" s="300">
        <f t="shared" si="20"/>
        <v>2024</v>
      </c>
      <c r="Q45" s="368">
        <f t="shared" si="41"/>
        <v>10458100558.659216</v>
      </c>
      <c r="R45" s="368">
        <f t="shared" si="42"/>
        <v>1140000000</v>
      </c>
      <c r="S45" s="368">
        <f t="shared" si="9"/>
        <v>0</v>
      </c>
      <c r="T45" s="368">
        <f t="shared" si="10"/>
        <v>1700000</v>
      </c>
      <c r="U45" s="368"/>
      <c r="V45" s="368"/>
      <c r="W45" s="368">
        <f t="shared" si="11"/>
        <v>0</v>
      </c>
      <c r="X45" s="368">
        <f t="shared" si="12"/>
        <v>1200000</v>
      </c>
      <c r="Y45" s="368">
        <f t="shared" si="13"/>
        <v>1080000</v>
      </c>
      <c r="Z45" s="368">
        <f t="shared" si="21"/>
        <v>434800</v>
      </c>
      <c r="AA45" s="382">
        <f t="shared" si="14"/>
        <v>397800</v>
      </c>
      <c r="AB45" s="382">
        <f t="shared" si="15"/>
        <v>37000</v>
      </c>
      <c r="AC45" s="383">
        <f t="shared" si="22"/>
        <v>11602515358.659216</v>
      </c>
      <c r="AF45" s="339">
        <f t="shared" si="16"/>
        <v>2024</v>
      </c>
      <c r="AG45" s="302">
        <f t="shared" si="23"/>
        <v>1062530.9093279997</v>
      </c>
      <c r="AH45" s="338">
        <f t="shared" si="24"/>
        <v>75108669664.804459</v>
      </c>
      <c r="AI45" s="302">
        <f t="shared" si="25"/>
        <v>72598.721300000005</v>
      </c>
      <c r="AJ45" s="338">
        <f t="shared" si="26"/>
        <v>10554880000</v>
      </c>
      <c r="AK45" s="302">
        <f t="shared" si="29"/>
        <v>129875.75999999998</v>
      </c>
      <c r="AL45" s="338">
        <f t="shared" si="30"/>
        <v>684000000</v>
      </c>
      <c r="AM45" s="302">
        <f t="shared" si="31"/>
        <v>1395.4469759999999</v>
      </c>
      <c r="AN45" s="338">
        <f t="shared" si="32"/>
        <v>11164953.6</v>
      </c>
      <c r="AO45" s="302">
        <f t="shared" si="33"/>
        <v>9076.0096639999992</v>
      </c>
      <c r="AP45" s="338">
        <f t="shared" si="34"/>
        <v>151338193</v>
      </c>
      <c r="AQ45" s="302">
        <f t="shared" si="35"/>
        <v>100316.92817879999</v>
      </c>
      <c r="AR45" s="338">
        <f t="shared" si="36"/>
        <v>26154000</v>
      </c>
      <c r="AS45" s="302">
        <f t="shared" si="37"/>
        <v>108.73612800000004</v>
      </c>
      <c r="AT45" s="338">
        <f t="shared" si="38"/>
        <v>13860000</v>
      </c>
      <c r="AU45" s="302">
        <f t="shared" si="39"/>
        <v>775.87757999999963</v>
      </c>
      <c r="AV45" s="338">
        <f t="shared" si="40"/>
        <v>6062400</v>
      </c>
      <c r="AW45" s="342">
        <f t="shared" si="27"/>
        <v>1376678.3891548</v>
      </c>
      <c r="AX45" s="343">
        <f t="shared" si="28"/>
        <v>86556129211.404465</v>
      </c>
    </row>
    <row r="46" spans="1:50" x14ac:dyDescent="0.25">
      <c r="A46" s="300">
        <f t="shared" si="17"/>
        <v>2025</v>
      </c>
      <c r="B46" s="296">
        <f t="shared" si="43"/>
        <v>0</v>
      </c>
      <c r="C46" s="296">
        <v>75000000</v>
      </c>
      <c r="D46" s="491">
        <v>15000000</v>
      </c>
      <c r="E46" s="296">
        <v>111842.10526315789</v>
      </c>
      <c r="F46" s="296"/>
      <c r="G46" s="296"/>
      <c r="H46" s="296"/>
      <c r="I46" s="296">
        <v>1200000</v>
      </c>
      <c r="J46" s="296">
        <v>1080000</v>
      </c>
      <c r="K46" s="441">
        <f t="shared" si="19"/>
        <v>434800</v>
      </c>
      <c r="L46" s="439">
        <v>397800</v>
      </c>
      <c r="M46" s="439">
        <v>37000</v>
      </c>
      <c r="N46" s="368"/>
      <c r="O46" s="368"/>
      <c r="P46" s="300">
        <f t="shared" si="20"/>
        <v>2025</v>
      </c>
      <c r="Q46" s="368">
        <f t="shared" si="41"/>
        <v>0</v>
      </c>
      <c r="R46" s="368">
        <f t="shared" si="42"/>
        <v>1140000000</v>
      </c>
      <c r="S46" s="368">
        <f t="shared" si="9"/>
        <v>228000000</v>
      </c>
      <c r="T46" s="368">
        <f t="shared" si="10"/>
        <v>1700000</v>
      </c>
      <c r="U46" s="368"/>
      <c r="V46" s="368"/>
      <c r="W46" s="368">
        <f t="shared" si="11"/>
        <v>0</v>
      </c>
      <c r="X46" s="368">
        <f t="shared" si="12"/>
        <v>1200000</v>
      </c>
      <c r="Y46" s="368">
        <f t="shared" si="13"/>
        <v>1080000</v>
      </c>
      <c r="Z46" s="368">
        <f t="shared" si="21"/>
        <v>434800</v>
      </c>
      <c r="AA46" s="382">
        <f t="shared" si="14"/>
        <v>397800</v>
      </c>
      <c r="AB46" s="382">
        <f t="shared" si="15"/>
        <v>37000</v>
      </c>
      <c r="AC46" s="383">
        <f t="shared" si="22"/>
        <v>1372414800</v>
      </c>
      <c r="AF46" s="339">
        <f t="shared" si="16"/>
        <v>2025</v>
      </c>
      <c r="AG46" s="302">
        <f t="shared" si="23"/>
        <v>1062530.9093279997</v>
      </c>
      <c r="AH46" s="338">
        <f t="shared" si="24"/>
        <v>75108669664.804459</v>
      </c>
      <c r="AI46" s="302">
        <f t="shared" si="25"/>
        <v>72634.021300000008</v>
      </c>
      <c r="AJ46" s="338">
        <f t="shared" si="26"/>
        <v>11694880000</v>
      </c>
      <c r="AK46" s="302">
        <f t="shared" si="29"/>
        <v>173167.67999999996</v>
      </c>
      <c r="AL46" s="338">
        <f t="shared" si="30"/>
        <v>912000000</v>
      </c>
      <c r="AM46" s="302">
        <f t="shared" si="31"/>
        <v>1612.919232</v>
      </c>
      <c r="AN46" s="338">
        <f t="shared" si="32"/>
        <v>12864953.6</v>
      </c>
      <c r="AO46" s="302">
        <f t="shared" si="33"/>
        <v>9076.0096639999992</v>
      </c>
      <c r="AP46" s="338">
        <f t="shared" si="34"/>
        <v>151338193</v>
      </c>
      <c r="AQ46" s="302">
        <f t="shared" si="35"/>
        <v>104237.08949879999</v>
      </c>
      <c r="AR46" s="338">
        <f t="shared" si="36"/>
        <v>27354000</v>
      </c>
      <c r="AS46" s="302">
        <f t="shared" si="37"/>
        <v>116.89133760000004</v>
      </c>
      <c r="AT46" s="338">
        <f t="shared" si="38"/>
        <v>14940000</v>
      </c>
      <c r="AU46" s="302">
        <f t="shared" si="39"/>
        <v>831.52933439999958</v>
      </c>
      <c r="AV46" s="338">
        <f t="shared" si="40"/>
        <v>6497200</v>
      </c>
      <c r="AW46" s="342">
        <f t="shared" si="27"/>
        <v>1424207.0496947996</v>
      </c>
      <c r="AX46" s="343">
        <f t="shared" si="28"/>
        <v>87928544011.404465</v>
      </c>
    </row>
    <row r="47" spans="1:50" x14ac:dyDescent="0.25">
      <c r="A47" s="300">
        <f t="shared" si="17"/>
        <v>2026</v>
      </c>
      <c r="B47" s="296">
        <f t="shared" si="43"/>
        <v>0</v>
      </c>
      <c r="C47" s="296">
        <v>75000000</v>
      </c>
      <c r="D47" s="296"/>
      <c r="E47" s="296">
        <v>111842.10526315789</v>
      </c>
      <c r="F47" s="296"/>
      <c r="G47" s="296"/>
      <c r="H47" s="296"/>
      <c r="I47" s="296">
        <v>1200000</v>
      </c>
      <c r="J47" s="296">
        <v>1080000</v>
      </c>
      <c r="K47" s="441">
        <f t="shared" si="19"/>
        <v>434800</v>
      </c>
      <c r="L47" s="439">
        <v>397800</v>
      </c>
      <c r="M47" s="439">
        <v>37000</v>
      </c>
      <c r="N47" s="368"/>
      <c r="O47" s="368"/>
      <c r="P47" s="300">
        <f t="shared" si="20"/>
        <v>2026</v>
      </c>
      <c r="Q47" s="368">
        <f t="shared" si="41"/>
        <v>0</v>
      </c>
      <c r="R47" s="368">
        <f t="shared" si="42"/>
        <v>1140000000</v>
      </c>
      <c r="S47" s="368">
        <f t="shared" si="9"/>
        <v>0</v>
      </c>
      <c r="T47" s="368">
        <f t="shared" si="10"/>
        <v>1700000</v>
      </c>
      <c r="U47" s="368"/>
      <c r="V47" s="368"/>
      <c r="W47" s="368">
        <f t="shared" si="11"/>
        <v>0</v>
      </c>
      <c r="X47" s="368">
        <f t="shared" si="12"/>
        <v>1200000</v>
      </c>
      <c r="Y47" s="368">
        <f t="shared" si="13"/>
        <v>1080000</v>
      </c>
      <c r="Z47" s="368">
        <f t="shared" si="21"/>
        <v>434800</v>
      </c>
      <c r="AA47" s="382">
        <f t="shared" si="14"/>
        <v>397800</v>
      </c>
      <c r="AB47" s="382">
        <f t="shared" si="15"/>
        <v>37000</v>
      </c>
      <c r="AC47" s="383">
        <f t="shared" si="22"/>
        <v>1144414800</v>
      </c>
      <c r="AF47" s="339">
        <f t="shared" si="16"/>
        <v>2026</v>
      </c>
      <c r="AG47" s="302">
        <f t="shared" si="23"/>
        <v>1062530.9093279997</v>
      </c>
      <c r="AH47" s="338">
        <f t="shared" si="24"/>
        <v>75108669664.804459</v>
      </c>
      <c r="AI47" s="302">
        <f t="shared" si="25"/>
        <v>72669.321300000011</v>
      </c>
      <c r="AJ47" s="338">
        <f t="shared" si="26"/>
        <v>12834880000</v>
      </c>
      <c r="AK47" s="302">
        <f t="shared" si="29"/>
        <v>173167.67999999996</v>
      </c>
      <c r="AL47" s="338">
        <f t="shared" si="30"/>
        <v>912000000</v>
      </c>
      <c r="AM47" s="302">
        <f t="shared" si="31"/>
        <v>1830.391488</v>
      </c>
      <c r="AN47" s="338">
        <f t="shared" si="32"/>
        <v>14564953.6</v>
      </c>
      <c r="AO47" s="302">
        <f t="shared" si="33"/>
        <v>9076.0096639999992</v>
      </c>
      <c r="AP47" s="338">
        <f t="shared" si="34"/>
        <v>151338193</v>
      </c>
      <c r="AQ47" s="302">
        <f t="shared" si="35"/>
        <v>108157.25081879999</v>
      </c>
      <c r="AR47" s="338">
        <f t="shared" si="36"/>
        <v>28554000</v>
      </c>
      <c r="AS47" s="302">
        <f t="shared" si="37"/>
        <v>125.04654720000005</v>
      </c>
      <c r="AT47" s="338">
        <f t="shared" si="38"/>
        <v>16020000</v>
      </c>
      <c r="AU47" s="302">
        <f t="shared" si="39"/>
        <v>887.18108879999954</v>
      </c>
      <c r="AV47" s="338">
        <f t="shared" si="40"/>
        <v>6932000</v>
      </c>
      <c r="AW47" s="342">
        <f t="shared" si="27"/>
        <v>1428443.7902347997</v>
      </c>
      <c r="AX47" s="343">
        <f t="shared" si="28"/>
        <v>89072958811.404465</v>
      </c>
    </row>
    <row r="48" spans="1:50" x14ac:dyDescent="0.25">
      <c r="A48" s="300">
        <f t="shared" si="17"/>
        <v>2027</v>
      </c>
      <c r="B48" s="296">
        <f t="shared" si="43"/>
        <v>0</v>
      </c>
      <c r="C48" s="296">
        <v>75000000</v>
      </c>
      <c r="D48" s="296"/>
      <c r="E48" s="296">
        <v>111842.10526315789</v>
      </c>
      <c r="F48" s="296"/>
      <c r="G48" s="296"/>
      <c r="H48" s="296"/>
      <c r="I48" s="296">
        <v>1200000</v>
      </c>
      <c r="J48" s="296">
        <v>1080000</v>
      </c>
      <c r="K48" s="441">
        <f t="shared" si="19"/>
        <v>434800</v>
      </c>
      <c r="L48" s="439">
        <v>397800</v>
      </c>
      <c r="M48" s="439">
        <v>37000</v>
      </c>
      <c r="N48" s="368"/>
      <c r="O48" s="368"/>
      <c r="P48" s="300">
        <f t="shared" si="20"/>
        <v>2027</v>
      </c>
      <c r="Q48" s="368">
        <f t="shared" si="41"/>
        <v>0</v>
      </c>
      <c r="R48" s="368">
        <f t="shared" si="42"/>
        <v>1140000000</v>
      </c>
      <c r="S48" s="368">
        <f t="shared" si="9"/>
        <v>0</v>
      </c>
      <c r="T48" s="368">
        <f t="shared" si="10"/>
        <v>1700000</v>
      </c>
      <c r="U48" s="368"/>
      <c r="V48" s="368"/>
      <c r="W48" s="368">
        <f t="shared" si="11"/>
        <v>0</v>
      </c>
      <c r="X48" s="368">
        <f t="shared" si="12"/>
        <v>1200000</v>
      </c>
      <c r="Y48" s="368">
        <f t="shared" si="13"/>
        <v>1080000</v>
      </c>
      <c r="Z48" s="368">
        <f t="shared" si="21"/>
        <v>434800</v>
      </c>
      <c r="AA48" s="382">
        <f t="shared" si="14"/>
        <v>397800</v>
      </c>
      <c r="AB48" s="382">
        <f t="shared" si="15"/>
        <v>37000</v>
      </c>
      <c r="AC48" s="383">
        <f t="shared" si="22"/>
        <v>1144414800</v>
      </c>
      <c r="AF48" s="339">
        <f t="shared" si="16"/>
        <v>2027</v>
      </c>
      <c r="AG48" s="302">
        <f t="shared" si="23"/>
        <v>1062530.9093279997</v>
      </c>
      <c r="AH48" s="338">
        <f t="shared" si="24"/>
        <v>75108669664.804459</v>
      </c>
      <c r="AI48" s="302">
        <f t="shared" si="25"/>
        <v>72704.621300000013</v>
      </c>
      <c r="AJ48" s="338">
        <f t="shared" si="26"/>
        <v>13974880000</v>
      </c>
      <c r="AK48" s="302">
        <f t="shared" si="29"/>
        <v>173167.67999999996</v>
      </c>
      <c r="AL48" s="338">
        <f t="shared" si="30"/>
        <v>912000000</v>
      </c>
      <c r="AM48" s="302">
        <f t="shared" si="31"/>
        <v>2047.863744</v>
      </c>
      <c r="AN48" s="338">
        <f t="shared" si="32"/>
        <v>16264953.6</v>
      </c>
      <c r="AO48" s="302">
        <f t="shared" si="33"/>
        <v>9076.0096639999992</v>
      </c>
      <c r="AP48" s="338">
        <f t="shared" si="34"/>
        <v>151338193</v>
      </c>
      <c r="AQ48" s="302">
        <f t="shared" si="35"/>
        <v>112077.41213879999</v>
      </c>
      <c r="AR48" s="338">
        <f t="shared" si="36"/>
        <v>29754000</v>
      </c>
      <c r="AS48" s="302">
        <f t="shared" si="37"/>
        <v>133.20175680000006</v>
      </c>
      <c r="AT48" s="338">
        <f t="shared" si="38"/>
        <v>17100000</v>
      </c>
      <c r="AU48" s="302">
        <f t="shared" si="39"/>
        <v>942.8328431999995</v>
      </c>
      <c r="AV48" s="338">
        <f t="shared" si="40"/>
        <v>7366800</v>
      </c>
      <c r="AW48" s="342">
        <f t="shared" si="27"/>
        <v>1432680.5307747996</v>
      </c>
      <c r="AX48" s="343">
        <f t="shared" si="28"/>
        <v>90217373611.404465</v>
      </c>
    </row>
    <row r="49" spans="1:50" x14ac:dyDescent="0.25">
      <c r="A49" s="300">
        <f t="shared" si="17"/>
        <v>2028</v>
      </c>
      <c r="B49" s="296">
        <f t="shared" si="43"/>
        <v>0</v>
      </c>
      <c r="C49" s="296">
        <v>75000000</v>
      </c>
      <c r="D49" s="296"/>
      <c r="E49" s="296">
        <v>111842.10526315789</v>
      </c>
      <c r="F49" s="296"/>
      <c r="G49" s="296"/>
      <c r="H49" s="296"/>
      <c r="I49" s="296">
        <v>1200000</v>
      </c>
      <c r="J49" s="296">
        <v>1080000</v>
      </c>
      <c r="K49" s="441">
        <f t="shared" si="19"/>
        <v>434800</v>
      </c>
      <c r="L49" s="439">
        <v>397800</v>
      </c>
      <c r="M49" s="439">
        <v>37000</v>
      </c>
      <c r="N49" s="368"/>
      <c r="O49" s="368"/>
      <c r="P49" s="300">
        <f t="shared" si="20"/>
        <v>2028</v>
      </c>
      <c r="Q49" s="368">
        <f t="shared" si="41"/>
        <v>0</v>
      </c>
      <c r="R49" s="368">
        <f t="shared" si="42"/>
        <v>1140000000</v>
      </c>
      <c r="S49" s="368">
        <f t="shared" si="9"/>
        <v>0</v>
      </c>
      <c r="T49" s="368">
        <f t="shared" si="10"/>
        <v>1700000</v>
      </c>
      <c r="U49" s="368"/>
      <c r="V49" s="368"/>
      <c r="W49" s="368">
        <f t="shared" si="11"/>
        <v>0</v>
      </c>
      <c r="X49" s="368">
        <f t="shared" si="12"/>
        <v>1200000</v>
      </c>
      <c r="Y49" s="368">
        <f t="shared" si="13"/>
        <v>1080000</v>
      </c>
      <c r="Z49" s="368">
        <f t="shared" si="21"/>
        <v>434800</v>
      </c>
      <c r="AA49" s="382">
        <f t="shared" si="14"/>
        <v>397800</v>
      </c>
      <c r="AB49" s="382">
        <f t="shared" si="15"/>
        <v>37000</v>
      </c>
      <c r="AC49" s="383">
        <f t="shared" si="22"/>
        <v>1144414800</v>
      </c>
      <c r="AF49" s="339">
        <f t="shared" si="16"/>
        <v>2028</v>
      </c>
      <c r="AG49" s="302">
        <f t="shared" si="23"/>
        <v>1062530.9093279997</v>
      </c>
      <c r="AH49" s="338">
        <f t="shared" si="24"/>
        <v>75108669664.804459</v>
      </c>
      <c r="AI49" s="302">
        <f t="shared" si="25"/>
        <v>72739.921300000016</v>
      </c>
      <c r="AJ49" s="338">
        <f t="shared" si="26"/>
        <v>15114880000</v>
      </c>
      <c r="AK49" s="302">
        <f t="shared" si="29"/>
        <v>173167.67999999996</v>
      </c>
      <c r="AL49" s="338">
        <f t="shared" si="30"/>
        <v>912000000</v>
      </c>
      <c r="AM49" s="302">
        <f t="shared" si="31"/>
        <v>2265.3359999999998</v>
      </c>
      <c r="AN49" s="338">
        <f t="shared" si="32"/>
        <v>17964953.600000001</v>
      </c>
      <c r="AO49" s="302">
        <f t="shared" si="33"/>
        <v>9076.0096639999992</v>
      </c>
      <c r="AP49" s="338">
        <f t="shared" si="34"/>
        <v>151338193</v>
      </c>
      <c r="AQ49" s="302">
        <f t="shared" si="35"/>
        <v>115997.57345879999</v>
      </c>
      <c r="AR49" s="338">
        <f t="shared" si="36"/>
        <v>30954000</v>
      </c>
      <c r="AS49" s="302">
        <f t="shared" si="37"/>
        <v>141.35696640000006</v>
      </c>
      <c r="AT49" s="338">
        <f t="shared" si="38"/>
        <v>18180000</v>
      </c>
      <c r="AU49" s="302">
        <f>Z23+AU48</f>
        <v>998.48459759999946</v>
      </c>
      <c r="AV49" s="338">
        <f t="shared" si="40"/>
        <v>7801600</v>
      </c>
      <c r="AW49" s="342">
        <f t="shared" si="27"/>
        <v>1436917.2713147998</v>
      </c>
      <c r="AX49" s="343">
        <f t="shared" si="28"/>
        <v>91361788411.404465</v>
      </c>
    </row>
    <row r="50" spans="1:50" x14ac:dyDescent="0.25">
      <c r="A50" s="300">
        <f>A24</f>
        <v>2029</v>
      </c>
      <c r="B50" s="296">
        <f t="shared" si="43"/>
        <v>0</v>
      </c>
      <c r="C50" s="296">
        <v>75000000</v>
      </c>
      <c r="D50" s="296"/>
      <c r="E50" s="296">
        <v>111842.10526315789</v>
      </c>
      <c r="F50" s="296"/>
      <c r="G50" s="296"/>
      <c r="H50" s="296"/>
      <c r="I50" s="296">
        <v>1200000</v>
      </c>
      <c r="J50" s="296">
        <v>1080000</v>
      </c>
      <c r="K50" s="441">
        <f t="shared" si="19"/>
        <v>434800</v>
      </c>
      <c r="L50" s="439">
        <v>397800</v>
      </c>
      <c r="M50" s="439">
        <v>37000</v>
      </c>
      <c r="N50" s="368"/>
      <c r="O50" s="368"/>
      <c r="P50" s="300">
        <f>P24</f>
        <v>2029</v>
      </c>
      <c r="Q50" s="368">
        <f t="shared" si="41"/>
        <v>0</v>
      </c>
      <c r="R50" s="368">
        <f t="shared" si="42"/>
        <v>1140000000</v>
      </c>
      <c r="S50" s="368">
        <f t="shared" si="9"/>
        <v>0</v>
      </c>
      <c r="T50" s="368">
        <f t="shared" si="10"/>
        <v>1700000</v>
      </c>
      <c r="U50" s="368"/>
      <c r="V50" s="368"/>
      <c r="W50" s="368">
        <f t="shared" si="11"/>
        <v>0</v>
      </c>
      <c r="X50" s="368">
        <f t="shared" si="12"/>
        <v>1200000</v>
      </c>
      <c r="Y50" s="368">
        <f t="shared" si="13"/>
        <v>1080000</v>
      </c>
      <c r="Z50" s="368">
        <f t="shared" si="21"/>
        <v>434800</v>
      </c>
      <c r="AA50" s="382">
        <f t="shared" si="14"/>
        <v>397800</v>
      </c>
      <c r="AB50" s="382">
        <f t="shared" si="15"/>
        <v>37000</v>
      </c>
      <c r="AC50" s="383">
        <f t="shared" si="22"/>
        <v>1144414800</v>
      </c>
      <c r="AF50" s="339">
        <f t="shared" si="16"/>
        <v>2029</v>
      </c>
      <c r="AG50" s="302">
        <f t="shared" si="23"/>
        <v>1062530.9093279997</v>
      </c>
      <c r="AH50" s="338">
        <f t="shared" si="24"/>
        <v>75108669664.804459</v>
      </c>
      <c r="AI50" s="302">
        <f t="shared" si="25"/>
        <v>72775.221300000019</v>
      </c>
      <c r="AJ50" s="338">
        <f t="shared" si="26"/>
        <v>16254880000</v>
      </c>
      <c r="AK50" s="302">
        <f t="shared" si="29"/>
        <v>173167.67999999996</v>
      </c>
      <c r="AL50" s="338">
        <f t="shared" si="30"/>
        <v>912000000</v>
      </c>
      <c r="AM50" s="302">
        <f t="shared" si="31"/>
        <v>2482.8082559999998</v>
      </c>
      <c r="AN50" s="338">
        <f t="shared" si="32"/>
        <v>19664953.600000001</v>
      </c>
      <c r="AO50" s="302">
        <f t="shared" si="33"/>
        <v>9076.0096639999992</v>
      </c>
      <c r="AP50" s="338">
        <f t="shared" si="34"/>
        <v>151338193</v>
      </c>
      <c r="AQ50" s="302">
        <f t="shared" si="35"/>
        <v>119917.73477879999</v>
      </c>
      <c r="AR50" s="338">
        <f t="shared" si="36"/>
        <v>32154000</v>
      </c>
      <c r="AS50" s="302">
        <f t="shared" si="37"/>
        <v>149.51217600000007</v>
      </c>
      <c r="AT50" s="338">
        <f t="shared" si="38"/>
        <v>19260000</v>
      </c>
      <c r="AU50" s="302">
        <f t="shared" si="39"/>
        <v>1054.1363519999995</v>
      </c>
      <c r="AV50" s="338">
        <f t="shared" si="40"/>
        <v>8236400</v>
      </c>
      <c r="AW50" s="342">
        <f t="shared" si="27"/>
        <v>1441154.0118547999</v>
      </c>
      <c r="AX50" s="343">
        <f t="shared" si="28"/>
        <v>92506203211.404465</v>
      </c>
    </row>
    <row r="51" spans="1:50" x14ac:dyDescent="0.25">
      <c r="A51" s="300">
        <f t="shared" si="17"/>
        <v>2030</v>
      </c>
      <c r="B51" s="296">
        <f t="shared" si="43"/>
        <v>0</v>
      </c>
      <c r="C51" s="296">
        <v>150000000</v>
      </c>
      <c r="D51" s="296"/>
      <c r="E51" s="296">
        <v>111842.10526315789</v>
      </c>
      <c r="F51" s="296"/>
      <c r="G51" s="296"/>
      <c r="H51" s="296"/>
      <c r="I51" s="296">
        <v>1200000</v>
      </c>
      <c r="J51" s="296">
        <v>1080000</v>
      </c>
      <c r="K51" s="441">
        <f t="shared" si="19"/>
        <v>434800</v>
      </c>
      <c r="L51" s="439">
        <v>397800</v>
      </c>
      <c r="M51" s="439">
        <v>37000</v>
      </c>
      <c r="N51" s="368"/>
      <c r="O51" s="368"/>
      <c r="P51" s="300">
        <f t="shared" si="20"/>
        <v>2030</v>
      </c>
      <c r="Q51" s="368">
        <f t="shared" si="41"/>
        <v>0</v>
      </c>
      <c r="R51" s="368">
        <f t="shared" si="42"/>
        <v>2280000000</v>
      </c>
      <c r="S51" s="368">
        <f t="shared" si="9"/>
        <v>0</v>
      </c>
      <c r="T51" s="368">
        <f t="shared" si="10"/>
        <v>1700000</v>
      </c>
      <c r="U51" s="368"/>
      <c r="V51" s="368"/>
      <c r="W51" s="368">
        <f t="shared" si="11"/>
        <v>0</v>
      </c>
      <c r="X51" s="368">
        <f t="shared" si="12"/>
        <v>1200000</v>
      </c>
      <c r="Y51" s="368">
        <f t="shared" si="13"/>
        <v>1080000</v>
      </c>
      <c r="Z51" s="368">
        <f t="shared" si="21"/>
        <v>434800</v>
      </c>
      <c r="AA51" s="382">
        <f t="shared" si="14"/>
        <v>397800</v>
      </c>
      <c r="AB51" s="382">
        <f t="shared" si="15"/>
        <v>37000</v>
      </c>
      <c r="AC51" s="383">
        <f t="shared" si="22"/>
        <v>2284414800</v>
      </c>
      <c r="AF51" s="339">
        <f t="shared" si="16"/>
        <v>2030</v>
      </c>
      <c r="AG51" s="302">
        <f t="shared" si="23"/>
        <v>1062530.9093279997</v>
      </c>
      <c r="AH51" s="338">
        <f t="shared" si="24"/>
        <v>75108669664.804459</v>
      </c>
      <c r="AI51" s="302">
        <f t="shared" si="25"/>
        <v>72775.221300000019</v>
      </c>
      <c r="AJ51" s="338">
        <f t="shared" si="26"/>
        <v>18534880000</v>
      </c>
      <c r="AK51" s="302">
        <f t="shared" si="29"/>
        <v>173167.67999999996</v>
      </c>
      <c r="AL51" s="338">
        <f t="shared" si="30"/>
        <v>912000000</v>
      </c>
      <c r="AM51" s="302">
        <f t="shared" si="31"/>
        <v>2700.2805119999998</v>
      </c>
      <c r="AN51" s="338">
        <f t="shared" si="32"/>
        <v>21364953.600000001</v>
      </c>
      <c r="AO51" s="302">
        <f t="shared" si="33"/>
        <v>9076.0096639999992</v>
      </c>
      <c r="AP51" s="338">
        <f t="shared" si="34"/>
        <v>151338193</v>
      </c>
      <c r="AQ51" s="302">
        <f t="shared" si="35"/>
        <v>123837.89609879999</v>
      </c>
      <c r="AR51" s="338">
        <f t="shared" si="36"/>
        <v>33354000</v>
      </c>
      <c r="AS51" s="302">
        <f t="shared" si="37"/>
        <v>157.66738560000007</v>
      </c>
      <c r="AT51" s="338">
        <f t="shared" si="38"/>
        <v>20340000</v>
      </c>
      <c r="AU51" s="302">
        <f>Z25+AU50</f>
        <v>1109.7881063999996</v>
      </c>
      <c r="AV51" s="338">
        <f t="shared" si="40"/>
        <v>8671200</v>
      </c>
      <c r="AW51" s="342">
        <f>AG51+AI51+AK51+AM51+AO51+AQ51+AS51+AU51</f>
        <v>1445355.4523947998</v>
      </c>
      <c r="AX51" s="343">
        <f t="shared" si="28"/>
        <v>94790618011.404465</v>
      </c>
    </row>
    <row r="52" spans="1:50" ht="45" x14ac:dyDescent="0.25">
      <c r="AF52" s="341" t="s">
        <v>331</v>
      </c>
      <c r="AG52" s="639">
        <f>AH51/AG51</f>
        <v>70688.456218470979</v>
      </c>
      <c r="AH52" s="639"/>
      <c r="AI52" s="639">
        <f>AJ51/AI51</f>
        <v>254686.6868819813</v>
      </c>
      <c r="AJ52" s="639"/>
      <c r="AK52" s="639">
        <f>AL51/AK51</f>
        <v>5266.5716835843741</v>
      </c>
      <c r="AL52" s="639"/>
      <c r="AM52" s="639">
        <f>AN51/AM51</f>
        <v>7912.1237608665169</v>
      </c>
      <c r="AN52" s="639"/>
      <c r="AO52" s="639">
        <f>AP51/AO51</f>
        <v>16674.529733070151</v>
      </c>
      <c r="AP52" s="639"/>
      <c r="AQ52" s="639">
        <f>AR51/AQ51</f>
        <v>269.33597106163376</v>
      </c>
      <c r="AR52" s="639"/>
      <c r="AS52" s="639">
        <f>AT51/AS51</f>
        <v>129005.7542502943</v>
      </c>
      <c r="AT52" s="639"/>
      <c r="AU52" s="639">
        <f>AV51/AU51</f>
        <v>7813.3834287773934</v>
      </c>
      <c r="AV52" s="639"/>
      <c r="AW52" s="640">
        <f>AX51/AW51</f>
        <v>65582.911009431293</v>
      </c>
      <c r="AX52" s="640"/>
    </row>
    <row r="53" spans="1:50" x14ac:dyDescent="0.25">
      <c r="A53" s="628" t="str">
        <f t="shared" ref="A53" si="44">A28</f>
        <v>Tahun</v>
      </c>
      <c r="B53" s="629" t="s">
        <v>413</v>
      </c>
      <c r="C53" s="629"/>
      <c r="D53" s="629"/>
      <c r="E53" s="629"/>
      <c r="F53" s="629"/>
      <c r="G53" s="629"/>
      <c r="H53" s="629"/>
      <c r="I53" s="629"/>
      <c r="J53" s="629"/>
      <c r="K53" s="629"/>
      <c r="L53" s="629"/>
      <c r="M53" s="629"/>
      <c r="N53" s="371"/>
      <c r="O53" s="371"/>
      <c r="P53" s="628">
        <f t="shared" ref="P53" si="45">P28</f>
        <v>0</v>
      </c>
    </row>
    <row r="54" spans="1:50" ht="45" customHeight="1" x14ac:dyDescent="0.25">
      <c r="A54" s="628"/>
      <c r="B54" s="369" t="str">
        <f t="shared" ref="B54:M54" si="46">B29</f>
        <v>PLTM off grid</v>
      </c>
      <c r="C54" s="369" t="str">
        <f t="shared" si="46"/>
        <v>PLTMH off grid</v>
      </c>
      <c r="D54" s="369" t="str">
        <f t="shared" si="46"/>
        <v xml:space="preserve">PLTSa off grid </v>
      </c>
      <c r="E54" s="369" t="str">
        <f t="shared" si="46"/>
        <v>PLT Hybrif rooftop</v>
      </c>
      <c r="F54" s="369"/>
      <c r="G54" s="369"/>
      <c r="H54" s="369" t="str">
        <f t="shared" si="46"/>
        <v xml:space="preserve">PLTSurya  </v>
      </c>
      <c r="I54" s="369" t="str">
        <f t="shared" si="46"/>
        <v>Biogas</v>
      </c>
      <c r="J54" s="369" t="str">
        <f t="shared" si="46"/>
        <v>PJU solar cel</v>
      </c>
      <c r="K54" s="369" t="str">
        <f t="shared" si="46"/>
        <v>PJU LED TOTAL</v>
      </c>
      <c r="L54" s="440" t="str">
        <f t="shared" si="46"/>
        <v>PJU LED JALAN UMUM</v>
      </c>
      <c r="M54" s="440" t="str">
        <f t="shared" si="46"/>
        <v>PJU LED JALAN LINGKUNGAN</v>
      </c>
      <c r="N54" s="372"/>
      <c r="O54" s="372"/>
      <c r="P54" s="628"/>
    </row>
    <row r="55" spans="1:50" x14ac:dyDescent="0.25">
      <c r="A55" s="300">
        <f>A30</f>
        <v>0</v>
      </c>
      <c r="B55" s="370">
        <f>Q31/Q5</f>
        <v>103235.74798754041</v>
      </c>
      <c r="C55" s="370">
        <f>R31/R5</f>
        <v>237947.5158245952</v>
      </c>
      <c r="D55" s="370"/>
      <c r="E55" s="370"/>
      <c r="F55" s="370"/>
      <c r="G55" s="370"/>
      <c r="H55" s="370">
        <f t="shared" ref="H55:H57" si="47">W31/W5</f>
        <v>63865546.218487397</v>
      </c>
      <c r="I55" s="370">
        <f t="shared" ref="I55:I74" si="48">X31/X5</f>
        <v>144.2213670775626</v>
      </c>
      <c r="J55" s="370"/>
      <c r="K55" s="370" t="e">
        <f>Z31/Z5</f>
        <v>#DIV/0!</v>
      </c>
      <c r="L55" s="439"/>
      <c r="M55" s="439" t="e">
        <f t="shared" ref="M55:M74" si="49">AB31/AB5</f>
        <v>#DIV/0!</v>
      </c>
      <c r="N55" s="373"/>
      <c r="O55" s="373"/>
      <c r="P55" s="300">
        <f>P30</f>
        <v>0</v>
      </c>
    </row>
    <row r="56" spans="1:50" x14ac:dyDescent="0.25">
      <c r="A56" s="300">
        <f t="shared" ref="A56:A76" si="50">A31</f>
        <v>2010</v>
      </c>
      <c r="B56" s="370">
        <f t="shared" ref="B56:B62" si="51">Q32/Q6</f>
        <v>142793.80960276612</v>
      </c>
      <c r="C56" s="370">
        <f t="shared" ref="C56:C57" si="52">R32/R6</f>
        <v>416936.92495042965</v>
      </c>
      <c r="D56" s="370"/>
      <c r="E56" s="370"/>
      <c r="F56" s="370"/>
      <c r="G56" s="370"/>
      <c r="H56" s="370">
        <f t="shared" si="47"/>
        <v>524861.87845303863</v>
      </c>
      <c r="I56" s="370">
        <f t="shared" si="48"/>
        <v>630.96848096433644</v>
      </c>
      <c r="J56" s="370"/>
      <c r="K56" s="370">
        <f>Z32/Z6</f>
        <v>7814.5049294422461</v>
      </c>
      <c r="L56" s="439">
        <f>AA32/AA6</f>
        <v>7945.8411467437973</v>
      </c>
      <c r="M56" s="439">
        <f>AB32/AB6</f>
        <v>6621.5342889531612</v>
      </c>
      <c r="N56" s="373"/>
      <c r="O56" s="373"/>
      <c r="P56" s="300">
        <f t="shared" ref="P56:P76" si="53">P31</f>
        <v>2010</v>
      </c>
    </row>
    <row r="57" spans="1:50" x14ac:dyDescent="0.25">
      <c r="A57" s="300">
        <f t="shared" si="50"/>
        <v>2011</v>
      </c>
      <c r="B57" s="370">
        <v>0</v>
      </c>
      <c r="C57" s="370">
        <f t="shared" si="52"/>
        <v>56176764.624899991</v>
      </c>
      <c r="D57" s="370"/>
      <c r="E57" s="370"/>
      <c r="F57" s="370"/>
      <c r="G57" s="370"/>
      <c r="H57" s="370">
        <f t="shared" si="47"/>
        <v>434285714.28571427</v>
      </c>
      <c r="I57" s="370">
        <f t="shared" si="48"/>
        <v>53.366431593815669</v>
      </c>
      <c r="J57" s="370">
        <f t="shared" ref="J57:J74" si="54">Y33/Y7</f>
        <v>132430.68577906323</v>
      </c>
      <c r="K57" s="370">
        <f t="shared" ref="K57:K74" si="55">Z33/Z7</f>
        <v>7815.0454077027462</v>
      </c>
      <c r="L57" s="439">
        <f t="shared" ref="L57:L74" si="56">AA33/AA7</f>
        <v>7945.8411467437973</v>
      </c>
      <c r="M57" s="439">
        <f t="shared" si="49"/>
        <v>6621.5342889531612</v>
      </c>
      <c r="N57" s="373"/>
      <c r="O57" s="373"/>
      <c r="P57" s="300">
        <f t="shared" si="53"/>
        <v>2011</v>
      </c>
    </row>
    <row r="58" spans="1:50" x14ac:dyDescent="0.25">
      <c r="A58" s="300">
        <f t="shared" si="50"/>
        <v>2012</v>
      </c>
      <c r="B58" s="370">
        <f>Q34/Q8</f>
        <v>139.46565199826213</v>
      </c>
      <c r="C58" s="370"/>
      <c r="D58" s="370"/>
      <c r="E58" s="370"/>
      <c r="F58" s="370"/>
      <c r="G58" s="370"/>
      <c r="H58" s="370"/>
      <c r="I58" s="370">
        <f t="shared" si="48"/>
        <v>185.36652126006555</v>
      </c>
      <c r="J58" s="370">
        <f t="shared" si="54"/>
        <v>132430.68577906323</v>
      </c>
      <c r="K58" s="370">
        <f t="shared" si="55"/>
        <v>7815.0454077027462</v>
      </c>
      <c r="L58" s="439">
        <f t="shared" si="56"/>
        <v>7945.8411467437973</v>
      </c>
      <c r="M58" s="439">
        <f t="shared" si="49"/>
        <v>6621.5342889531612</v>
      </c>
      <c r="N58" s="373"/>
      <c r="O58" s="373"/>
      <c r="P58" s="300">
        <f t="shared" si="53"/>
        <v>2012</v>
      </c>
    </row>
    <row r="59" spans="1:50" x14ac:dyDescent="0.25">
      <c r="A59" s="300">
        <f t="shared" si="50"/>
        <v>2013</v>
      </c>
      <c r="B59" s="370">
        <f t="shared" si="51"/>
        <v>4966.2847016256164</v>
      </c>
      <c r="C59" s="370">
        <f>R35/R9</f>
        <v>877.76194726406243</v>
      </c>
      <c r="D59" s="370"/>
      <c r="E59" s="370"/>
      <c r="F59" s="370"/>
      <c r="G59" s="370"/>
      <c r="H59" s="370">
        <f>W35/W9</f>
        <v>861189.80169971671</v>
      </c>
      <c r="I59" s="370">
        <f t="shared" si="48"/>
        <v>620.49294247728358</v>
      </c>
      <c r="J59" s="370">
        <f t="shared" si="54"/>
        <v>132430.68577906323</v>
      </c>
      <c r="K59" s="370">
        <f t="shared" si="55"/>
        <v>7815.5814558135708</v>
      </c>
      <c r="L59" s="439">
        <f t="shared" si="56"/>
        <v>7945.8411467437973</v>
      </c>
      <c r="M59" s="439">
        <f t="shared" si="49"/>
        <v>6621.5342889531612</v>
      </c>
      <c r="N59" s="373"/>
      <c r="O59" s="373"/>
      <c r="P59" s="300">
        <f t="shared" si="53"/>
        <v>2013</v>
      </c>
    </row>
    <row r="60" spans="1:50" x14ac:dyDescent="0.25">
      <c r="A60" s="300">
        <f t="shared" si="50"/>
        <v>2014</v>
      </c>
      <c r="B60" s="370">
        <f t="shared" si="51"/>
        <v>320.95837880599265</v>
      </c>
      <c r="C60" s="370"/>
      <c r="D60" s="370"/>
      <c r="E60" s="370"/>
      <c r="F60" s="370"/>
      <c r="G60" s="370"/>
      <c r="H60" s="370"/>
      <c r="I60" s="370">
        <f t="shared" si="48"/>
        <v>478.29664315957285</v>
      </c>
      <c r="J60" s="370">
        <f t="shared" si="54"/>
        <v>132430.68577906323</v>
      </c>
      <c r="K60" s="370">
        <f t="shared" si="55"/>
        <v>7815.5814558135708</v>
      </c>
      <c r="L60" s="439">
        <f t="shared" si="56"/>
        <v>7945.8411467437973</v>
      </c>
      <c r="M60" s="439">
        <f t="shared" si="49"/>
        <v>6621.5342889531612</v>
      </c>
      <c r="N60" s="373"/>
      <c r="O60" s="373"/>
      <c r="P60" s="300">
        <f t="shared" si="53"/>
        <v>2014</v>
      </c>
    </row>
    <row r="61" spans="1:50" x14ac:dyDescent="0.25">
      <c r="A61" s="300">
        <f t="shared" si="50"/>
        <v>2015</v>
      </c>
      <c r="B61" s="370">
        <f t="shared" si="51"/>
        <v>142.44382477530837</v>
      </c>
      <c r="C61" s="370">
        <f>R37/R11</f>
        <v>0</v>
      </c>
      <c r="D61" s="370"/>
      <c r="E61" s="370"/>
      <c r="F61" s="370"/>
      <c r="G61" s="370"/>
      <c r="H61" s="370" t="e">
        <f t="shared" ref="H61:H62" si="57">W37/W11</f>
        <v>#DIV/0!</v>
      </c>
      <c r="I61" s="370">
        <f t="shared" si="48"/>
        <v>306.1098516221266</v>
      </c>
      <c r="J61" s="370">
        <f t="shared" si="54"/>
        <v>132430.68577906323</v>
      </c>
      <c r="K61" s="370">
        <f t="shared" si="55"/>
        <v>7812.3279212989646</v>
      </c>
      <c r="L61" s="439">
        <f t="shared" si="56"/>
        <v>7945.8411467437973</v>
      </c>
      <c r="M61" s="439">
        <f t="shared" si="49"/>
        <v>6621.5342889531603</v>
      </c>
      <c r="N61" s="373"/>
      <c r="O61" s="373"/>
      <c r="P61" s="300">
        <f t="shared" si="53"/>
        <v>2015</v>
      </c>
    </row>
    <row r="62" spans="1:50" x14ac:dyDescent="0.25">
      <c r="A62" s="300">
        <f t="shared" si="50"/>
        <v>2016</v>
      </c>
      <c r="B62" s="370">
        <f t="shared" si="51"/>
        <v>21.513773217256432</v>
      </c>
      <c r="C62" s="370"/>
      <c r="D62" s="370"/>
      <c r="E62" s="370">
        <f>T38/T12</f>
        <v>10649.122249414657</v>
      </c>
      <c r="F62" s="370"/>
      <c r="G62" s="370"/>
      <c r="H62" s="370">
        <f t="shared" si="57"/>
        <v>94.758121013433055</v>
      </c>
      <c r="I62" s="370">
        <f t="shared" si="48"/>
        <v>306.10985162212666</v>
      </c>
      <c r="J62" s="370">
        <f t="shared" si="54"/>
        <v>132430.68577906323</v>
      </c>
      <c r="K62" s="370">
        <f t="shared" si="55"/>
        <v>7812.3279212989646</v>
      </c>
      <c r="L62" s="439">
        <f t="shared" si="56"/>
        <v>7945.8411467437973</v>
      </c>
      <c r="M62" s="439">
        <f t="shared" si="49"/>
        <v>6621.5342889531603</v>
      </c>
      <c r="N62" s="373"/>
      <c r="O62" s="373"/>
      <c r="P62" s="300">
        <f t="shared" si="53"/>
        <v>2016</v>
      </c>
    </row>
    <row r="63" spans="1:50" x14ac:dyDescent="0.25">
      <c r="A63" s="300">
        <f t="shared" si="50"/>
        <v>2017</v>
      </c>
      <c r="B63" s="370"/>
      <c r="C63" s="370">
        <f>R39/R13</f>
        <v>100931444.7592068</v>
      </c>
      <c r="D63" s="370"/>
      <c r="E63" s="370"/>
      <c r="F63" s="370"/>
      <c r="G63" s="370"/>
      <c r="H63" s="370"/>
      <c r="I63" s="370">
        <f t="shared" si="48"/>
        <v>306.1098516221266</v>
      </c>
      <c r="J63" s="370">
        <f t="shared" si="54"/>
        <v>132430.68577906323</v>
      </c>
      <c r="K63" s="370">
        <f t="shared" si="55"/>
        <v>7812.8713944011815</v>
      </c>
      <c r="L63" s="439">
        <f t="shared" si="56"/>
        <v>7945.8411467437973</v>
      </c>
      <c r="M63" s="439">
        <f t="shared" si="49"/>
        <v>6621.5342889531603</v>
      </c>
      <c r="N63" s="373"/>
      <c r="O63" s="373"/>
      <c r="P63" s="300">
        <f t="shared" si="53"/>
        <v>2017</v>
      </c>
    </row>
    <row r="64" spans="1:50" x14ac:dyDescent="0.25">
      <c r="A64" s="300">
        <f t="shared" si="50"/>
        <v>2018</v>
      </c>
      <c r="B64" s="370"/>
      <c r="C64" s="370">
        <f>R40/R14</f>
        <v>32294617.563739378</v>
      </c>
      <c r="D64" s="370"/>
      <c r="E64" s="370">
        <f t="shared" ref="E64:E74" si="58">T40/T14</f>
        <v>7817.0890911252609</v>
      </c>
      <c r="F64" s="370"/>
      <c r="G64" s="370"/>
      <c r="H64" s="370"/>
      <c r="I64" s="370">
        <f t="shared" si="48"/>
        <v>306.1098516221266</v>
      </c>
      <c r="J64" s="370">
        <f t="shared" si="54"/>
        <v>132430.68577906323</v>
      </c>
      <c r="K64" s="370">
        <f t="shared" si="55"/>
        <v>7812.8713944011815</v>
      </c>
      <c r="L64" s="439">
        <f t="shared" si="56"/>
        <v>7945.8411467437973</v>
      </c>
      <c r="M64" s="439">
        <f t="shared" si="49"/>
        <v>6621.5342889531603</v>
      </c>
      <c r="N64" s="373"/>
      <c r="O64" s="373"/>
      <c r="P64" s="300">
        <f t="shared" si="53"/>
        <v>2018</v>
      </c>
    </row>
    <row r="65" spans="1:16" x14ac:dyDescent="0.25">
      <c r="A65" s="300">
        <f t="shared" si="50"/>
        <v>2019</v>
      </c>
      <c r="B65" s="370"/>
      <c r="C65" s="370">
        <f t="shared" ref="C65:C74" si="59">R41/R15</f>
        <v>32294617.563739378</v>
      </c>
      <c r="D65" s="370"/>
      <c r="E65" s="370">
        <f t="shared" si="58"/>
        <v>7817.0890911252609</v>
      </c>
      <c r="F65" s="370"/>
      <c r="G65" s="370"/>
      <c r="H65" s="370"/>
      <c r="I65" s="370">
        <f t="shared" si="48"/>
        <v>306.1098516221266</v>
      </c>
      <c r="J65" s="370">
        <f t="shared" si="54"/>
        <v>132430.68577906323</v>
      </c>
      <c r="K65" s="370">
        <f t="shared" si="55"/>
        <v>7812.8713944011815</v>
      </c>
      <c r="L65" s="439">
        <f t="shared" si="56"/>
        <v>7945.8411467437973</v>
      </c>
      <c r="M65" s="439">
        <f t="shared" si="49"/>
        <v>6621.5342889531603</v>
      </c>
      <c r="N65" s="373"/>
      <c r="O65" s="373"/>
      <c r="P65" s="300">
        <f t="shared" si="53"/>
        <v>2019</v>
      </c>
    </row>
    <row r="66" spans="1:16" x14ac:dyDescent="0.25">
      <c r="A66" s="300">
        <f t="shared" si="50"/>
        <v>2020</v>
      </c>
      <c r="B66" s="370"/>
      <c r="C66" s="370">
        <f t="shared" si="59"/>
        <v>32294617.563739378</v>
      </c>
      <c r="D66" s="370">
        <f>S42/S16</f>
        <v>5266.5716835843741</v>
      </c>
      <c r="E66" s="370">
        <f t="shared" si="58"/>
        <v>7817.0890911252609</v>
      </c>
      <c r="F66" s="370"/>
      <c r="G66" s="370"/>
      <c r="H66" s="370"/>
      <c r="I66" s="370">
        <f t="shared" si="48"/>
        <v>306.1098516221266</v>
      </c>
      <c r="J66" s="370">
        <f t="shared" si="54"/>
        <v>132430.68577906323</v>
      </c>
      <c r="K66" s="370">
        <f t="shared" si="55"/>
        <v>7812.8713944011815</v>
      </c>
      <c r="L66" s="439">
        <f t="shared" si="56"/>
        <v>7945.8411467437973</v>
      </c>
      <c r="M66" s="439">
        <f t="shared" si="49"/>
        <v>6621.5342889531603</v>
      </c>
      <c r="N66" s="373"/>
      <c r="O66" s="373"/>
      <c r="P66" s="300">
        <f t="shared" si="53"/>
        <v>2020</v>
      </c>
    </row>
    <row r="67" spans="1:16" x14ac:dyDescent="0.25">
      <c r="A67" s="300">
        <f t="shared" si="50"/>
        <v>2021</v>
      </c>
      <c r="B67" s="370"/>
      <c r="C67" s="370">
        <f t="shared" si="59"/>
        <v>32294617.563739378</v>
      </c>
      <c r="D67" s="370"/>
      <c r="E67" s="370">
        <f t="shared" si="58"/>
        <v>7817.0890911252609</v>
      </c>
      <c r="F67" s="370"/>
      <c r="G67" s="370"/>
      <c r="H67" s="370"/>
      <c r="I67" s="370">
        <f t="shared" si="48"/>
        <v>306.1098516221266</v>
      </c>
      <c r="J67" s="370">
        <f t="shared" si="54"/>
        <v>132430.68577906323</v>
      </c>
      <c r="K67" s="370">
        <f t="shared" si="55"/>
        <v>7812.8713944011815</v>
      </c>
      <c r="L67" s="439">
        <f t="shared" si="56"/>
        <v>7945.8411467437973</v>
      </c>
      <c r="M67" s="439">
        <f t="shared" si="49"/>
        <v>6621.5342889531603</v>
      </c>
      <c r="N67" s="373"/>
      <c r="O67" s="373"/>
      <c r="P67" s="300">
        <f t="shared" si="53"/>
        <v>2021</v>
      </c>
    </row>
    <row r="68" spans="1:16" x14ac:dyDescent="0.25">
      <c r="A68" s="300">
        <f t="shared" si="50"/>
        <v>2022</v>
      </c>
      <c r="B68" s="370"/>
      <c r="C68" s="370">
        <f t="shared" si="59"/>
        <v>32294617.563739378</v>
      </c>
      <c r="D68" s="370">
        <f>S44/S18</f>
        <v>5266.5716835843741</v>
      </c>
      <c r="E68" s="370">
        <f t="shared" si="58"/>
        <v>7817.0890911252609</v>
      </c>
      <c r="F68" s="370"/>
      <c r="G68" s="370"/>
      <c r="H68" s="370"/>
      <c r="I68" s="370">
        <f t="shared" si="48"/>
        <v>306.1098516221266</v>
      </c>
      <c r="J68" s="370">
        <f t="shared" si="54"/>
        <v>132430.68577906323</v>
      </c>
      <c r="K68" s="370">
        <f t="shared" si="55"/>
        <v>7812.8713944011815</v>
      </c>
      <c r="L68" s="439">
        <f t="shared" si="56"/>
        <v>7945.8411467437973</v>
      </c>
      <c r="M68" s="439">
        <f t="shared" si="49"/>
        <v>6621.5342889531603</v>
      </c>
      <c r="N68" s="373"/>
      <c r="O68" s="373"/>
      <c r="P68" s="300">
        <f t="shared" si="53"/>
        <v>2022</v>
      </c>
    </row>
    <row r="69" spans="1:16" x14ac:dyDescent="0.25">
      <c r="A69" s="300">
        <f t="shared" si="50"/>
        <v>2023</v>
      </c>
      <c r="B69" s="370"/>
      <c r="C69" s="370">
        <f t="shared" si="59"/>
        <v>32294617.563739378</v>
      </c>
      <c r="D69" s="370"/>
      <c r="E69" s="370">
        <f t="shared" si="58"/>
        <v>7817.0890911252609</v>
      </c>
      <c r="F69" s="370"/>
      <c r="G69" s="370"/>
      <c r="H69" s="370"/>
      <c r="I69" s="370">
        <f t="shared" si="48"/>
        <v>306.1098516221266</v>
      </c>
      <c r="J69" s="370">
        <f t="shared" si="54"/>
        <v>132430.68577906323</v>
      </c>
      <c r="K69" s="370">
        <f t="shared" si="55"/>
        <v>7812.8713944011815</v>
      </c>
      <c r="L69" s="439">
        <f t="shared" si="56"/>
        <v>7945.8411467437973</v>
      </c>
      <c r="M69" s="439">
        <f t="shared" si="49"/>
        <v>6621.5342889531603</v>
      </c>
      <c r="N69" s="373"/>
      <c r="O69" s="373"/>
      <c r="P69" s="300">
        <f t="shared" si="53"/>
        <v>2023</v>
      </c>
    </row>
    <row r="70" spans="1:16" x14ac:dyDescent="0.25">
      <c r="A70" s="300">
        <f t="shared" si="50"/>
        <v>2024</v>
      </c>
      <c r="B70" s="370"/>
      <c r="C70" s="370">
        <f t="shared" si="59"/>
        <v>32294617.563739378</v>
      </c>
      <c r="D70" s="370">
        <f>S46/S20</f>
        <v>5266.5716835843741</v>
      </c>
      <c r="E70" s="370">
        <f t="shared" si="58"/>
        <v>7817.0890911252609</v>
      </c>
      <c r="F70" s="370"/>
      <c r="G70" s="370"/>
      <c r="H70" s="370"/>
      <c r="I70" s="370">
        <f t="shared" si="48"/>
        <v>306.1098516221266</v>
      </c>
      <c r="J70" s="370">
        <f t="shared" si="54"/>
        <v>132430.68577906323</v>
      </c>
      <c r="K70" s="370">
        <f t="shared" si="55"/>
        <v>7812.8713944011815</v>
      </c>
      <c r="L70" s="439">
        <f t="shared" si="56"/>
        <v>7945.8411467437973</v>
      </c>
      <c r="M70" s="439">
        <f t="shared" si="49"/>
        <v>6621.5342889531603</v>
      </c>
      <c r="N70" s="373"/>
      <c r="O70" s="373"/>
      <c r="P70" s="300">
        <f t="shared" si="53"/>
        <v>2024</v>
      </c>
    </row>
    <row r="71" spans="1:16" x14ac:dyDescent="0.25">
      <c r="A71" s="300">
        <f t="shared" si="50"/>
        <v>2025</v>
      </c>
      <c r="B71" s="370"/>
      <c r="C71" s="370">
        <f t="shared" si="59"/>
        <v>32294617.563739378</v>
      </c>
      <c r="D71" s="370"/>
      <c r="E71" s="370">
        <f t="shared" si="58"/>
        <v>7817.0890911252609</v>
      </c>
      <c r="F71" s="370"/>
      <c r="G71" s="370"/>
      <c r="H71" s="370"/>
      <c r="I71" s="370">
        <f t="shared" si="48"/>
        <v>306.1098516221266</v>
      </c>
      <c r="J71" s="370">
        <f t="shared" si="54"/>
        <v>132430.68577906323</v>
      </c>
      <c r="K71" s="370">
        <f t="shared" si="55"/>
        <v>7812.8713944011815</v>
      </c>
      <c r="L71" s="439">
        <f t="shared" si="56"/>
        <v>7945.8411467437973</v>
      </c>
      <c r="M71" s="439">
        <f t="shared" si="49"/>
        <v>6621.5342889531603</v>
      </c>
      <c r="N71" s="373"/>
      <c r="O71" s="373"/>
      <c r="P71" s="300">
        <f t="shared" si="53"/>
        <v>2025</v>
      </c>
    </row>
    <row r="72" spans="1:16" x14ac:dyDescent="0.25">
      <c r="A72" s="300">
        <f t="shared" si="50"/>
        <v>2026</v>
      </c>
      <c r="B72" s="370"/>
      <c r="C72" s="370">
        <f t="shared" si="59"/>
        <v>32294617.563739378</v>
      </c>
      <c r="D72" s="370"/>
      <c r="E72" s="370">
        <f t="shared" si="58"/>
        <v>7817.0890911252609</v>
      </c>
      <c r="F72" s="370"/>
      <c r="G72" s="370"/>
      <c r="H72" s="370"/>
      <c r="I72" s="370">
        <f t="shared" si="48"/>
        <v>306.1098516221266</v>
      </c>
      <c r="J72" s="370">
        <f t="shared" si="54"/>
        <v>132430.68577906323</v>
      </c>
      <c r="K72" s="370">
        <f t="shared" si="55"/>
        <v>7812.8713944011815</v>
      </c>
      <c r="L72" s="439">
        <f t="shared" si="56"/>
        <v>7945.8411467437973</v>
      </c>
      <c r="M72" s="439">
        <f t="shared" si="49"/>
        <v>6621.5342889531603</v>
      </c>
      <c r="N72" s="373"/>
      <c r="O72" s="373"/>
      <c r="P72" s="300">
        <f t="shared" si="53"/>
        <v>2026</v>
      </c>
    </row>
    <row r="73" spans="1:16" x14ac:dyDescent="0.25">
      <c r="A73" s="300">
        <f t="shared" si="50"/>
        <v>2027</v>
      </c>
      <c r="B73" s="370"/>
      <c r="C73" s="370">
        <f t="shared" si="59"/>
        <v>32294617.563739378</v>
      </c>
      <c r="D73" s="370"/>
      <c r="E73" s="370">
        <f t="shared" si="58"/>
        <v>7817.0890911252609</v>
      </c>
      <c r="F73" s="370"/>
      <c r="G73" s="370"/>
      <c r="H73" s="370"/>
      <c r="I73" s="370">
        <f t="shared" si="48"/>
        <v>306.1098516221266</v>
      </c>
      <c r="J73" s="370">
        <f t="shared" si="54"/>
        <v>132430.68577906323</v>
      </c>
      <c r="K73" s="370">
        <f t="shared" si="55"/>
        <v>7812.8713944011815</v>
      </c>
      <c r="L73" s="439">
        <f t="shared" si="56"/>
        <v>7945.8411467437973</v>
      </c>
      <c r="M73" s="439">
        <f t="shared" si="49"/>
        <v>6621.5342889531603</v>
      </c>
      <c r="N73" s="373"/>
      <c r="O73" s="373"/>
      <c r="P73" s="300">
        <f t="shared" si="53"/>
        <v>2027</v>
      </c>
    </row>
    <row r="74" spans="1:16" x14ac:dyDescent="0.25">
      <c r="A74" s="300">
        <f>A49</f>
        <v>2028</v>
      </c>
      <c r="B74" s="370"/>
      <c r="C74" s="370">
        <f t="shared" si="59"/>
        <v>32294617.563739378</v>
      </c>
      <c r="D74" s="370"/>
      <c r="E74" s="370">
        <f t="shared" si="58"/>
        <v>7817.0890911252609</v>
      </c>
      <c r="F74" s="370"/>
      <c r="G74" s="370"/>
      <c r="H74" s="370"/>
      <c r="I74" s="370">
        <f t="shared" si="48"/>
        <v>306.1098516221266</v>
      </c>
      <c r="J74" s="370">
        <f t="shared" si="54"/>
        <v>132430.68577906323</v>
      </c>
      <c r="K74" s="370">
        <f t="shared" si="55"/>
        <v>7812.8713944011815</v>
      </c>
      <c r="L74" s="439">
        <f t="shared" si="56"/>
        <v>7945.8411467437973</v>
      </c>
      <c r="M74" s="439">
        <f t="shared" si="49"/>
        <v>6621.5342889531603</v>
      </c>
      <c r="N74" s="373"/>
      <c r="O74" s="373"/>
      <c r="P74" s="300">
        <f>P49</f>
        <v>2028</v>
      </c>
    </row>
    <row r="75" spans="1:16" x14ac:dyDescent="0.25">
      <c r="A75" s="300">
        <f t="shared" si="50"/>
        <v>2029</v>
      </c>
      <c r="B75" s="370"/>
      <c r="C75" s="370" t="e">
        <f t="shared" ref="C75" si="60">R51/R25</f>
        <v>#DIV/0!</v>
      </c>
      <c r="D75" s="370"/>
      <c r="E75" s="370">
        <f t="shared" ref="E75" si="61">T51/T25</f>
        <v>7817.0890911252609</v>
      </c>
      <c r="F75" s="370"/>
      <c r="G75" s="370"/>
      <c r="H75" s="370"/>
      <c r="I75" s="370">
        <f t="shared" ref="I75" si="62">X51/X25</f>
        <v>306.1098516221266</v>
      </c>
      <c r="J75" s="370">
        <f t="shared" ref="J75" si="63">Y51/Y25</f>
        <v>132430.68577906323</v>
      </c>
      <c r="K75" s="370">
        <f t="shared" ref="K75" si="64">Z51/Z25</f>
        <v>7812.8713944011815</v>
      </c>
      <c r="L75" s="439">
        <f t="shared" ref="L75" si="65">AA51/AA25</f>
        <v>7945.8411467437973</v>
      </c>
      <c r="M75" s="439">
        <f t="shared" ref="M75" si="66">AB51/AB25</f>
        <v>6621.5342889531603</v>
      </c>
      <c r="N75" s="373"/>
      <c r="O75" s="373"/>
      <c r="P75" s="300">
        <f t="shared" si="53"/>
        <v>2029</v>
      </c>
    </row>
    <row r="76" spans="1:16" x14ac:dyDescent="0.25">
      <c r="A76" s="300">
        <f t="shared" si="50"/>
        <v>2030</v>
      </c>
      <c r="B76" s="370"/>
      <c r="C76" s="370">
        <f t="shared" ref="C76" si="67">R52/R26</f>
        <v>0</v>
      </c>
      <c r="D76" s="370"/>
      <c r="E76" s="370">
        <f t="shared" ref="E76" si="68">T52/T26</f>
        <v>0</v>
      </c>
      <c r="F76" s="370"/>
      <c r="G76" s="370"/>
      <c r="H76" s="370"/>
      <c r="I76" s="370">
        <f t="shared" ref="I76" si="69">X52/X26</f>
        <v>0</v>
      </c>
      <c r="J76" s="370">
        <f t="shared" ref="J76" si="70">Y52/Y26</f>
        <v>0</v>
      </c>
      <c r="K76" s="370">
        <f t="shared" ref="K76" si="71">Z52/Z26</f>
        <v>0</v>
      </c>
      <c r="L76" s="439">
        <f t="shared" ref="L76" si="72">AA52/AA26</f>
        <v>0</v>
      </c>
      <c r="M76" s="439">
        <f t="shared" ref="M76" si="73">AB52/AB26</f>
        <v>0</v>
      </c>
      <c r="P76" s="300">
        <f t="shared" si="53"/>
        <v>2030</v>
      </c>
    </row>
    <row r="79" spans="1:16" x14ac:dyDescent="0.25">
      <c r="A79" s="293" t="str">
        <f>A28</f>
        <v>Tahun</v>
      </c>
      <c r="P79" s="293">
        <f>P28</f>
        <v>0</v>
      </c>
    </row>
    <row r="81" spans="1:16" x14ac:dyDescent="0.25">
      <c r="A81" s="336"/>
      <c r="P81" s="336"/>
    </row>
    <row r="86" spans="1:16" x14ac:dyDescent="0.25">
      <c r="A86" s="336"/>
      <c r="P86" s="336"/>
    </row>
    <row r="87" spans="1:16" x14ac:dyDescent="0.25">
      <c r="A87" s="336"/>
      <c r="P87" s="336"/>
    </row>
    <row r="88" spans="1:16" x14ac:dyDescent="0.25">
      <c r="A88" s="336"/>
      <c r="P88" s="336"/>
    </row>
    <row r="89" spans="1:16" x14ac:dyDescent="0.25">
      <c r="A89" s="336"/>
      <c r="P89" s="336"/>
    </row>
    <row r="90" spans="1:16" x14ac:dyDescent="0.25">
      <c r="A90" s="336"/>
      <c r="P90" s="336"/>
    </row>
    <row r="91" spans="1:16" x14ac:dyDescent="0.25">
      <c r="A91" s="336"/>
      <c r="P91" s="336"/>
    </row>
    <row r="92" spans="1:16" x14ac:dyDescent="0.25">
      <c r="A92" s="336"/>
      <c r="P92" s="336"/>
    </row>
    <row r="93" spans="1:16" x14ac:dyDescent="0.25">
      <c r="A93" s="336"/>
      <c r="P93" s="336"/>
    </row>
    <row r="94" spans="1:16" x14ac:dyDescent="0.25">
      <c r="A94" s="336"/>
      <c r="P94" s="336"/>
    </row>
    <row r="95" spans="1:16" x14ac:dyDescent="0.25">
      <c r="A95" s="336"/>
      <c r="P95" s="336"/>
    </row>
    <row r="96" spans="1:16" x14ac:dyDescent="0.25">
      <c r="A96" s="336"/>
      <c r="P96" s="336"/>
    </row>
    <row r="97" spans="1:16" x14ac:dyDescent="0.25">
      <c r="A97" s="336"/>
      <c r="P97" s="336"/>
    </row>
    <row r="98" spans="1:16" x14ac:dyDescent="0.25">
      <c r="A98" s="336"/>
      <c r="P98" s="336"/>
    </row>
    <row r="99" spans="1:16" x14ac:dyDescent="0.25">
      <c r="A99" s="336"/>
      <c r="P99" s="336"/>
    </row>
    <row r="100" spans="1:16" x14ac:dyDescent="0.25">
      <c r="A100" s="336"/>
      <c r="P100" s="336"/>
    </row>
    <row r="101" spans="1:16" x14ac:dyDescent="0.25">
      <c r="A101" s="336"/>
      <c r="P101" s="336"/>
    </row>
    <row r="102" spans="1:16" x14ac:dyDescent="0.25">
      <c r="A102" s="336"/>
      <c r="P102" s="336"/>
    </row>
    <row r="103" spans="1:16" x14ac:dyDescent="0.25">
      <c r="A103" s="336"/>
      <c r="P103" s="336"/>
    </row>
    <row r="104" spans="1:16" x14ac:dyDescent="0.25">
      <c r="A104" s="336"/>
      <c r="P104" s="336"/>
    </row>
    <row r="105" spans="1:16" x14ac:dyDescent="0.25">
      <c r="A105" s="336"/>
      <c r="P105" s="336"/>
    </row>
    <row r="106" spans="1:16" x14ac:dyDescent="0.25">
      <c r="A106" s="336"/>
      <c r="P106" s="336"/>
    </row>
    <row r="107" spans="1:16" x14ac:dyDescent="0.25">
      <c r="A107" s="336"/>
      <c r="P107" s="336"/>
    </row>
    <row r="108" spans="1:16" x14ac:dyDescent="0.25">
      <c r="A108" s="336"/>
      <c r="P108" s="336"/>
    </row>
    <row r="109" spans="1:16" x14ac:dyDescent="0.25">
      <c r="A109" s="336"/>
      <c r="P109" s="336"/>
    </row>
    <row r="110" spans="1:16" x14ac:dyDescent="0.25">
      <c r="A110" s="336"/>
      <c r="P110" s="336"/>
    </row>
    <row r="111" spans="1:16" x14ac:dyDescent="0.25">
      <c r="A111" s="336"/>
      <c r="P111" s="336"/>
    </row>
    <row r="112" spans="1:16" x14ac:dyDescent="0.25">
      <c r="A112" s="336"/>
      <c r="P112" s="336"/>
    </row>
    <row r="113" spans="1:16" x14ac:dyDescent="0.25">
      <c r="A113" s="336"/>
      <c r="P113" s="336"/>
    </row>
  </sheetData>
  <mergeCells count="24">
    <mergeCell ref="AQ52:AR52"/>
    <mergeCell ref="AS52:AT52"/>
    <mergeCell ref="AU52:AV52"/>
    <mergeCell ref="AW52:AX52"/>
    <mergeCell ref="AW29:AX29"/>
    <mergeCell ref="AG52:AH52"/>
    <mergeCell ref="AI52:AJ52"/>
    <mergeCell ref="AK52:AL52"/>
    <mergeCell ref="AM52:AN52"/>
    <mergeCell ref="AO52:AP52"/>
    <mergeCell ref="AF29:AF30"/>
    <mergeCell ref="AU29:AV29"/>
    <mergeCell ref="AQ29:AR29"/>
    <mergeCell ref="AO29:AP29"/>
    <mergeCell ref="AK29:AL29"/>
    <mergeCell ref="AG29:AH29"/>
    <mergeCell ref="A53:A54"/>
    <mergeCell ref="B53:M53"/>
    <mergeCell ref="Q3:AB3"/>
    <mergeCell ref="A28:A29"/>
    <mergeCell ref="B3:M3"/>
    <mergeCell ref="B28:M28"/>
    <mergeCell ref="N28:AC28"/>
    <mergeCell ref="P53:P5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J21"/>
  <sheetViews>
    <sheetView topLeftCell="A6" workbookViewId="0">
      <selection activeCell="F8" sqref="F8"/>
    </sheetView>
  </sheetViews>
  <sheetFormatPr defaultRowHeight="15" x14ac:dyDescent="0.25"/>
  <cols>
    <col min="4" max="4" width="12.7109375" customWidth="1"/>
    <col min="5" max="5" width="11.7109375" style="91" customWidth="1"/>
    <col min="6" max="8" width="12.5703125" customWidth="1"/>
  </cols>
  <sheetData>
    <row r="6" spans="1:10" x14ac:dyDescent="0.25">
      <c r="A6" s="641" t="s">
        <v>424</v>
      </c>
      <c r="B6" s="642"/>
      <c r="C6" s="642"/>
      <c r="D6" s="642"/>
      <c r="E6" s="642"/>
      <c r="F6" s="642"/>
      <c r="G6" s="642"/>
      <c r="H6" s="642"/>
      <c r="I6" s="642"/>
      <c r="J6" s="643"/>
    </row>
    <row r="7" spans="1:10" ht="70.5" x14ac:dyDescent="0.25">
      <c r="A7" s="99" t="s">
        <v>107</v>
      </c>
      <c r="B7" s="100" t="s">
        <v>108</v>
      </c>
      <c r="C7" s="100" t="s">
        <v>20</v>
      </c>
      <c r="D7" s="112" t="s">
        <v>21</v>
      </c>
      <c r="E7" s="113" t="s">
        <v>458</v>
      </c>
      <c r="F7" s="113" t="s">
        <v>109</v>
      </c>
      <c r="G7" s="102" t="s">
        <v>110</v>
      </c>
      <c r="H7" s="101" t="s">
        <v>111</v>
      </c>
      <c r="I7" s="102" t="s">
        <v>429</v>
      </c>
      <c r="J7" s="101" t="s">
        <v>28</v>
      </c>
    </row>
    <row r="8" spans="1:10" ht="105" x14ac:dyDescent="0.25">
      <c r="A8" s="114">
        <v>2017</v>
      </c>
      <c r="B8" s="115" t="s">
        <v>457</v>
      </c>
      <c r="C8" s="109" t="s">
        <v>287</v>
      </c>
      <c r="D8" s="116" t="s">
        <v>425</v>
      </c>
      <c r="E8" s="499">
        <f>'REKAP TOTAL '!E12</f>
        <v>12</v>
      </c>
      <c r="F8" s="498">
        <f>E8*5/1000</f>
        <v>0.06</v>
      </c>
      <c r="G8" s="109">
        <f>0.2*365*24</f>
        <v>1752</v>
      </c>
      <c r="H8" s="109">
        <f t="shared" ref="H8" si="0">F8*G8</f>
        <v>105.11999999999999</v>
      </c>
      <c r="I8" s="118">
        <v>0.86199999999999999</v>
      </c>
      <c r="J8" s="497">
        <f t="shared" ref="J8" si="1">H8*I8</f>
        <v>90.613439999999997</v>
      </c>
    </row>
    <row r="9" spans="1:10" ht="15.75" x14ac:dyDescent="0.25">
      <c r="A9">
        <f>A8+1</f>
        <v>2018</v>
      </c>
      <c r="E9" s="499">
        <f>'REKAP TOTAL '!E13</f>
        <v>0</v>
      </c>
      <c r="F9" s="498">
        <f t="shared" ref="F9:F21" si="2">E9*5/1000</f>
        <v>0</v>
      </c>
      <c r="G9" s="109">
        <f t="shared" ref="G9:G21" si="3">0.2*365*24</f>
        <v>1752</v>
      </c>
      <c r="H9" s="109">
        <f t="shared" ref="H9:H21" si="4">F9*G9</f>
        <v>0</v>
      </c>
      <c r="I9" s="118">
        <v>0.86199999999999999</v>
      </c>
      <c r="J9" s="497">
        <f t="shared" ref="J9:J21" si="5">H9*I9</f>
        <v>0</v>
      </c>
    </row>
    <row r="10" spans="1:10" ht="15.75" x14ac:dyDescent="0.25">
      <c r="A10" s="91">
        <f t="shared" ref="A10:A21" si="6">A9+1</f>
        <v>2019</v>
      </c>
      <c r="E10" s="499">
        <f>'REKAP TOTAL '!E14</f>
        <v>28.8</v>
      </c>
      <c r="F10" s="498">
        <f t="shared" si="2"/>
        <v>0.14399999999999999</v>
      </c>
      <c r="G10" s="109">
        <f t="shared" si="3"/>
        <v>1752</v>
      </c>
      <c r="H10" s="109">
        <f t="shared" si="4"/>
        <v>252.28799999999998</v>
      </c>
      <c r="I10" s="118">
        <v>0.86199999999999999</v>
      </c>
      <c r="J10" s="497">
        <f t="shared" si="5"/>
        <v>217.47225599999999</v>
      </c>
    </row>
    <row r="11" spans="1:10" ht="15.75" x14ac:dyDescent="0.25">
      <c r="A11" s="91">
        <f t="shared" si="6"/>
        <v>2020</v>
      </c>
      <c r="E11" s="499">
        <f>'REKAP TOTAL '!E15</f>
        <v>28.8</v>
      </c>
      <c r="F11" s="498">
        <f t="shared" si="2"/>
        <v>0.14399999999999999</v>
      </c>
      <c r="G11" s="109">
        <f t="shared" si="3"/>
        <v>1752</v>
      </c>
      <c r="H11" s="109">
        <f t="shared" si="4"/>
        <v>252.28799999999998</v>
      </c>
      <c r="I11" s="118">
        <v>0.86199999999999999</v>
      </c>
      <c r="J11" s="497">
        <f t="shared" si="5"/>
        <v>217.47225599999999</v>
      </c>
    </row>
    <row r="12" spans="1:10" ht="15.75" x14ac:dyDescent="0.25">
      <c r="A12" s="91">
        <f t="shared" si="6"/>
        <v>2021</v>
      </c>
      <c r="E12" s="499">
        <f>'REKAP TOTAL '!E16</f>
        <v>28.8</v>
      </c>
      <c r="F12" s="498">
        <f t="shared" si="2"/>
        <v>0.14399999999999999</v>
      </c>
      <c r="G12" s="109">
        <f t="shared" si="3"/>
        <v>1752</v>
      </c>
      <c r="H12" s="109">
        <f t="shared" si="4"/>
        <v>252.28799999999998</v>
      </c>
      <c r="I12" s="118">
        <v>0.86199999999999999</v>
      </c>
      <c r="J12" s="497">
        <f t="shared" si="5"/>
        <v>217.47225599999999</v>
      </c>
    </row>
    <row r="13" spans="1:10" ht="15.75" x14ac:dyDescent="0.25">
      <c r="A13" s="91">
        <f t="shared" si="6"/>
        <v>2022</v>
      </c>
      <c r="E13" s="499">
        <f>'REKAP TOTAL '!E17</f>
        <v>28.8</v>
      </c>
      <c r="F13" s="498">
        <f t="shared" si="2"/>
        <v>0.14399999999999999</v>
      </c>
      <c r="G13" s="109">
        <f t="shared" si="3"/>
        <v>1752</v>
      </c>
      <c r="H13" s="109">
        <f t="shared" si="4"/>
        <v>252.28799999999998</v>
      </c>
      <c r="I13" s="118">
        <v>0.86199999999999999</v>
      </c>
      <c r="J13" s="497">
        <f t="shared" si="5"/>
        <v>217.47225599999999</v>
      </c>
    </row>
    <row r="14" spans="1:10" ht="15.75" x14ac:dyDescent="0.25">
      <c r="A14" s="91">
        <f t="shared" si="6"/>
        <v>2023</v>
      </c>
      <c r="E14" s="499">
        <f>'REKAP TOTAL '!E18</f>
        <v>28.8</v>
      </c>
      <c r="F14" s="498">
        <f t="shared" si="2"/>
        <v>0.14399999999999999</v>
      </c>
      <c r="G14" s="109">
        <f t="shared" si="3"/>
        <v>1752</v>
      </c>
      <c r="H14" s="109">
        <f t="shared" si="4"/>
        <v>252.28799999999998</v>
      </c>
      <c r="I14" s="118">
        <v>0.86199999999999999</v>
      </c>
      <c r="J14" s="497">
        <f t="shared" si="5"/>
        <v>217.47225599999999</v>
      </c>
    </row>
    <row r="15" spans="1:10" ht="15.75" x14ac:dyDescent="0.25">
      <c r="A15" s="91">
        <f t="shared" si="6"/>
        <v>2024</v>
      </c>
      <c r="E15" s="499">
        <f>'REKAP TOTAL '!E19</f>
        <v>28.8</v>
      </c>
      <c r="F15" s="498">
        <f t="shared" si="2"/>
        <v>0.14399999999999999</v>
      </c>
      <c r="G15" s="109">
        <f t="shared" si="3"/>
        <v>1752</v>
      </c>
      <c r="H15" s="109">
        <f t="shared" si="4"/>
        <v>252.28799999999998</v>
      </c>
      <c r="I15" s="118">
        <v>0.86199999999999999</v>
      </c>
      <c r="J15" s="497">
        <f t="shared" si="5"/>
        <v>217.47225599999999</v>
      </c>
    </row>
    <row r="16" spans="1:10" ht="15.75" x14ac:dyDescent="0.25">
      <c r="A16" s="91">
        <f t="shared" si="6"/>
        <v>2025</v>
      </c>
      <c r="E16" s="499">
        <f>'REKAP TOTAL '!E20</f>
        <v>28.8</v>
      </c>
      <c r="F16" s="498">
        <f t="shared" si="2"/>
        <v>0.14399999999999999</v>
      </c>
      <c r="G16" s="109">
        <f t="shared" si="3"/>
        <v>1752</v>
      </c>
      <c r="H16" s="109">
        <f t="shared" si="4"/>
        <v>252.28799999999998</v>
      </c>
      <c r="I16" s="118">
        <v>0.86199999999999999</v>
      </c>
      <c r="J16" s="497">
        <f t="shared" si="5"/>
        <v>217.47225599999999</v>
      </c>
    </row>
    <row r="17" spans="1:10" ht="15.75" x14ac:dyDescent="0.25">
      <c r="A17" s="91">
        <f t="shared" si="6"/>
        <v>2026</v>
      </c>
      <c r="E17" s="499">
        <f>'REKAP TOTAL '!E21</f>
        <v>28.8</v>
      </c>
      <c r="F17" s="498">
        <f t="shared" si="2"/>
        <v>0.14399999999999999</v>
      </c>
      <c r="G17" s="109">
        <f t="shared" si="3"/>
        <v>1752</v>
      </c>
      <c r="H17" s="109">
        <f t="shared" si="4"/>
        <v>252.28799999999998</v>
      </c>
      <c r="I17" s="118">
        <v>0.86199999999999999</v>
      </c>
      <c r="J17" s="497">
        <f t="shared" si="5"/>
        <v>217.47225599999999</v>
      </c>
    </row>
    <row r="18" spans="1:10" ht="15.75" x14ac:dyDescent="0.25">
      <c r="A18" s="91">
        <f t="shared" si="6"/>
        <v>2027</v>
      </c>
      <c r="E18" s="499">
        <f>'REKAP TOTAL '!E22</f>
        <v>28.8</v>
      </c>
      <c r="F18" s="498">
        <f t="shared" si="2"/>
        <v>0.14399999999999999</v>
      </c>
      <c r="G18" s="109">
        <f t="shared" si="3"/>
        <v>1752</v>
      </c>
      <c r="H18" s="109">
        <f t="shared" si="4"/>
        <v>252.28799999999998</v>
      </c>
      <c r="I18" s="118">
        <v>0.86199999999999999</v>
      </c>
      <c r="J18" s="497">
        <f t="shared" si="5"/>
        <v>217.47225599999999</v>
      </c>
    </row>
    <row r="19" spans="1:10" ht="15.75" x14ac:dyDescent="0.25">
      <c r="A19" s="91">
        <f t="shared" si="6"/>
        <v>2028</v>
      </c>
      <c r="E19" s="499">
        <f>'REKAP TOTAL '!E23</f>
        <v>28.8</v>
      </c>
      <c r="F19" s="498">
        <f t="shared" si="2"/>
        <v>0.14399999999999999</v>
      </c>
      <c r="G19" s="109">
        <f t="shared" si="3"/>
        <v>1752</v>
      </c>
      <c r="H19" s="109">
        <f t="shared" si="4"/>
        <v>252.28799999999998</v>
      </c>
      <c r="I19" s="118">
        <v>0.86199999999999999</v>
      </c>
      <c r="J19" s="497">
        <f t="shared" si="5"/>
        <v>217.47225599999999</v>
      </c>
    </row>
    <row r="20" spans="1:10" ht="15.75" x14ac:dyDescent="0.25">
      <c r="A20" s="91">
        <f t="shared" si="6"/>
        <v>2029</v>
      </c>
      <c r="E20" s="499">
        <f>'REKAP TOTAL '!E24</f>
        <v>28.8</v>
      </c>
      <c r="F20" s="498">
        <f t="shared" si="2"/>
        <v>0.14399999999999999</v>
      </c>
      <c r="G20" s="109">
        <f t="shared" si="3"/>
        <v>1752</v>
      </c>
      <c r="H20" s="109">
        <f t="shared" si="4"/>
        <v>252.28799999999998</v>
      </c>
      <c r="I20" s="118">
        <v>0.86199999999999999</v>
      </c>
      <c r="J20" s="497">
        <f t="shared" si="5"/>
        <v>217.47225599999999</v>
      </c>
    </row>
    <row r="21" spans="1:10" ht="15.75" x14ac:dyDescent="0.25">
      <c r="A21" s="91">
        <f t="shared" si="6"/>
        <v>2030</v>
      </c>
      <c r="E21" s="499">
        <f>'REKAP TOTAL '!E25</f>
        <v>28.8</v>
      </c>
      <c r="F21" s="498">
        <f t="shared" si="2"/>
        <v>0.14399999999999999</v>
      </c>
      <c r="G21" s="109">
        <f t="shared" si="3"/>
        <v>1752</v>
      </c>
      <c r="H21" s="109">
        <f t="shared" si="4"/>
        <v>252.28799999999998</v>
      </c>
      <c r="I21" s="118">
        <v>0.86199999999999999</v>
      </c>
      <c r="J21" s="497">
        <f t="shared" si="5"/>
        <v>217.47225599999999</v>
      </c>
    </row>
  </sheetData>
  <mergeCells count="1">
    <mergeCell ref="A6:J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D14" sqref="D14"/>
    </sheetView>
  </sheetViews>
  <sheetFormatPr defaultRowHeight="15" x14ac:dyDescent="0.25"/>
  <cols>
    <col min="2" max="2" width="15" customWidth="1"/>
    <col min="3" max="3" width="11" customWidth="1"/>
    <col min="4" max="4" width="16.42578125" customWidth="1"/>
    <col min="5" max="5" width="12.7109375" customWidth="1"/>
  </cols>
  <sheetData>
    <row r="1" spans="1:8" x14ac:dyDescent="0.25">
      <c r="A1" s="91" t="s">
        <v>452</v>
      </c>
    </row>
    <row r="2" spans="1:8" ht="45" x14ac:dyDescent="0.25">
      <c r="A2" s="487" t="str">
        <f>RUKD!D76</f>
        <v>EBT</v>
      </c>
      <c r="B2" s="487" t="str">
        <f>RUKD!E76</f>
        <v>Tahun</v>
      </c>
      <c r="C2" s="487" t="str">
        <f>RUKD!F76</f>
        <v>Jumlah MW</v>
      </c>
      <c r="D2" s="74" t="s">
        <v>454</v>
      </c>
      <c r="E2" s="73"/>
    </row>
    <row r="3" spans="1:8" x14ac:dyDescent="0.25">
      <c r="A3" s="647" t="str">
        <f>RUKD!D77</f>
        <v>PLTM</v>
      </c>
      <c r="B3" s="488">
        <f>RUKD!E77</f>
        <v>2017</v>
      </c>
      <c r="C3" s="488">
        <f>RUKD!F77</f>
        <v>22</v>
      </c>
      <c r="D3" s="73"/>
      <c r="E3" s="73"/>
    </row>
    <row r="4" spans="1:8" x14ac:dyDescent="0.25">
      <c r="A4" s="648"/>
      <c r="B4" s="488">
        <f>RUKD!E78</f>
        <v>2018</v>
      </c>
      <c r="C4" s="488">
        <f>RUKD!F78</f>
        <v>42.989999999999995</v>
      </c>
      <c r="D4" s="73"/>
      <c r="E4" s="73"/>
    </row>
    <row r="5" spans="1:8" x14ac:dyDescent="0.25">
      <c r="A5" s="648"/>
      <c r="B5" s="488">
        <f>RUKD!E79</f>
        <v>2019</v>
      </c>
      <c r="C5" s="488">
        <f>RUKD!F79</f>
        <v>17.8</v>
      </c>
      <c r="D5" s="73"/>
      <c r="E5" s="73"/>
    </row>
    <row r="6" spans="1:8" x14ac:dyDescent="0.25">
      <c r="A6" s="648"/>
      <c r="B6" s="488">
        <f>RUKD!E80</f>
        <v>2020</v>
      </c>
      <c r="C6" s="488">
        <f>RUKD!F80</f>
        <v>41.82</v>
      </c>
      <c r="D6" s="73"/>
      <c r="E6" s="73"/>
    </row>
    <row r="7" spans="1:8" x14ac:dyDescent="0.25">
      <c r="A7" s="648"/>
      <c r="B7" s="488">
        <f>RUKD!E81</f>
        <v>2021</v>
      </c>
      <c r="C7" s="488">
        <f>RUKD!F81</f>
        <v>63.88</v>
      </c>
      <c r="D7" s="73"/>
      <c r="E7" s="73"/>
    </row>
    <row r="8" spans="1:8" x14ac:dyDescent="0.25">
      <c r="A8" s="648"/>
      <c r="B8" s="488">
        <f>RUKD!E82</f>
        <v>2022</v>
      </c>
      <c r="C8" s="488">
        <f>RUKD!F82</f>
        <v>17.344000000000001</v>
      </c>
      <c r="D8" s="73"/>
      <c r="E8" s="73"/>
    </row>
    <row r="9" spans="1:8" x14ac:dyDescent="0.25">
      <c r="A9" s="649"/>
      <c r="B9" s="488">
        <f>RUKD!E83</f>
        <v>2025</v>
      </c>
      <c r="C9" s="488">
        <f>RUKD!F83</f>
        <v>23.4</v>
      </c>
      <c r="D9" s="73"/>
      <c r="E9" s="73"/>
    </row>
    <row r="10" spans="1:8" x14ac:dyDescent="0.25">
      <c r="A10" s="647" t="str">
        <f>RUKD!D85</f>
        <v>PLTB</v>
      </c>
      <c r="B10" s="488">
        <f>RUKD!E85</f>
        <v>2019</v>
      </c>
      <c r="C10" s="488">
        <f>RUKD!F85</f>
        <v>100</v>
      </c>
      <c r="D10" s="73"/>
      <c r="E10" s="73"/>
    </row>
    <row r="11" spans="1:8" x14ac:dyDescent="0.25">
      <c r="A11" s="649"/>
      <c r="B11" s="488">
        <f>RUKD!E86</f>
        <v>2020</v>
      </c>
      <c r="C11" s="488">
        <f>RUKD!F86</f>
        <v>100</v>
      </c>
      <c r="D11" s="73"/>
      <c r="E11" s="73"/>
    </row>
    <row r="12" spans="1:8" x14ac:dyDescent="0.25">
      <c r="A12" s="488" t="str">
        <f>RUKD!D88</f>
        <v>PLTSa</v>
      </c>
      <c r="B12" s="488">
        <f>RUKD!E88</f>
        <v>2019</v>
      </c>
      <c r="C12" s="488">
        <f>RUKD!F88</f>
        <v>10</v>
      </c>
      <c r="D12" s="73"/>
      <c r="E12" s="73"/>
    </row>
    <row r="13" spans="1:8" s="91" customFormat="1" x14ac:dyDescent="0.25">
      <c r="A13" s="618" t="str">
        <f>RUKD!D90</f>
        <v>PLT PS</v>
      </c>
      <c r="B13" s="415">
        <f>RUKD!E90</f>
        <v>2021</v>
      </c>
      <c r="C13" s="415">
        <f>RUKD!F90</f>
        <v>520</v>
      </c>
      <c r="D13" s="489">
        <v>0.6</v>
      </c>
      <c r="E13" s="73">
        <f>D13*C13</f>
        <v>312</v>
      </c>
    </row>
    <row r="14" spans="1:8" s="91" customFormat="1" x14ac:dyDescent="0.25">
      <c r="A14" s="620"/>
      <c r="B14" s="415">
        <f>RUKD!E91</f>
        <v>2022</v>
      </c>
      <c r="C14" s="415">
        <f>RUKD!F91</f>
        <v>520</v>
      </c>
      <c r="D14" s="489">
        <v>0.6</v>
      </c>
      <c r="E14" s="73">
        <f>D14*C14</f>
        <v>312</v>
      </c>
    </row>
    <row r="15" spans="1:8" s="91" customFormat="1" x14ac:dyDescent="0.25"/>
    <row r="16" spans="1:8" s="119" customFormat="1" ht="30" hidden="1" x14ac:dyDescent="0.25">
      <c r="A16" s="206" t="s">
        <v>107</v>
      </c>
      <c r="B16" s="207" t="s">
        <v>108</v>
      </c>
      <c r="C16" s="207" t="s">
        <v>20</v>
      </c>
      <c r="D16" s="207" t="s">
        <v>21</v>
      </c>
      <c r="E16" s="481" t="s">
        <v>21</v>
      </c>
      <c r="F16" s="210" t="s">
        <v>96</v>
      </c>
      <c r="G16" s="209" t="s">
        <v>447</v>
      </c>
      <c r="H16" s="210" t="s">
        <v>97</v>
      </c>
    </row>
    <row r="17" spans="1:9" s="119" customFormat="1" ht="15" hidden="1" customHeight="1" x14ac:dyDescent="0.25">
      <c r="A17" s="644" t="s">
        <v>448</v>
      </c>
      <c r="B17" s="645"/>
      <c r="C17" s="482"/>
      <c r="D17" s="483"/>
      <c r="E17" s="482"/>
      <c r="F17" s="482"/>
      <c r="G17" s="482"/>
      <c r="H17" s="483"/>
    </row>
    <row r="18" spans="1:9" s="119" customFormat="1" ht="60" hidden="1" x14ac:dyDescent="0.25">
      <c r="A18" s="206" t="s">
        <v>107</v>
      </c>
      <c r="B18" s="207" t="s">
        <v>108</v>
      </c>
      <c r="C18" s="207" t="s">
        <v>20</v>
      </c>
      <c r="D18" s="207" t="s">
        <v>21</v>
      </c>
      <c r="E18" s="481" t="s">
        <v>449</v>
      </c>
      <c r="F18" s="210" t="s">
        <v>96</v>
      </c>
      <c r="G18" s="209" t="s">
        <v>286</v>
      </c>
      <c r="H18" s="210" t="s">
        <v>28</v>
      </c>
    </row>
    <row r="19" spans="1:9" s="119" customFormat="1" ht="45" hidden="1" x14ac:dyDescent="0.25">
      <c r="A19" s="449">
        <v>1</v>
      </c>
      <c r="B19" s="450" t="s">
        <v>451</v>
      </c>
      <c r="C19" s="451" t="s">
        <v>116</v>
      </c>
      <c r="D19" s="451" t="s">
        <v>450</v>
      </c>
      <c r="E19" s="420">
        <f>C13</f>
        <v>520</v>
      </c>
      <c r="F19" s="419">
        <f>E19</f>
        <v>520</v>
      </c>
      <c r="G19" s="455">
        <v>0.82599999999999996</v>
      </c>
      <c r="H19" s="419">
        <f>F19*G19</f>
        <v>429.52</v>
      </c>
    </row>
    <row r="20" spans="1:9" s="119" customFormat="1" ht="45" hidden="1" x14ac:dyDescent="0.25">
      <c r="A20" s="449">
        <v>2</v>
      </c>
      <c r="B20" s="450" t="s">
        <v>451</v>
      </c>
      <c r="C20" s="451" t="s">
        <v>287</v>
      </c>
      <c r="D20" s="451" t="s">
        <v>450</v>
      </c>
      <c r="E20" s="420">
        <f>C14</f>
        <v>520</v>
      </c>
      <c r="F20" s="419">
        <f>E20</f>
        <v>520</v>
      </c>
      <c r="G20" s="455">
        <v>0.82599999999999996</v>
      </c>
      <c r="H20" s="419">
        <f>F20*G20</f>
        <v>429.52</v>
      </c>
    </row>
    <row r="22" spans="1:9" x14ac:dyDescent="0.25">
      <c r="A22" s="644" t="s">
        <v>424</v>
      </c>
      <c r="B22" s="645"/>
      <c r="C22" s="645"/>
      <c r="D22" s="645"/>
      <c r="E22" s="645"/>
      <c r="F22" s="645"/>
      <c r="G22" s="645"/>
      <c r="H22" s="645"/>
      <c r="I22" s="646"/>
    </row>
    <row r="23" spans="1:9" ht="70.5" x14ac:dyDescent="0.25">
      <c r="A23" s="206" t="s">
        <v>107</v>
      </c>
      <c r="B23" s="207" t="s">
        <v>108</v>
      </c>
      <c r="C23" s="207" t="s">
        <v>20</v>
      </c>
      <c r="D23" s="253" t="s">
        <v>21</v>
      </c>
      <c r="E23" s="208" t="s">
        <v>109</v>
      </c>
      <c r="F23" s="209" t="s">
        <v>110</v>
      </c>
      <c r="G23" s="210" t="s">
        <v>111</v>
      </c>
      <c r="H23" s="209" t="s">
        <v>112</v>
      </c>
      <c r="I23" s="210" t="s">
        <v>28</v>
      </c>
    </row>
    <row r="24" spans="1:9" ht="60" x14ac:dyDescent="0.25">
      <c r="A24" s="449">
        <v>2021</v>
      </c>
      <c r="B24" s="450" t="s">
        <v>453</v>
      </c>
      <c r="C24" s="451" t="s">
        <v>116</v>
      </c>
      <c r="D24" s="452" t="s">
        <v>117</v>
      </c>
      <c r="E24" s="453">
        <f>E13</f>
        <v>312</v>
      </c>
      <c r="F24" s="451">
        <f>0.7*365*24</f>
        <v>6131.9999999999991</v>
      </c>
      <c r="G24" s="451">
        <f t="shared" ref="G24" si="0">E24*F24</f>
        <v>1913183.9999999998</v>
      </c>
      <c r="H24" s="454">
        <v>0.70599999999999996</v>
      </c>
      <c r="I24" s="451">
        <f t="shared" ref="I24" si="1">G24*H24</f>
        <v>1350707.9039999999</v>
      </c>
    </row>
    <row r="25" spans="1:9" ht="60" x14ac:dyDescent="0.25">
      <c r="A25" s="449">
        <v>2022</v>
      </c>
      <c r="B25" s="450" t="s">
        <v>453</v>
      </c>
      <c r="C25" s="451" t="s">
        <v>116</v>
      </c>
      <c r="D25" s="452" t="s">
        <v>117</v>
      </c>
      <c r="E25" s="453">
        <f>E14</f>
        <v>312</v>
      </c>
      <c r="F25" s="451">
        <f>0.7*365*24</f>
        <v>6131.9999999999991</v>
      </c>
      <c r="G25" s="451">
        <f t="shared" ref="G25" si="2">E25*F25</f>
        <v>1913183.9999999998</v>
      </c>
      <c r="H25" s="454">
        <v>0.70599999999999996</v>
      </c>
      <c r="I25" s="451">
        <f t="shared" ref="I25" si="3">G25*H25</f>
        <v>1350707.9039999999</v>
      </c>
    </row>
  </sheetData>
  <mergeCells count="5">
    <mergeCell ref="A22:I22"/>
    <mergeCell ref="A17:B17"/>
    <mergeCell ref="A3:A9"/>
    <mergeCell ref="A10:A11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H5" sqref="H5"/>
    </sheetView>
  </sheetViews>
  <sheetFormatPr defaultRowHeight="15" x14ac:dyDescent="0.25"/>
  <cols>
    <col min="2" max="2" width="27.42578125" customWidth="1"/>
    <col min="4" max="4" width="23.5703125" customWidth="1"/>
  </cols>
  <sheetData>
    <row r="1" spans="1:9" ht="21" x14ac:dyDescent="0.35">
      <c r="A1" s="475" t="s">
        <v>444</v>
      </c>
    </row>
    <row r="3" spans="1:9" x14ac:dyDescent="0.25">
      <c r="A3" s="644" t="s">
        <v>424</v>
      </c>
      <c r="B3" s="645"/>
      <c r="C3" s="645"/>
      <c r="D3" s="645"/>
      <c r="E3" s="645"/>
      <c r="F3" s="645"/>
      <c r="G3" s="645"/>
      <c r="H3" s="645"/>
      <c r="I3" s="646"/>
    </row>
    <row r="4" spans="1:9" ht="70.5" x14ac:dyDescent="0.25">
      <c r="A4" s="206" t="s">
        <v>107</v>
      </c>
      <c r="B4" s="207" t="s">
        <v>108</v>
      </c>
      <c r="C4" s="207" t="s">
        <v>20</v>
      </c>
      <c r="D4" s="253" t="s">
        <v>21</v>
      </c>
      <c r="E4" s="208" t="s">
        <v>109</v>
      </c>
      <c r="F4" s="209" t="s">
        <v>110</v>
      </c>
      <c r="G4" s="210" t="s">
        <v>111</v>
      </c>
      <c r="H4" s="209" t="s">
        <v>112</v>
      </c>
      <c r="I4" s="210" t="s">
        <v>28</v>
      </c>
    </row>
    <row r="5" spans="1:9" ht="42" customHeight="1" x14ac:dyDescent="0.25">
      <c r="A5" s="449">
        <v>2019</v>
      </c>
      <c r="B5" s="450" t="s">
        <v>176</v>
      </c>
      <c r="C5" s="451" t="s">
        <v>287</v>
      </c>
      <c r="D5" s="452" t="s">
        <v>425</v>
      </c>
      <c r="E5" s="453">
        <v>100</v>
      </c>
      <c r="F5" s="451">
        <f>0.2*365*24</f>
        <v>1752</v>
      </c>
      <c r="G5" s="451">
        <f t="shared" ref="G5" si="0">E5*F5</f>
        <v>175200</v>
      </c>
      <c r="H5" s="454">
        <v>0.70599999999999996</v>
      </c>
      <c r="I5" s="451">
        <f t="shared" ref="I5" si="1">G5*H5</f>
        <v>123691.2</v>
      </c>
    </row>
    <row r="6" spans="1:9" ht="45" x14ac:dyDescent="0.25">
      <c r="A6" s="449">
        <v>2020</v>
      </c>
      <c r="B6" s="450" t="s">
        <v>176</v>
      </c>
      <c r="C6" s="451" t="s">
        <v>287</v>
      </c>
      <c r="D6" s="452" t="s">
        <v>425</v>
      </c>
      <c r="E6" s="453">
        <v>100</v>
      </c>
      <c r="F6" s="451">
        <f>0.2*365*24</f>
        <v>1752</v>
      </c>
      <c r="G6" s="451">
        <f t="shared" ref="G6" si="2">E6*F6</f>
        <v>175200</v>
      </c>
      <c r="H6" s="454">
        <f>H5</f>
        <v>0.70599999999999996</v>
      </c>
      <c r="I6" s="451">
        <f t="shared" ref="I6" si="3">G6*H6</f>
        <v>123691.2</v>
      </c>
    </row>
  </sheetData>
  <mergeCells count="1">
    <mergeCell ref="A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55" zoomScale="73" zoomScaleNormal="73" workbookViewId="0">
      <selection activeCell="J64" sqref="J64"/>
    </sheetView>
  </sheetViews>
  <sheetFormatPr defaultRowHeight="15" x14ac:dyDescent="0.25"/>
  <cols>
    <col min="1" max="1" width="3.5703125" style="91" bestFit="1" customWidth="1"/>
    <col min="2" max="2" width="19.28515625" style="91" customWidth="1"/>
    <col min="3" max="3" width="15.140625" style="91" customWidth="1"/>
    <col min="4" max="4" width="14" style="91" customWidth="1"/>
    <col min="5" max="5" width="12.140625" style="91" customWidth="1"/>
    <col min="6" max="6" width="13.42578125" style="91" customWidth="1"/>
    <col min="7" max="7" width="25.85546875" style="91" customWidth="1"/>
    <col min="8" max="8" width="16.42578125" style="91" customWidth="1"/>
    <col min="9" max="9" width="15.28515625" style="91" customWidth="1"/>
    <col min="10" max="10" width="12.42578125" style="91" bestFit="1" customWidth="1"/>
    <col min="11" max="11" width="17.5703125" style="91" customWidth="1"/>
    <col min="12" max="16384" width="9.140625" style="91"/>
  </cols>
  <sheetData>
    <row r="1" spans="1:11" x14ac:dyDescent="0.25">
      <c r="A1" s="91" t="s">
        <v>392</v>
      </c>
    </row>
    <row r="2" spans="1:11" x14ac:dyDescent="0.25">
      <c r="A2" s="91" t="s">
        <v>393</v>
      </c>
    </row>
    <row r="3" spans="1:11" x14ac:dyDescent="0.25">
      <c r="A3" s="91" t="s">
        <v>397</v>
      </c>
    </row>
    <row r="4" spans="1:11" ht="15.75" customHeight="1" x14ac:dyDescent="0.25">
      <c r="A4" s="651" t="s">
        <v>57</v>
      </c>
      <c r="B4" s="650" t="s">
        <v>332</v>
      </c>
      <c r="C4" s="650" t="s">
        <v>333</v>
      </c>
      <c r="D4" s="650"/>
      <c r="E4" s="650" t="s">
        <v>334</v>
      </c>
      <c r="F4" s="650" t="s">
        <v>335</v>
      </c>
      <c r="G4" s="650" t="s">
        <v>336</v>
      </c>
      <c r="H4" s="650" t="s">
        <v>337</v>
      </c>
      <c r="J4" s="650" t="s">
        <v>338</v>
      </c>
    </row>
    <row r="5" spans="1:11" ht="18" customHeight="1" x14ac:dyDescent="0.25">
      <c r="A5" s="651"/>
      <c r="B5" s="650"/>
      <c r="C5" s="71" t="s">
        <v>339</v>
      </c>
      <c r="D5" s="71" t="s">
        <v>340</v>
      </c>
      <c r="E5" s="650"/>
      <c r="F5" s="650"/>
      <c r="G5" s="650"/>
      <c r="H5" s="650"/>
      <c r="J5" s="650"/>
    </row>
    <row r="6" spans="1:11" ht="30.75" customHeight="1" x14ac:dyDescent="0.25">
      <c r="A6" s="344">
        <v>11</v>
      </c>
      <c r="B6" s="344" t="s">
        <v>369</v>
      </c>
      <c r="C6" s="344" t="s">
        <v>366</v>
      </c>
      <c r="D6" s="345" t="s">
        <v>367</v>
      </c>
      <c r="E6" s="394">
        <v>540</v>
      </c>
      <c r="F6" s="403" t="s">
        <v>404</v>
      </c>
      <c r="G6" s="398" t="s">
        <v>370</v>
      </c>
      <c r="H6" s="344">
        <f>E6/$E$10*$K$10</f>
        <v>333.45000000000005</v>
      </c>
      <c r="I6" s="91" t="s">
        <v>411</v>
      </c>
      <c r="J6" s="344"/>
    </row>
    <row r="7" spans="1:11" ht="31.5" customHeight="1" x14ac:dyDescent="0.25">
      <c r="A7" s="344">
        <v>5</v>
      </c>
      <c r="B7" s="344" t="s">
        <v>349</v>
      </c>
      <c r="C7" s="344" t="s">
        <v>342</v>
      </c>
      <c r="D7" s="345" t="s">
        <v>350</v>
      </c>
      <c r="E7" s="394">
        <v>250</v>
      </c>
      <c r="F7" s="403" t="s">
        <v>404</v>
      </c>
      <c r="G7" s="398" t="s">
        <v>351</v>
      </c>
      <c r="H7" s="344">
        <f>E7/$E$10*$K$10</f>
        <v>154.375</v>
      </c>
      <c r="I7" s="91" t="s">
        <v>411</v>
      </c>
      <c r="J7" s="344"/>
    </row>
    <row r="8" spans="1:11" ht="36" x14ac:dyDescent="0.25">
      <c r="A8" s="344">
        <v>12</v>
      </c>
      <c r="B8" s="344" t="s">
        <v>371</v>
      </c>
      <c r="C8" s="344" t="s">
        <v>372</v>
      </c>
      <c r="D8" s="345" t="s">
        <v>373</v>
      </c>
      <c r="E8" s="346">
        <v>100</v>
      </c>
      <c r="F8" s="344" t="s">
        <v>405</v>
      </c>
      <c r="G8" s="345" t="s">
        <v>374</v>
      </c>
      <c r="H8" s="344">
        <f>E8/$E$10*$K$10</f>
        <v>61.75</v>
      </c>
      <c r="I8" s="91" t="s">
        <v>411</v>
      </c>
      <c r="J8" s="344"/>
    </row>
    <row r="9" spans="1:11" ht="24" x14ac:dyDescent="0.25">
      <c r="A9" s="344">
        <v>13</v>
      </c>
      <c r="B9" s="344" t="s">
        <v>375</v>
      </c>
      <c r="C9" s="344" t="s">
        <v>372</v>
      </c>
      <c r="D9" s="345" t="s">
        <v>373</v>
      </c>
      <c r="E9" s="346">
        <v>100</v>
      </c>
      <c r="F9" s="344" t="s">
        <v>405</v>
      </c>
      <c r="G9" s="345" t="s">
        <v>376</v>
      </c>
      <c r="H9" s="344">
        <f>E9/E10*$K$10</f>
        <v>61.75</v>
      </c>
      <c r="I9" s="91" t="s">
        <v>411</v>
      </c>
      <c r="J9" s="344"/>
    </row>
    <row r="10" spans="1:11" ht="45" x14ac:dyDescent="0.25">
      <c r="A10" s="344">
        <v>14</v>
      </c>
      <c r="B10" s="344" t="s">
        <v>377</v>
      </c>
      <c r="C10" s="344" t="s">
        <v>372</v>
      </c>
      <c r="D10" s="345" t="s">
        <v>373</v>
      </c>
      <c r="E10" s="394">
        <v>800</v>
      </c>
      <c r="F10" s="395" t="s">
        <v>406</v>
      </c>
      <c r="G10" s="396" t="s">
        <v>378</v>
      </c>
      <c r="H10" s="91">
        <v>494</v>
      </c>
      <c r="I10" s="91" t="s">
        <v>411</v>
      </c>
      <c r="J10" s="347" t="s">
        <v>345</v>
      </c>
      <c r="K10" s="91">
        <v>494</v>
      </c>
    </row>
    <row r="11" spans="1:11" ht="24" x14ac:dyDescent="0.25">
      <c r="A11" s="344">
        <v>16</v>
      </c>
      <c r="B11" s="344" t="s">
        <v>383</v>
      </c>
      <c r="C11" s="344" t="s">
        <v>384</v>
      </c>
      <c r="D11" s="344"/>
      <c r="E11" s="346">
        <v>14000</v>
      </c>
      <c r="F11" s="344">
        <v>2017</v>
      </c>
      <c r="G11" s="345" t="s">
        <v>385</v>
      </c>
      <c r="H11" s="344">
        <v>800</v>
      </c>
      <c r="I11" s="64" t="s">
        <v>389</v>
      </c>
      <c r="J11" s="408" t="s">
        <v>386</v>
      </c>
      <c r="K11" s="349"/>
    </row>
    <row r="12" spans="1:11" ht="45" x14ac:dyDescent="0.25">
      <c r="A12" s="344">
        <v>10</v>
      </c>
      <c r="B12" s="344" t="s">
        <v>365</v>
      </c>
      <c r="C12" s="344" t="s">
        <v>366</v>
      </c>
      <c r="D12" s="345" t="s">
        <v>367</v>
      </c>
      <c r="E12" s="394">
        <v>1100</v>
      </c>
      <c r="F12" s="395">
        <v>2011</v>
      </c>
      <c r="G12" s="396" t="s">
        <v>368</v>
      </c>
      <c r="H12" s="344">
        <v>680</v>
      </c>
      <c r="I12" s="64" t="s">
        <v>411</v>
      </c>
      <c r="J12" s="347" t="s">
        <v>345</v>
      </c>
    </row>
    <row r="13" spans="1:11" ht="45" x14ac:dyDescent="0.25">
      <c r="A13" s="344">
        <v>15</v>
      </c>
      <c r="B13" s="344" t="s">
        <v>379</v>
      </c>
      <c r="C13" s="344" t="s">
        <v>380</v>
      </c>
      <c r="D13" s="345" t="s">
        <v>381</v>
      </c>
      <c r="E13" s="394">
        <v>5300</v>
      </c>
      <c r="F13" s="395">
        <v>2013</v>
      </c>
      <c r="G13" s="396" t="s">
        <v>382</v>
      </c>
      <c r="H13" s="344">
        <v>3.2</v>
      </c>
      <c r="I13" s="64" t="s">
        <v>412</v>
      </c>
      <c r="J13" s="347" t="s">
        <v>345</v>
      </c>
    </row>
    <row r="14" spans="1:11" x14ac:dyDescent="0.25">
      <c r="A14" s="344">
        <v>8</v>
      </c>
      <c r="B14" s="344" t="s">
        <v>359</v>
      </c>
      <c r="C14" s="344" t="s">
        <v>353</v>
      </c>
      <c r="D14" s="345" t="s">
        <v>360</v>
      </c>
      <c r="E14" s="394">
        <v>8000</v>
      </c>
      <c r="F14" s="395">
        <v>2014</v>
      </c>
      <c r="G14" s="396" t="s">
        <v>361</v>
      </c>
      <c r="H14" s="344">
        <v>172</v>
      </c>
      <c r="I14" s="64" t="s">
        <v>412</v>
      </c>
      <c r="J14" s="347"/>
    </row>
    <row r="15" spans="1:11" ht="45" x14ac:dyDescent="0.25">
      <c r="A15" s="344">
        <v>1</v>
      </c>
      <c r="B15" s="344" t="s">
        <v>341</v>
      </c>
      <c r="C15" s="344" t="s">
        <v>342</v>
      </c>
      <c r="D15" s="345" t="s">
        <v>343</v>
      </c>
      <c r="E15" s="394">
        <v>2000</v>
      </c>
      <c r="F15" s="395">
        <v>2015</v>
      </c>
      <c r="G15" s="396" t="s">
        <v>344</v>
      </c>
      <c r="H15" s="344">
        <v>1.23</v>
      </c>
      <c r="I15" s="64" t="s">
        <v>412</v>
      </c>
      <c r="J15" s="347" t="s">
        <v>345</v>
      </c>
    </row>
    <row r="16" spans="1:11" ht="45" x14ac:dyDescent="0.25">
      <c r="A16" s="344">
        <v>2</v>
      </c>
      <c r="B16" s="344" t="s">
        <v>346</v>
      </c>
      <c r="C16" s="344" t="s">
        <v>342</v>
      </c>
      <c r="D16" s="345" t="s">
        <v>343</v>
      </c>
      <c r="E16" s="394">
        <v>6200</v>
      </c>
      <c r="F16" s="397">
        <v>2015</v>
      </c>
      <c r="G16" s="396" t="s">
        <v>344</v>
      </c>
      <c r="H16" s="344">
        <v>16.52</v>
      </c>
      <c r="I16" s="64" t="s">
        <v>412</v>
      </c>
      <c r="J16" s="347" t="s">
        <v>345</v>
      </c>
    </row>
    <row r="17" spans="1:12" ht="45" x14ac:dyDescent="0.25">
      <c r="A17" s="344">
        <v>6</v>
      </c>
      <c r="B17" s="344" t="s">
        <v>352</v>
      </c>
      <c r="C17" s="344" t="s">
        <v>353</v>
      </c>
      <c r="D17" s="345" t="s">
        <v>354</v>
      </c>
      <c r="E17" s="394">
        <v>5000</v>
      </c>
      <c r="F17" s="395">
        <v>2015</v>
      </c>
      <c r="G17" s="396" t="s">
        <v>355</v>
      </c>
      <c r="H17" s="344">
        <v>3.09</v>
      </c>
      <c r="I17" s="64" t="s">
        <v>412</v>
      </c>
      <c r="J17" s="347" t="s">
        <v>345</v>
      </c>
    </row>
    <row r="18" spans="1:12" ht="45" x14ac:dyDescent="0.25">
      <c r="A18" s="344">
        <v>3</v>
      </c>
      <c r="B18" s="344" t="s">
        <v>347</v>
      </c>
      <c r="C18" s="344" t="s">
        <v>342</v>
      </c>
      <c r="D18" s="345" t="s">
        <v>343</v>
      </c>
      <c r="E18" s="394">
        <v>5000</v>
      </c>
      <c r="F18" s="395">
        <v>2015</v>
      </c>
      <c r="G18" s="396" t="s">
        <v>344</v>
      </c>
      <c r="H18" s="344">
        <v>3.09</v>
      </c>
      <c r="I18" s="64" t="s">
        <v>412</v>
      </c>
      <c r="J18" s="347" t="s">
        <v>345</v>
      </c>
    </row>
    <row r="19" spans="1:12" ht="45" x14ac:dyDescent="0.25">
      <c r="A19" s="344">
        <v>4</v>
      </c>
      <c r="B19" s="344" t="s">
        <v>348</v>
      </c>
      <c r="C19" s="344" t="s">
        <v>342</v>
      </c>
      <c r="D19" s="345" t="s">
        <v>343</v>
      </c>
      <c r="E19" s="394">
        <v>5800</v>
      </c>
      <c r="F19" s="397">
        <v>2015</v>
      </c>
      <c r="G19" s="396" t="s">
        <v>344</v>
      </c>
      <c r="H19" s="344">
        <v>15.45</v>
      </c>
      <c r="I19" s="64" t="s">
        <v>412</v>
      </c>
      <c r="J19" s="347" t="s">
        <v>345</v>
      </c>
    </row>
    <row r="20" spans="1:12" ht="45" x14ac:dyDescent="0.25">
      <c r="A20" s="409">
        <v>7</v>
      </c>
      <c r="B20" s="409" t="s">
        <v>356</v>
      </c>
      <c r="C20" s="409" t="s">
        <v>353</v>
      </c>
      <c r="D20" s="410" t="s">
        <v>357</v>
      </c>
      <c r="E20" s="411">
        <v>7400</v>
      </c>
      <c r="F20" s="412">
        <v>2015</v>
      </c>
      <c r="G20" s="413" t="s">
        <v>358</v>
      </c>
      <c r="H20" s="409">
        <v>4.57</v>
      </c>
      <c r="I20" s="64" t="s">
        <v>412</v>
      </c>
      <c r="J20" s="414" t="s">
        <v>345</v>
      </c>
    </row>
    <row r="21" spans="1:12" ht="45" x14ac:dyDescent="0.25">
      <c r="A21" s="344">
        <v>9</v>
      </c>
      <c r="B21" s="344" t="s">
        <v>362</v>
      </c>
      <c r="C21" s="344" t="s">
        <v>353</v>
      </c>
      <c r="D21" s="345" t="s">
        <v>363</v>
      </c>
      <c r="E21" s="394">
        <v>3000</v>
      </c>
      <c r="F21" s="395">
        <v>2016</v>
      </c>
      <c r="G21" s="396" t="s">
        <v>364</v>
      </c>
      <c r="H21" s="344">
        <v>1.85</v>
      </c>
      <c r="I21" s="71" t="s">
        <v>412</v>
      </c>
      <c r="J21" s="347" t="s">
        <v>345</v>
      </c>
    </row>
    <row r="22" spans="1:12" ht="30" x14ac:dyDescent="0.25">
      <c r="A22" s="344">
        <v>10</v>
      </c>
      <c r="B22" s="344"/>
      <c r="C22" s="402" t="s">
        <v>399</v>
      </c>
      <c r="D22" s="402" t="s">
        <v>400</v>
      </c>
      <c r="E22" s="394">
        <v>7400</v>
      </c>
      <c r="F22" s="395">
        <v>2017</v>
      </c>
      <c r="G22" s="402" t="s">
        <v>398</v>
      </c>
      <c r="H22" s="344">
        <f>(E22/$E$21)*$H$21</f>
        <v>4.5633333333333335</v>
      </c>
      <c r="I22" s="71" t="s">
        <v>412</v>
      </c>
      <c r="J22" s="347"/>
    </row>
    <row r="23" spans="1:12" ht="45" x14ac:dyDescent="0.25">
      <c r="A23" s="344">
        <v>11</v>
      </c>
      <c r="B23" s="344"/>
      <c r="C23" s="402" t="s">
        <v>402</v>
      </c>
      <c r="D23" s="402" t="s">
        <v>403</v>
      </c>
      <c r="E23" s="402">
        <v>9000</v>
      </c>
      <c r="F23" s="395">
        <v>2017</v>
      </c>
      <c r="G23" s="402" t="s">
        <v>401</v>
      </c>
      <c r="H23" s="344">
        <f t="shared" ref="H23:H24" si="0">(E23/$E$21)*$H$21</f>
        <v>5.5500000000000007</v>
      </c>
      <c r="I23" s="71" t="s">
        <v>412</v>
      </c>
      <c r="J23" s="347"/>
    </row>
    <row r="24" spans="1:12" ht="45" x14ac:dyDescent="0.25">
      <c r="A24" s="344">
        <v>12</v>
      </c>
      <c r="B24" s="344"/>
      <c r="C24" s="404" t="s">
        <v>407</v>
      </c>
      <c r="D24" s="73"/>
      <c r="E24" s="402">
        <v>100</v>
      </c>
      <c r="F24" s="395">
        <v>2017</v>
      </c>
      <c r="G24" s="402"/>
      <c r="H24" s="344">
        <f t="shared" si="0"/>
        <v>6.1666666666666668E-2</v>
      </c>
      <c r="I24" s="71" t="s">
        <v>412</v>
      </c>
      <c r="J24" s="73"/>
    </row>
    <row r="25" spans="1:12" ht="45" x14ac:dyDescent="0.25">
      <c r="A25" s="344">
        <v>13</v>
      </c>
      <c r="B25" s="404" t="s">
        <v>410</v>
      </c>
      <c r="C25" s="404" t="s">
        <v>408</v>
      </c>
      <c r="D25" s="404" t="s">
        <v>409</v>
      </c>
      <c r="E25" s="394">
        <v>100</v>
      </c>
      <c r="F25" s="395">
        <v>2017</v>
      </c>
      <c r="G25" s="402"/>
      <c r="H25" s="344">
        <f>(E25/$E$21)*$H$21</f>
        <v>6.1666666666666668E-2</v>
      </c>
      <c r="I25" s="71" t="s">
        <v>412</v>
      </c>
      <c r="J25" s="73"/>
    </row>
    <row r="26" spans="1:12" x14ac:dyDescent="0.25">
      <c r="A26" s="350">
        <v>14</v>
      </c>
      <c r="B26" s="350"/>
      <c r="C26" s="350"/>
      <c r="D26" s="351"/>
      <c r="E26" s="399">
        <v>31</v>
      </c>
      <c r="F26" s="400"/>
      <c r="G26" s="401"/>
      <c r="H26" s="350">
        <f>(E26/$E$21)*$H$21</f>
        <v>1.9116666666666667E-2</v>
      </c>
      <c r="I26" s="71" t="s">
        <v>412</v>
      </c>
    </row>
    <row r="27" spans="1:12" x14ac:dyDescent="0.25">
      <c r="E27" s="384">
        <f>SUM(E6:E26)</f>
        <v>81221</v>
      </c>
    </row>
    <row r="28" spans="1:12" x14ac:dyDescent="0.25">
      <c r="B28" s="28"/>
      <c r="C28" s="355" t="s">
        <v>304</v>
      </c>
      <c r="D28" s="356" t="s">
        <v>184</v>
      </c>
      <c r="E28" s="357">
        <f>SUM(E15:E21)</f>
        <v>34400</v>
      </c>
      <c r="F28" s="358" t="s">
        <v>387</v>
      </c>
      <c r="G28" s="28"/>
      <c r="H28" s="28"/>
      <c r="I28" s="28"/>
      <c r="J28" s="28"/>
      <c r="K28" s="28"/>
      <c r="L28" s="28"/>
    </row>
    <row r="29" spans="1:12" x14ac:dyDescent="0.25">
      <c r="A29" s="202"/>
      <c r="B29" s="64"/>
      <c r="C29" s="359"/>
      <c r="D29" s="359"/>
      <c r="E29" s="360">
        <f>E28/1000</f>
        <v>34.4</v>
      </c>
      <c r="F29" s="359" t="s">
        <v>114</v>
      </c>
      <c r="G29" s="64"/>
      <c r="H29" s="64"/>
      <c r="I29" s="64"/>
      <c r="J29" s="64"/>
      <c r="K29" s="28"/>
      <c r="L29" s="28"/>
    </row>
    <row r="30" spans="1:12" x14ac:dyDescent="0.25">
      <c r="A30" s="202"/>
      <c r="B30" s="64" t="s">
        <v>437</v>
      </c>
      <c r="C30" s="359"/>
      <c r="D30" s="359"/>
      <c r="E30" s="360"/>
      <c r="F30" s="359"/>
      <c r="G30" s="64"/>
      <c r="H30" s="64"/>
      <c r="I30" s="64"/>
      <c r="J30" s="64"/>
      <c r="K30" s="28"/>
      <c r="L30" s="28"/>
    </row>
    <row r="31" spans="1:12" ht="30" x14ac:dyDescent="0.25">
      <c r="A31" s="202"/>
      <c r="B31" s="386" t="s">
        <v>295</v>
      </c>
      <c r="C31" s="656" t="s">
        <v>391</v>
      </c>
      <c r="D31" s="656"/>
      <c r="E31" s="656"/>
      <c r="F31" s="656"/>
      <c r="G31" s="653" t="s">
        <v>432</v>
      </c>
      <c r="H31" s="654"/>
      <c r="I31" s="654"/>
      <c r="J31" s="655"/>
      <c r="K31" s="387" t="s">
        <v>396</v>
      </c>
      <c r="L31" s="28"/>
    </row>
    <row r="32" spans="1:12" x14ac:dyDescent="0.25">
      <c r="A32" s="202"/>
      <c r="B32" s="348">
        <v>2010</v>
      </c>
      <c r="C32" s="361">
        <f>SUM(E6:E10)</f>
        <v>1790</v>
      </c>
      <c r="D32" s="363" t="s">
        <v>388</v>
      </c>
      <c r="E32" s="385">
        <f>C32/1000</f>
        <v>1.79</v>
      </c>
      <c r="F32" s="73" t="s">
        <v>114</v>
      </c>
      <c r="G32" s="365">
        <v>800</v>
      </c>
      <c r="H32" s="364" t="s">
        <v>389</v>
      </c>
      <c r="I32" s="365">
        <f>G32*1000000</f>
        <v>800000000</v>
      </c>
      <c r="J32" s="364" t="s">
        <v>390</v>
      </c>
      <c r="K32" s="51">
        <f>J64</f>
        <v>7749.2536799999989</v>
      </c>
      <c r="L32" s="28"/>
    </row>
    <row r="33" spans="1:12" x14ac:dyDescent="0.25">
      <c r="A33" s="202"/>
      <c r="B33" s="348">
        <f>B32+1</f>
        <v>2011</v>
      </c>
      <c r="C33" s="361">
        <f>E12</f>
        <v>1100</v>
      </c>
      <c r="D33" s="363" t="s">
        <v>388</v>
      </c>
      <c r="E33" s="385">
        <f t="shared" ref="E33:E38" si="1">C33/1000</f>
        <v>1.1000000000000001</v>
      </c>
      <c r="F33" s="73" t="s">
        <v>114</v>
      </c>
      <c r="G33" s="366">
        <v>680</v>
      </c>
      <c r="H33" s="364" t="s">
        <v>390</v>
      </c>
      <c r="I33" s="365">
        <f t="shared" ref="I33:I39" si="2">G33*1000000</f>
        <v>680000000</v>
      </c>
      <c r="J33" s="364" t="s">
        <v>390</v>
      </c>
      <c r="K33" s="51">
        <f t="shared" ref="K33:K39" si="3">J65</f>
        <v>4762.1111999999994</v>
      </c>
      <c r="L33" s="28"/>
    </row>
    <row r="34" spans="1:12" x14ac:dyDescent="0.25">
      <c r="A34" s="202"/>
      <c r="B34" s="348">
        <f t="shared" ref="B34:B38" si="4">B33+1</f>
        <v>2012</v>
      </c>
      <c r="C34" s="345">
        <v>0</v>
      </c>
      <c r="D34" s="363" t="s">
        <v>388</v>
      </c>
      <c r="E34" s="385">
        <f t="shared" si="1"/>
        <v>0</v>
      </c>
      <c r="F34" s="73" t="s">
        <v>114</v>
      </c>
      <c r="G34" s="367">
        <v>0</v>
      </c>
      <c r="H34" s="364" t="s">
        <v>389</v>
      </c>
      <c r="I34" s="365">
        <f t="shared" si="2"/>
        <v>0</v>
      </c>
      <c r="J34" s="364" t="s">
        <v>390</v>
      </c>
      <c r="K34" s="51">
        <f t="shared" si="3"/>
        <v>0</v>
      </c>
      <c r="L34" s="28"/>
    </row>
    <row r="35" spans="1:12" x14ac:dyDescent="0.25">
      <c r="A35" s="202"/>
      <c r="B35" s="348">
        <f t="shared" si="4"/>
        <v>2013</v>
      </c>
      <c r="C35" s="362">
        <f>E13</f>
        <v>5300</v>
      </c>
      <c r="D35" s="363" t="s">
        <v>388</v>
      </c>
      <c r="E35" s="385">
        <f t="shared" si="1"/>
        <v>5.3</v>
      </c>
      <c r="F35" s="73" t="s">
        <v>114</v>
      </c>
      <c r="G35" s="367">
        <v>3.2</v>
      </c>
      <c r="H35" s="364" t="s">
        <v>389</v>
      </c>
      <c r="I35" s="365">
        <f t="shared" si="2"/>
        <v>3200000</v>
      </c>
      <c r="J35" s="364" t="s">
        <v>390</v>
      </c>
      <c r="K35" s="51">
        <f t="shared" si="3"/>
        <v>22944.717599999996</v>
      </c>
      <c r="L35" s="28"/>
    </row>
    <row r="36" spans="1:12" x14ac:dyDescent="0.25">
      <c r="A36" s="202"/>
      <c r="B36" s="348">
        <f t="shared" si="4"/>
        <v>2014</v>
      </c>
      <c r="C36" s="362">
        <f>E14</f>
        <v>8000</v>
      </c>
      <c r="D36" s="363" t="s">
        <v>388</v>
      </c>
      <c r="E36" s="385">
        <f t="shared" si="1"/>
        <v>8</v>
      </c>
      <c r="F36" s="73" t="s">
        <v>114</v>
      </c>
      <c r="G36" s="367">
        <v>172</v>
      </c>
      <c r="H36" s="364" t="s">
        <v>389</v>
      </c>
      <c r="I36" s="365">
        <f t="shared" si="2"/>
        <v>172000000</v>
      </c>
      <c r="J36" s="364" t="s">
        <v>390</v>
      </c>
      <c r="K36" s="51">
        <f t="shared" si="3"/>
        <v>34633.535999999993</v>
      </c>
      <c r="L36" s="28"/>
    </row>
    <row r="37" spans="1:12" x14ac:dyDescent="0.25">
      <c r="A37" s="202"/>
      <c r="B37" s="348">
        <f t="shared" si="4"/>
        <v>2015</v>
      </c>
      <c r="C37" s="362">
        <f>SUM(E15:E20)</f>
        <v>31400</v>
      </c>
      <c r="D37" s="363" t="s">
        <v>388</v>
      </c>
      <c r="E37" s="385">
        <f t="shared" si="1"/>
        <v>31.4</v>
      </c>
      <c r="F37" s="73" t="s">
        <v>114</v>
      </c>
      <c r="G37" s="367">
        <f>1.23+16.2+3.09+3.09+15.45+4.57</f>
        <v>43.63</v>
      </c>
      <c r="H37" s="364" t="s">
        <v>389</v>
      </c>
      <c r="I37" s="365">
        <f t="shared" si="2"/>
        <v>43630000</v>
      </c>
      <c r="J37" s="364" t="s">
        <v>390</v>
      </c>
      <c r="K37" s="51">
        <f t="shared" si="3"/>
        <v>135936.62879999998</v>
      </c>
      <c r="L37" s="28"/>
    </row>
    <row r="38" spans="1:12" x14ac:dyDescent="0.25">
      <c r="A38" s="202"/>
      <c r="B38" s="348">
        <f t="shared" si="4"/>
        <v>2016</v>
      </c>
      <c r="C38" s="362">
        <f>E21</f>
        <v>3000</v>
      </c>
      <c r="D38" s="363" t="s">
        <v>388</v>
      </c>
      <c r="E38" s="385">
        <f t="shared" si="1"/>
        <v>3</v>
      </c>
      <c r="F38" s="73" t="s">
        <v>114</v>
      </c>
      <c r="G38" s="367">
        <v>1.85</v>
      </c>
      <c r="H38" s="364" t="s">
        <v>389</v>
      </c>
      <c r="I38" s="365">
        <f t="shared" si="2"/>
        <v>1850000</v>
      </c>
      <c r="J38" s="364" t="s">
        <v>390</v>
      </c>
      <c r="K38" s="51">
        <f t="shared" si="3"/>
        <v>12987.575999999997</v>
      </c>
      <c r="L38" s="28"/>
    </row>
    <row r="39" spans="1:12" x14ac:dyDescent="0.25">
      <c r="A39" s="202"/>
      <c r="B39" s="345">
        <v>2017</v>
      </c>
      <c r="C39" s="362">
        <f>E11+E22+E23+E24+E25</f>
        <v>30600</v>
      </c>
      <c r="D39" s="364" t="s">
        <v>388</v>
      </c>
      <c r="E39" s="405">
        <f t="shared" ref="E39" si="5">C39/1000</f>
        <v>30.6</v>
      </c>
      <c r="F39" s="406" t="s">
        <v>114</v>
      </c>
      <c r="G39" s="367">
        <v>2.85</v>
      </c>
      <c r="H39" s="364" t="s">
        <v>389</v>
      </c>
      <c r="I39" s="365">
        <f t="shared" si="2"/>
        <v>2850000</v>
      </c>
      <c r="J39" s="364" t="s">
        <v>390</v>
      </c>
      <c r="K39" s="407">
        <f t="shared" si="3"/>
        <v>132473.27519999997</v>
      </c>
      <c r="L39" s="28"/>
    </row>
    <row r="40" spans="1:12" x14ac:dyDescent="0.25">
      <c r="A40" s="202"/>
      <c r="B40" s="388"/>
      <c r="C40" s="389"/>
      <c r="D40" s="390"/>
      <c r="E40" s="405"/>
      <c r="F40" s="406"/>
      <c r="G40" s="391"/>
      <c r="H40" s="364"/>
      <c r="I40" s="393"/>
      <c r="J40" s="392"/>
      <c r="K40" s="162"/>
      <c r="L40" s="28"/>
    </row>
    <row r="41" spans="1:12" x14ac:dyDescent="0.25">
      <c r="A41" s="202"/>
      <c r="B41" s="388"/>
      <c r="C41" s="389"/>
      <c r="D41" s="390"/>
      <c r="E41" s="476"/>
      <c r="F41" s="28"/>
      <c r="G41" s="391"/>
      <c r="H41" s="392"/>
      <c r="I41" s="393"/>
      <c r="J41" s="392"/>
      <c r="K41" s="162"/>
      <c r="L41" s="28"/>
    </row>
    <row r="42" spans="1:12" x14ac:dyDescent="0.25">
      <c r="A42" s="202"/>
      <c r="B42" s="352"/>
      <c r="C42" s="353"/>
      <c r="D42" s="353"/>
      <c r="E42" s="477">
        <f>SUM(E32:E39)</f>
        <v>81.19</v>
      </c>
      <c r="F42" s="353"/>
      <c r="G42" s="353"/>
      <c r="H42" s="354"/>
      <c r="I42" s="64"/>
      <c r="J42" s="64"/>
      <c r="K42" s="28"/>
      <c r="L42" s="28"/>
    </row>
    <row r="43" spans="1:12" ht="18.75" customHeight="1" x14ac:dyDescent="0.25">
      <c r="A43" s="202"/>
      <c r="B43" s="657" t="s">
        <v>438</v>
      </c>
      <c r="C43" s="658"/>
      <c r="D43" s="658"/>
      <c r="E43" s="658"/>
      <c r="F43" s="659"/>
      <c r="G43" s="353"/>
      <c r="H43" s="354"/>
      <c r="I43" s="64"/>
      <c r="J43" s="64"/>
      <c r="K43" s="28"/>
      <c r="L43" s="28"/>
    </row>
    <row r="44" spans="1:12" ht="24" customHeight="1" x14ac:dyDescent="0.25">
      <c r="A44" s="202"/>
      <c r="B44" s="348" t="str">
        <f>RUKD!D76</f>
        <v>EBT</v>
      </c>
      <c r="C44" s="348" t="str">
        <f>RUKD!E76</f>
        <v>Tahun</v>
      </c>
      <c r="D44" s="348" t="str">
        <f>RUKD!F76</f>
        <v>Jumlah MW</v>
      </c>
      <c r="E44" s="479" t="s">
        <v>439</v>
      </c>
      <c r="F44" s="348" t="str">
        <f>D44</f>
        <v>Jumlah MW</v>
      </c>
      <c r="G44" s="353"/>
      <c r="H44" s="354"/>
      <c r="I44" s="64"/>
      <c r="J44" s="64"/>
      <c r="K44" s="28"/>
      <c r="L44" s="28"/>
    </row>
    <row r="45" spans="1:12" x14ac:dyDescent="0.25">
      <c r="A45" s="202"/>
      <c r="B45" s="661" t="str">
        <f>RUKD!D77</f>
        <v>PLTM</v>
      </c>
      <c r="C45" s="348">
        <f>RUKD!E77</f>
        <v>2017</v>
      </c>
      <c r="D45" s="348">
        <f>RUKD!F77</f>
        <v>22</v>
      </c>
      <c r="E45" s="479"/>
      <c r="F45" s="348" t="e">
        <f>RUKD!#REF!</f>
        <v>#REF!</v>
      </c>
      <c r="G45" s="353"/>
      <c r="H45" s="354"/>
      <c r="I45" s="64"/>
      <c r="J45" s="64"/>
      <c r="K45" s="28"/>
      <c r="L45" s="28"/>
    </row>
    <row r="46" spans="1:12" x14ac:dyDescent="0.25">
      <c r="A46" s="202"/>
      <c r="B46" s="661"/>
      <c r="C46" s="348">
        <f>RUKD!E78</f>
        <v>2018</v>
      </c>
      <c r="D46" s="348">
        <f>RUKD!F78</f>
        <v>42.989999999999995</v>
      </c>
      <c r="E46" s="479"/>
      <c r="F46" s="348" t="e">
        <f>RUKD!#REF!</f>
        <v>#REF!</v>
      </c>
      <c r="G46" s="353"/>
      <c r="H46" s="354"/>
      <c r="I46" s="64"/>
      <c r="J46" s="64"/>
      <c r="K46" s="28"/>
      <c r="L46" s="28"/>
    </row>
    <row r="47" spans="1:12" x14ac:dyDescent="0.25">
      <c r="A47" s="202"/>
      <c r="B47" s="661"/>
      <c r="C47" s="348">
        <f>RUKD!E79</f>
        <v>2019</v>
      </c>
      <c r="D47" s="348">
        <f>RUKD!F79</f>
        <v>17.8</v>
      </c>
      <c r="E47" s="480">
        <v>1</v>
      </c>
      <c r="F47" s="348">
        <f>E47*D47</f>
        <v>17.8</v>
      </c>
      <c r="G47" s="353"/>
      <c r="H47" s="354"/>
      <c r="I47" s="64"/>
      <c r="J47" s="64"/>
      <c r="K47" s="28"/>
      <c r="L47" s="28"/>
    </row>
    <row r="48" spans="1:12" x14ac:dyDescent="0.25">
      <c r="A48" s="202"/>
      <c r="B48" s="661"/>
      <c r="C48" s="348">
        <f>RUKD!E80</f>
        <v>2020</v>
      </c>
      <c r="D48" s="348">
        <f>RUKD!F80</f>
        <v>41.82</v>
      </c>
      <c r="E48" s="480">
        <v>1</v>
      </c>
      <c r="F48" s="348">
        <f t="shared" ref="F48:F54" si="6">E48*D48</f>
        <v>41.82</v>
      </c>
      <c r="G48" s="353"/>
      <c r="H48" s="354"/>
      <c r="I48" s="64"/>
      <c r="J48" s="64"/>
      <c r="K48" s="28"/>
      <c r="L48" s="28"/>
    </row>
    <row r="49" spans="1:12" x14ac:dyDescent="0.25">
      <c r="A49" s="202"/>
      <c r="B49" s="661"/>
      <c r="C49" s="348">
        <f>RUKD!E81</f>
        <v>2021</v>
      </c>
      <c r="D49" s="348">
        <f>RUKD!F81</f>
        <v>63.88</v>
      </c>
      <c r="E49" s="480">
        <v>1</v>
      </c>
      <c r="F49" s="348">
        <f t="shared" si="6"/>
        <v>63.88</v>
      </c>
      <c r="G49" s="353"/>
      <c r="H49" s="354"/>
      <c r="I49" s="64"/>
      <c r="J49" s="64"/>
      <c r="K49" s="28"/>
      <c r="L49" s="28"/>
    </row>
    <row r="50" spans="1:12" x14ac:dyDescent="0.25">
      <c r="A50" s="202"/>
      <c r="B50" s="661"/>
      <c r="C50" s="348">
        <f>RUKD!E82</f>
        <v>2022</v>
      </c>
      <c r="D50" s="348">
        <f>RUKD!F82</f>
        <v>17.344000000000001</v>
      </c>
      <c r="E50" s="480">
        <v>1</v>
      </c>
      <c r="F50" s="348">
        <f t="shared" si="6"/>
        <v>17.344000000000001</v>
      </c>
      <c r="G50" s="353"/>
      <c r="H50" s="354"/>
      <c r="I50" s="64"/>
      <c r="J50" s="64"/>
      <c r="K50" s="28"/>
      <c r="L50" s="28"/>
    </row>
    <row r="51" spans="1:12" x14ac:dyDescent="0.25">
      <c r="A51" s="202"/>
      <c r="B51" s="661"/>
      <c r="C51" s="348">
        <f>RUKD!E83</f>
        <v>2025</v>
      </c>
      <c r="D51" s="348">
        <f>RUKD!F83</f>
        <v>23.4</v>
      </c>
      <c r="E51" s="480">
        <v>1</v>
      </c>
      <c r="F51" s="348">
        <f t="shared" si="6"/>
        <v>23.4</v>
      </c>
      <c r="G51" s="353"/>
      <c r="H51" s="354"/>
      <c r="I51" s="64"/>
      <c r="J51" s="64"/>
      <c r="K51" s="28"/>
      <c r="L51" s="28"/>
    </row>
    <row r="52" spans="1:12" x14ac:dyDescent="0.25">
      <c r="A52" s="202"/>
      <c r="B52" s="661"/>
      <c r="C52" s="348"/>
      <c r="D52" s="348"/>
      <c r="E52" s="479"/>
      <c r="F52" s="348"/>
      <c r="G52" s="353"/>
      <c r="H52" s="354"/>
      <c r="I52" s="64"/>
      <c r="J52" s="64"/>
      <c r="K52" s="28"/>
      <c r="L52" s="28"/>
    </row>
    <row r="53" spans="1:12" x14ac:dyDescent="0.25">
      <c r="A53" s="202"/>
      <c r="B53" s="662" t="str">
        <f>RUKD!D85</f>
        <v>PLTB</v>
      </c>
      <c r="C53" s="484">
        <f>RUKD!E85</f>
        <v>2019</v>
      </c>
      <c r="D53" s="484">
        <f>RUKD!F85</f>
        <v>100</v>
      </c>
      <c r="E53" s="485">
        <v>1</v>
      </c>
      <c r="F53" s="484">
        <f t="shared" si="6"/>
        <v>100</v>
      </c>
      <c r="G53" s="353"/>
      <c r="H53" s="354"/>
      <c r="I53" s="64"/>
      <c r="J53" s="64"/>
      <c r="K53" s="28"/>
      <c r="L53" s="28"/>
    </row>
    <row r="54" spans="1:12" x14ac:dyDescent="0.25">
      <c r="A54" s="202"/>
      <c r="B54" s="662"/>
      <c r="C54" s="484">
        <f>RUKD!E86</f>
        <v>2020</v>
      </c>
      <c r="D54" s="484">
        <f>RUKD!F86</f>
        <v>100</v>
      </c>
      <c r="E54" s="485">
        <v>1</v>
      </c>
      <c r="F54" s="484">
        <f t="shared" si="6"/>
        <v>100</v>
      </c>
      <c r="G54" s="353"/>
      <c r="H54" s="354"/>
      <c r="I54" s="64"/>
      <c r="J54" s="64"/>
      <c r="K54" s="28"/>
      <c r="L54" s="28"/>
    </row>
    <row r="55" spans="1:12" x14ac:dyDescent="0.25">
      <c r="A55" s="202"/>
      <c r="B55" s="662"/>
      <c r="C55" s="484"/>
      <c r="D55" s="484"/>
      <c r="E55" s="486"/>
      <c r="F55" s="484"/>
      <c r="G55" s="353"/>
      <c r="H55" s="354"/>
      <c r="I55" s="64"/>
      <c r="J55" s="64"/>
      <c r="K55" s="28"/>
      <c r="L55" s="28"/>
    </row>
    <row r="56" spans="1:12" x14ac:dyDescent="0.25">
      <c r="A56" s="202"/>
      <c r="B56" s="662" t="str">
        <f>RUKD!D88</f>
        <v>PLTSa</v>
      </c>
      <c r="C56" s="484">
        <f>RUKD!E88</f>
        <v>2019</v>
      </c>
      <c r="D56" s="484">
        <f>RUKD!F88</f>
        <v>10</v>
      </c>
      <c r="E56" s="486"/>
      <c r="F56" s="484" t="e">
        <f>RUKD!#REF!</f>
        <v>#REF!</v>
      </c>
      <c r="G56" s="353"/>
      <c r="H56" s="354"/>
      <c r="I56" s="64"/>
      <c r="J56" s="64"/>
      <c r="K56" s="28"/>
      <c r="L56" s="28"/>
    </row>
    <row r="57" spans="1:12" x14ac:dyDescent="0.25">
      <c r="A57" s="202"/>
      <c r="B57" s="662"/>
      <c r="C57" s="484"/>
      <c r="D57" s="484"/>
      <c r="E57" s="486"/>
      <c r="F57" s="484"/>
      <c r="G57" s="353"/>
      <c r="H57" s="354"/>
      <c r="I57" s="64"/>
      <c r="J57" s="64"/>
      <c r="K57" s="28"/>
      <c r="L57" s="28"/>
    </row>
    <row r="58" spans="1:12" x14ac:dyDescent="0.25">
      <c r="A58" s="202"/>
      <c r="B58" s="662" t="str">
        <f>RUKD!D90</f>
        <v>PLT PS</v>
      </c>
      <c r="C58" s="484">
        <f>RUKD!E90</f>
        <v>2021</v>
      </c>
      <c r="D58" s="484">
        <f>RUKD!F90</f>
        <v>520</v>
      </c>
      <c r="E58" s="486"/>
      <c r="F58" s="484" t="e">
        <f>RUKD!#REF!</f>
        <v>#REF!</v>
      </c>
      <c r="G58" s="353"/>
      <c r="H58" s="354"/>
      <c r="I58" s="64"/>
      <c r="J58" s="64"/>
      <c r="K58" s="28"/>
      <c r="L58" s="28"/>
    </row>
    <row r="59" spans="1:12" x14ac:dyDescent="0.25">
      <c r="A59" s="202"/>
      <c r="B59" s="662"/>
      <c r="C59" s="484">
        <f>RUKD!E91</f>
        <v>2022</v>
      </c>
      <c r="D59" s="484">
        <f>RUKD!F91</f>
        <v>520</v>
      </c>
      <c r="E59" s="486"/>
      <c r="F59" s="484" t="e">
        <f>RUKD!#REF!</f>
        <v>#REF!</v>
      </c>
      <c r="G59" s="353"/>
      <c r="H59" s="354"/>
      <c r="I59" s="64"/>
      <c r="J59" s="64"/>
      <c r="K59" s="28"/>
      <c r="L59" s="28"/>
    </row>
    <row r="60" spans="1:12" x14ac:dyDescent="0.25">
      <c r="A60" s="202"/>
      <c r="B60" s="352"/>
      <c r="C60" s="352"/>
      <c r="D60" s="352"/>
      <c r="E60" s="478"/>
      <c r="F60" s="352"/>
      <c r="G60" s="353"/>
      <c r="H60" s="354"/>
      <c r="I60" s="64"/>
      <c r="J60" s="64"/>
      <c r="K60" s="28"/>
      <c r="L60" s="28"/>
    </row>
    <row r="61" spans="1:12" x14ac:dyDescent="0.25">
      <c r="A61" s="202"/>
      <c r="B61" s="352"/>
      <c r="C61" s="353"/>
      <c r="D61" s="353"/>
      <c r="E61" s="477"/>
      <c r="F61" s="353"/>
      <c r="G61" s="353"/>
      <c r="H61" s="354"/>
      <c r="I61" s="64"/>
      <c r="J61" s="64"/>
      <c r="K61" s="28"/>
      <c r="L61" s="28"/>
    </row>
    <row r="62" spans="1:12" ht="27" customHeight="1" x14ac:dyDescent="0.25">
      <c r="A62" s="202"/>
      <c r="B62" s="660" t="s">
        <v>440</v>
      </c>
      <c r="C62" s="660"/>
      <c r="D62" s="660"/>
      <c r="E62" s="478"/>
      <c r="F62" s="352"/>
      <c r="G62" s="352"/>
      <c r="H62" s="352"/>
      <c r="I62" s="64"/>
      <c r="J62" s="64"/>
      <c r="K62" s="28"/>
      <c r="L62" s="28"/>
    </row>
    <row r="63" spans="1:12" ht="47.25" x14ac:dyDescent="0.25">
      <c r="A63" s="202"/>
      <c r="B63" s="470" t="s">
        <v>107</v>
      </c>
      <c r="C63" s="471" t="s">
        <v>108</v>
      </c>
      <c r="D63" s="471" t="s">
        <v>20</v>
      </c>
      <c r="E63" s="472" t="s">
        <v>21</v>
      </c>
      <c r="F63" s="473" t="s">
        <v>109</v>
      </c>
      <c r="G63" s="102" t="s">
        <v>110</v>
      </c>
      <c r="H63" s="101" t="s">
        <v>111</v>
      </c>
      <c r="I63" s="102" t="s">
        <v>112</v>
      </c>
      <c r="J63" s="101" t="s">
        <v>28</v>
      </c>
      <c r="K63" s="28"/>
      <c r="L63" s="28"/>
    </row>
    <row r="64" spans="1:12" ht="21" customHeight="1" x14ac:dyDescent="0.25">
      <c r="A64" s="71"/>
      <c r="B64" s="417">
        <f t="shared" ref="B64:B71" si="7">B32</f>
        <v>2010</v>
      </c>
      <c r="C64" s="652" t="s">
        <v>115</v>
      </c>
      <c r="D64" s="652" t="s">
        <v>116</v>
      </c>
      <c r="E64" s="652" t="s">
        <v>117</v>
      </c>
      <c r="F64" s="468">
        <f t="shared" ref="F64:F71" si="8">E32</f>
        <v>1.79</v>
      </c>
      <c r="G64" s="417">
        <f>0.7*365*24</f>
        <v>6131.9999999999991</v>
      </c>
      <c r="H64" s="466">
        <f>F64*G64</f>
        <v>10976.279999999999</v>
      </c>
      <c r="I64" s="425">
        <v>0.70599999999999996</v>
      </c>
      <c r="J64" s="467">
        <f>H64*I64</f>
        <v>7749.2536799999989</v>
      </c>
      <c r="K64" s="28"/>
      <c r="L64" s="28"/>
    </row>
    <row r="65" spans="1:12" ht="15.75" x14ac:dyDescent="0.25">
      <c r="A65" s="71"/>
      <c r="B65" s="417">
        <f t="shared" si="7"/>
        <v>2011</v>
      </c>
      <c r="C65" s="652"/>
      <c r="D65" s="652"/>
      <c r="E65" s="652"/>
      <c r="F65" s="468">
        <f t="shared" si="8"/>
        <v>1.1000000000000001</v>
      </c>
      <c r="G65" s="417">
        <f t="shared" ref="G65:G84" si="9">0.7*365*24</f>
        <v>6131.9999999999991</v>
      </c>
      <c r="H65" s="466">
        <f t="shared" ref="H65:H69" si="10">F65*G65</f>
        <v>6745.2</v>
      </c>
      <c r="I65" s="425">
        <v>0.70599999999999996</v>
      </c>
      <c r="J65" s="467">
        <f t="shared" ref="J65:J69" si="11">H65*I65</f>
        <v>4762.1111999999994</v>
      </c>
      <c r="K65" s="28"/>
      <c r="L65" s="28"/>
    </row>
    <row r="66" spans="1:12" ht="15.75" x14ac:dyDescent="0.25">
      <c r="A66" s="71"/>
      <c r="B66" s="417">
        <f t="shared" si="7"/>
        <v>2012</v>
      </c>
      <c r="C66" s="652"/>
      <c r="D66" s="652"/>
      <c r="E66" s="652"/>
      <c r="F66" s="468">
        <f t="shared" si="8"/>
        <v>0</v>
      </c>
      <c r="G66" s="417">
        <f t="shared" si="9"/>
        <v>6131.9999999999991</v>
      </c>
      <c r="H66" s="466">
        <f t="shared" si="10"/>
        <v>0</v>
      </c>
      <c r="I66" s="425">
        <v>0.70599999999999996</v>
      </c>
      <c r="J66" s="467">
        <f t="shared" si="11"/>
        <v>0</v>
      </c>
      <c r="K66" s="28"/>
      <c r="L66" s="28"/>
    </row>
    <row r="67" spans="1:12" ht="15.75" x14ac:dyDescent="0.25">
      <c r="A67" s="71"/>
      <c r="B67" s="417">
        <f t="shared" si="7"/>
        <v>2013</v>
      </c>
      <c r="C67" s="652"/>
      <c r="D67" s="652"/>
      <c r="E67" s="652"/>
      <c r="F67" s="468">
        <f t="shared" si="8"/>
        <v>5.3</v>
      </c>
      <c r="G67" s="417">
        <f t="shared" si="9"/>
        <v>6131.9999999999991</v>
      </c>
      <c r="H67" s="466">
        <f t="shared" si="10"/>
        <v>32499.599999999995</v>
      </c>
      <c r="I67" s="425">
        <v>0.70599999999999996</v>
      </c>
      <c r="J67" s="467">
        <f t="shared" si="11"/>
        <v>22944.717599999996</v>
      </c>
      <c r="K67" s="28"/>
      <c r="L67" s="28"/>
    </row>
    <row r="68" spans="1:12" ht="15.75" x14ac:dyDescent="0.25">
      <c r="A68" s="71"/>
      <c r="B68" s="417">
        <f t="shared" si="7"/>
        <v>2014</v>
      </c>
      <c r="C68" s="652"/>
      <c r="D68" s="652"/>
      <c r="E68" s="652"/>
      <c r="F68" s="468">
        <f t="shared" si="8"/>
        <v>8</v>
      </c>
      <c r="G68" s="417">
        <f t="shared" si="9"/>
        <v>6131.9999999999991</v>
      </c>
      <c r="H68" s="466">
        <f t="shared" si="10"/>
        <v>49055.999999999993</v>
      </c>
      <c r="I68" s="425">
        <v>0.70599999999999996</v>
      </c>
      <c r="J68" s="467">
        <f t="shared" si="11"/>
        <v>34633.535999999993</v>
      </c>
      <c r="K68" s="28"/>
      <c r="L68" s="28"/>
    </row>
    <row r="69" spans="1:12" ht="15.75" customHeight="1" x14ac:dyDescent="0.25">
      <c r="A69" s="71"/>
      <c r="B69" s="417">
        <f t="shared" si="7"/>
        <v>2015</v>
      </c>
      <c r="C69" s="652"/>
      <c r="D69" s="652"/>
      <c r="E69" s="652"/>
      <c r="F69" s="468">
        <f t="shared" si="8"/>
        <v>31.4</v>
      </c>
      <c r="G69" s="417">
        <f t="shared" si="9"/>
        <v>6131.9999999999991</v>
      </c>
      <c r="H69" s="466">
        <f t="shared" si="10"/>
        <v>192544.79999999996</v>
      </c>
      <c r="I69" s="425">
        <v>0.70599999999999996</v>
      </c>
      <c r="J69" s="467">
        <f t="shared" si="11"/>
        <v>135936.62879999998</v>
      </c>
      <c r="K69" s="28"/>
      <c r="L69" s="28"/>
    </row>
    <row r="70" spans="1:12" ht="15.75" x14ac:dyDescent="0.25">
      <c r="A70" s="73"/>
      <c r="B70" s="417">
        <f t="shared" si="7"/>
        <v>2016</v>
      </c>
      <c r="C70" s="652"/>
      <c r="D70" s="652"/>
      <c r="E70" s="652"/>
      <c r="F70" s="468">
        <f t="shared" si="8"/>
        <v>3</v>
      </c>
      <c r="G70" s="417">
        <f t="shared" si="9"/>
        <v>6131.9999999999991</v>
      </c>
      <c r="H70" s="466">
        <f t="shared" ref="H70:H71" si="12">F70*G70</f>
        <v>18395.999999999996</v>
      </c>
      <c r="I70" s="425">
        <v>0.70599999999999996</v>
      </c>
      <c r="J70" s="467">
        <f t="shared" ref="J70:J71" si="13">H70*I70</f>
        <v>12987.575999999997</v>
      </c>
    </row>
    <row r="71" spans="1:12" ht="15.75" x14ac:dyDescent="0.25">
      <c r="A71" s="73"/>
      <c r="B71" s="417">
        <f t="shared" si="7"/>
        <v>2017</v>
      </c>
      <c r="C71" s="652"/>
      <c r="D71" s="652"/>
      <c r="E71" s="652"/>
      <c r="F71" s="468">
        <f t="shared" si="8"/>
        <v>30.6</v>
      </c>
      <c r="G71" s="417">
        <f t="shared" si="9"/>
        <v>6131.9999999999991</v>
      </c>
      <c r="H71" s="466">
        <f t="shared" si="12"/>
        <v>187639.19999999998</v>
      </c>
      <c r="I71" s="425">
        <v>0.70599999999999996</v>
      </c>
      <c r="J71" s="467">
        <f t="shared" si="13"/>
        <v>132473.27519999997</v>
      </c>
    </row>
    <row r="72" spans="1:12" x14ac:dyDescent="0.25">
      <c r="A72" s="73"/>
      <c r="B72" s="423">
        <f>B71+1</f>
        <v>2018</v>
      </c>
      <c r="C72" s="652"/>
      <c r="D72" s="652"/>
      <c r="E72" s="652"/>
      <c r="F72" s="469">
        <f>F47</f>
        <v>17.8</v>
      </c>
      <c r="G72" s="417">
        <f t="shared" si="9"/>
        <v>6131.9999999999991</v>
      </c>
      <c r="H72" s="466">
        <f t="shared" ref="H72:H75" si="14">F72*G72</f>
        <v>109149.59999999999</v>
      </c>
      <c r="I72" s="425">
        <v>0.70599999999999996</v>
      </c>
      <c r="J72" s="467">
        <f t="shared" ref="J72:J75" si="15">H72*I72</f>
        <v>77059.617599999983</v>
      </c>
    </row>
    <row r="73" spans="1:12" x14ac:dyDescent="0.25">
      <c r="A73" s="73"/>
      <c r="B73" s="423">
        <f t="shared" ref="B73:B84" si="16">B72+1</f>
        <v>2019</v>
      </c>
      <c r="C73" s="652"/>
      <c r="D73" s="652"/>
      <c r="E73" s="652"/>
      <c r="F73" s="469">
        <f>F48</f>
        <v>41.82</v>
      </c>
      <c r="G73" s="417">
        <f t="shared" si="9"/>
        <v>6131.9999999999991</v>
      </c>
      <c r="H73" s="466">
        <f t="shared" si="14"/>
        <v>256440.23999999996</v>
      </c>
      <c r="I73" s="425">
        <v>0.70599999999999996</v>
      </c>
      <c r="J73" s="467">
        <f t="shared" si="15"/>
        <v>181046.80943999995</v>
      </c>
    </row>
    <row r="74" spans="1:12" x14ac:dyDescent="0.25">
      <c r="A74" s="73"/>
      <c r="B74" s="423">
        <f t="shared" si="16"/>
        <v>2020</v>
      </c>
      <c r="C74" s="652"/>
      <c r="D74" s="652"/>
      <c r="E74" s="652"/>
      <c r="F74" s="469">
        <f>F49</f>
        <v>63.88</v>
      </c>
      <c r="G74" s="417">
        <f t="shared" si="9"/>
        <v>6131.9999999999991</v>
      </c>
      <c r="H74" s="466">
        <f t="shared" si="14"/>
        <v>391712.16</v>
      </c>
      <c r="I74" s="425">
        <v>0.70599999999999996</v>
      </c>
      <c r="J74" s="467">
        <f t="shared" si="15"/>
        <v>276548.78495999996</v>
      </c>
    </row>
    <row r="75" spans="1:12" x14ac:dyDescent="0.25">
      <c r="A75" s="73"/>
      <c r="B75" s="423">
        <f t="shared" si="16"/>
        <v>2021</v>
      </c>
      <c r="C75" s="652"/>
      <c r="D75" s="652"/>
      <c r="E75" s="652"/>
      <c r="F75" s="469">
        <f>F50</f>
        <v>17.344000000000001</v>
      </c>
      <c r="G75" s="417">
        <f t="shared" si="9"/>
        <v>6131.9999999999991</v>
      </c>
      <c r="H75" s="466">
        <f t="shared" si="14"/>
        <v>106353.408</v>
      </c>
      <c r="I75" s="425">
        <v>0.70599999999999996</v>
      </c>
      <c r="J75" s="467">
        <f t="shared" si="15"/>
        <v>75085.506047999996</v>
      </c>
    </row>
    <row r="76" spans="1:12" x14ac:dyDescent="0.25">
      <c r="A76" s="73"/>
      <c r="B76" s="423">
        <f t="shared" si="16"/>
        <v>2022</v>
      </c>
      <c r="C76" s="652"/>
      <c r="D76" s="652"/>
      <c r="E76" s="652"/>
      <c r="F76" s="469"/>
      <c r="G76" s="417">
        <f t="shared" si="9"/>
        <v>6131.9999999999991</v>
      </c>
      <c r="H76" s="466">
        <f t="shared" ref="H76:H83" si="17">F76*G76</f>
        <v>0</v>
      </c>
      <c r="I76" s="425">
        <v>0.70599999999999996</v>
      </c>
      <c r="J76" s="467">
        <f t="shared" ref="J76:J80" si="18">H76*I76</f>
        <v>0</v>
      </c>
    </row>
    <row r="77" spans="1:12" x14ac:dyDescent="0.25">
      <c r="A77" s="73"/>
      <c r="B77" s="423">
        <f t="shared" si="16"/>
        <v>2023</v>
      </c>
      <c r="C77" s="652"/>
      <c r="D77" s="652"/>
      <c r="E77" s="652"/>
      <c r="G77" s="417">
        <f t="shared" si="9"/>
        <v>6131.9999999999991</v>
      </c>
      <c r="H77" s="466">
        <f t="shared" si="17"/>
        <v>0</v>
      </c>
      <c r="I77" s="425">
        <v>0.70599999999999996</v>
      </c>
      <c r="J77" s="467">
        <f t="shared" si="18"/>
        <v>0</v>
      </c>
    </row>
    <row r="78" spans="1:12" x14ac:dyDescent="0.25">
      <c r="A78" s="73"/>
      <c r="B78" s="423">
        <f t="shared" si="16"/>
        <v>2024</v>
      </c>
      <c r="C78" s="652"/>
      <c r="D78" s="652"/>
      <c r="E78" s="652"/>
      <c r="F78" s="469">
        <f>F51</f>
        <v>23.4</v>
      </c>
      <c r="G78" s="417">
        <f t="shared" si="9"/>
        <v>6131.9999999999991</v>
      </c>
      <c r="H78" s="466">
        <f t="shared" si="17"/>
        <v>143488.79999999996</v>
      </c>
      <c r="I78" s="425">
        <v>0.70599999999999996</v>
      </c>
      <c r="J78" s="467">
        <f t="shared" si="18"/>
        <v>101303.09279999997</v>
      </c>
    </row>
    <row r="79" spans="1:12" x14ac:dyDescent="0.25">
      <c r="A79" s="73"/>
      <c r="B79" s="423">
        <f t="shared" si="16"/>
        <v>2025</v>
      </c>
      <c r="C79" s="652"/>
      <c r="D79" s="652"/>
      <c r="E79" s="652"/>
      <c r="F79" s="469"/>
      <c r="G79" s="417">
        <f t="shared" si="9"/>
        <v>6131.9999999999991</v>
      </c>
      <c r="H79" s="466">
        <f t="shared" si="17"/>
        <v>0</v>
      </c>
      <c r="I79" s="425">
        <v>0.70599999999999996</v>
      </c>
      <c r="J79" s="467">
        <f t="shared" si="18"/>
        <v>0</v>
      </c>
    </row>
    <row r="80" spans="1:12" x14ac:dyDescent="0.25">
      <c r="A80" s="73"/>
      <c r="B80" s="423">
        <f t="shared" si="16"/>
        <v>2026</v>
      </c>
      <c r="C80" s="652"/>
      <c r="D80" s="652"/>
      <c r="E80" s="652"/>
      <c r="F80" s="469"/>
      <c r="G80" s="417">
        <f t="shared" si="9"/>
        <v>6131.9999999999991</v>
      </c>
      <c r="H80" s="466">
        <f t="shared" si="17"/>
        <v>0</v>
      </c>
      <c r="I80" s="425">
        <v>0.70599999999999996</v>
      </c>
      <c r="J80" s="467">
        <f t="shared" si="18"/>
        <v>0</v>
      </c>
    </row>
    <row r="81" spans="1:10" x14ac:dyDescent="0.25">
      <c r="A81" s="73"/>
      <c r="B81" s="423">
        <f>B80+1</f>
        <v>2027</v>
      </c>
      <c r="C81" s="652"/>
      <c r="D81" s="652"/>
      <c r="E81" s="652"/>
      <c r="F81" s="469"/>
      <c r="G81" s="417">
        <f t="shared" si="9"/>
        <v>6131.9999999999991</v>
      </c>
      <c r="H81" s="466">
        <f t="shared" si="17"/>
        <v>0</v>
      </c>
      <c r="I81" s="425">
        <v>0.70599999999999996</v>
      </c>
      <c r="J81" s="467">
        <f t="shared" ref="J81:J82" si="19">H81*I81</f>
        <v>0</v>
      </c>
    </row>
    <row r="82" spans="1:10" x14ac:dyDescent="0.25">
      <c r="A82" s="73"/>
      <c r="B82" s="423">
        <f t="shared" si="16"/>
        <v>2028</v>
      </c>
      <c r="C82" s="652"/>
      <c r="D82" s="652"/>
      <c r="E82" s="652"/>
      <c r="F82" s="469"/>
      <c r="G82" s="417">
        <f t="shared" si="9"/>
        <v>6131.9999999999991</v>
      </c>
      <c r="H82" s="466">
        <f t="shared" si="17"/>
        <v>0</v>
      </c>
      <c r="I82" s="425">
        <v>0.70599999999999996</v>
      </c>
      <c r="J82" s="467">
        <f t="shared" si="19"/>
        <v>0</v>
      </c>
    </row>
    <row r="83" spans="1:10" x14ac:dyDescent="0.25">
      <c r="A83" s="73"/>
      <c r="B83" s="423">
        <f t="shared" si="16"/>
        <v>2029</v>
      </c>
      <c r="C83" s="652"/>
      <c r="D83" s="652"/>
      <c r="E83" s="652"/>
      <c r="F83" s="469"/>
      <c r="G83" s="417">
        <f t="shared" si="9"/>
        <v>6131.9999999999991</v>
      </c>
      <c r="H83" s="466">
        <f t="shared" si="17"/>
        <v>0</v>
      </c>
      <c r="I83" s="425">
        <v>0.70599999999999996</v>
      </c>
      <c r="J83" s="467">
        <f t="shared" ref="J83" si="20">H83*I83</f>
        <v>0</v>
      </c>
    </row>
    <row r="84" spans="1:10" x14ac:dyDescent="0.25">
      <c r="A84" s="73"/>
      <c r="B84" s="423">
        <f t="shared" si="16"/>
        <v>2030</v>
      </c>
      <c r="C84" s="652"/>
      <c r="D84" s="652"/>
      <c r="E84" s="652"/>
      <c r="F84" s="469"/>
      <c r="G84" s="417">
        <f t="shared" si="9"/>
        <v>6131.9999999999991</v>
      </c>
      <c r="H84" s="466">
        <f t="shared" ref="H84" si="21">F84*G84</f>
        <v>0</v>
      </c>
      <c r="I84" s="425">
        <v>0.70599999999999996</v>
      </c>
      <c r="J84" s="467">
        <f t="shared" ref="J84" si="22">H84*I84</f>
        <v>0</v>
      </c>
    </row>
    <row r="86" spans="1:10" ht="29.25" customHeight="1" x14ac:dyDescent="0.25">
      <c r="B86" s="660" t="s">
        <v>441</v>
      </c>
      <c r="C86" s="660"/>
      <c r="D86" s="660"/>
    </row>
    <row r="87" spans="1:10" ht="47.25" x14ac:dyDescent="0.25">
      <c r="B87" s="470" t="s">
        <v>107</v>
      </c>
      <c r="C87" s="471" t="s">
        <v>108</v>
      </c>
      <c r="D87" s="471" t="s">
        <v>20</v>
      </c>
      <c r="E87" s="472" t="s">
        <v>21</v>
      </c>
      <c r="F87" s="473" t="s">
        <v>109</v>
      </c>
      <c r="G87" s="102" t="s">
        <v>110</v>
      </c>
      <c r="H87" s="101" t="s">
        <v>111</v>
      </c>
      <c r="I87" s="102" t="s">
        <v>112</v>
      </c>
      <c r="J87" s="101" t="s">
        <v>28</v>
      </c>
    </row>
    <row r="88" spans="1:10" ht="15.75" customHeight="1" x14ac:dyDescent="0.25">
      <c r="B88" s="417">
        <v>2010</v>
      </c>
      <c r="C88" s="652" t="s">
        <v>115</v>
      </c>
      <c r="D88" s="652" t="s">
        <v>116</v>
      </c>
      <c r="E88" s="652" t="s">
        <v>117</v>
      </c>
      <c r="F88" s="474">
        <f>'REKAP TOTAL '!C5</f>
        <v>6.6400000000000001E-2</v>
      </c>
      <c r="G88" s="417">
        <f>0.7*365*24</f>
        <v>6131.9999999999991</v>
      </c>
      <c r="H88" s="466">
        <f>F88*G88</f>
        <v>407.16479999999996</v>
      </c>
      <c r="I88" s="425">
        <v>0.70599999999999996</v>
      </c>
      <c r="J88" s="467">
        <f>H88*I88</f>
        <v>287.45834879999995</v>
      </c>
    </row>
    <row r="89" spans="1:10" ht="15.75" x14ac:dyDescent="0.25">
      <c r="B89" s="417">
        <f>B88+1</f>
        <v>2011</v>
      </c>
      <c r="C89" s="652"/>
      <c r="D89" s="652"/>
      <c r="E89" s="652"/>
      <c r="F89" s="474">
        <f>'REKAP TOTAL '!C6</f>
        <v>1.6E-2</v>
      </c>
      <c r="G89" s="417">
        <f t="shared" ref="G89:G108" si="23">0.7*365*24</f>
        <v>6131.9999999999991</v>
      </c>
      <c r="H89" s="466">
        <f t="shared" ref="H89:H95" si="24">F89*G89</f>
        <v>98.111999999999981</v>
      </c>
      <c r="I89" s="425">
        <v>0.70599999999999996</v>
      </c>
      <c r="J89" s="467">
        <f t="shared" ref="J89:J95" si="25">H89*I89</f>
        <v>69.267071999999985</v>
      </c>
    </row>
    <row r="90" spans="1:10" ht="15.75" x14ac:dyDescent="0.25">
      <c r="B90" s="417">
        <f t="shared" ref="B90:B108" si="26">B89+1</f>
        <v>2012</v>
      </c>
      <c r="C90" s="652"/>
      <c r="D90" s="652"/>
      <c r="E90" s="652"/>
      <c r="F90" s="474">
        <f>'REKAP TOTAL '!C7</f>
        <v>1E-4</v>
      </c>
      <c r="G90" s="417">
        <f t="shared" si="23"/>
        <v>6131.9999999999991</v>
      </c>
      <c r="H90" s="466">
        <f t="shared" si="24"/>
        <v>0.61319999999999997</v>
      </c>
      <c r="I90" s="425">
        <v>0.70599999999999996</v>
      </c>
      <c r="J90" s="467">
        <f t="shared" si="25"/>
        <v>0.43291919999999995</v>
      </c>
    </row>
    <row r="91" spans="1:10" ht="15.75" x14ac:dyDescent="0.25">
      <c r="B91" s="417">
        <f t="shared" si="26"/>
        <v>2013</v>
      </c>
      <c r="C91" s="652"/>
      <c r="D91" s="652"/>
      <c r="E91" s="652"/>
      <c r="F91" s="474">
        <f>'REKAP TOTAL '!C8</f>
        <v>0</v>
      </c>
      <c r="G91" s="417">
        <f t="shared" si="23"/>
        <v>6131.9999999999991</v>
      </c>
      <c r="H91" s="466">
        <f t="shared" si="24"/>
        <v>0</v>
      </c>
      <c r="I91" s="425">
        <v>0.70599999999999996</v>
      </c>
      <c r="J91" s="467">
        <f t="shared" si="25"/>
        <v>0</v>
      </c>
    </row>
    <row r="92" spans="1:10" ht="15.75" x14ac:dyDescent="0.25">
      <c r="B92" s="417">
        <f t="shared" si="26"/>
        <v>2014</v>
      </c>
      <c r="C92" s="652"/>
      <c r="D92" s="652"/>
      <c r="E92" s="652"/>
      <c r="F92" s="474">
        <f>'REKAP TOTAL '!C9</f>
        <v>8</v>
      </c>
      <c r="G92" s="417">
        <f t="shared" si="23"/>
        <v>6131.9999999999991</v>
      </c>
      <c r="H92" s="466">
        <f t="shared" si="24"/>
        <v>49055.999999999993</v>
      </c>
      <c r="I92" s="425">
        <v>0.70599999999999996</v>
      </c>
      <c r="J92" s="467">
        <f t="shared" si="25"/>
        <v>34633.535999999993</v>
      </c>
    </row>
    <row r="93" spans="1:10" ht="15.75" x14ac:dyDescent="0.25">
      <c r="B93" s="417">
        <f t="shared" si="26"/>
        <v>2015</v>
      </c>
      <c r="C93" s="652"/>
      <c r="D93" s="652"/>
      <c r="E93" s="652"/>
      <c r="F93" s="474">
        <f>'REKAP TOTAL '!C10</f>
        <v>0</v>
      </c>
      <c r="G93" s="417">
        <f t="shared" si="23"/>
        <v>6131.9999999999991</v>
      </c>
      <c r="H93" s="466">
        <f t="shared" si="24"/>
        <v>0</v>
      </c>
      <c r="I93" s="425">
        <v>0.70599999999999996</v>
      </c>
      <c r="J93" s="467">
        <f t="shared" si="25"/>
        <v>0</v>
      </c>
    </row>
    <row r="94" spans="1:10" ht="15.75" x14ac:dyDescent="0.25">
      <c r="B94" s="417">
        <f t="shared" si="26"/>
        <v>2016</v>
      </c>
      <c r="C94" s="652"/>
      <c r="D94" s="652"/>
      <c r="E94" s="652"/>
      <c r="F94" s="474">
        <f>'REKAP TOTAL '!C11</f>
        <v>8</v>
      </c>
      <c r="G94" s="417">
        <f t="shared" si="23"/>
        <v>6131.9999999999991</v>
      </c>
      <c r="H94" s="466">
        <f t="shared" si="24"/>
        <v>49055.999999999993</v>
      </c>
      <c r="I94" s="425">
        <v>0.70599999999999996</v>
      </c>
      <c r="J94" s="467">
        <f t="shared" si="25"/>
        <v>34633.535999999993</v>
      </c>
    </row>
    <row r="95" spans="1:10" ht="15.75" x14ac:dyDescent="0.25">
      <c r="B95" s="417">
        <f t="shared" si="26"/>
        <v>2017</v>
      </c>
      <c r="C95" s="652"/>
      <c r="D95" s="652"/>
      <c r="E95" s="652"/>
      <c r="F95" s="474">
        <f>'REKAP TOTAL '!C12</f>
        <v>0.63</v>
      </c>
      <c r="G95" s="417">
        <f t="shared" si="23"/>
        <v>6131.9999999999991</v>
      </c>
      <c r="H95" s="466">
        <f t="shared" si="24"/>
        <v>3863.1599999999994</v>
      </c>
      <c r="I95" s="425">
        <v>0.70599999999999996</v>
      </c>
      <c r="J95" s="467">
        <f t="shared" si="25"/>
        <v>2727.3909599999993</v>
      </c>
    </row>
    <row r="96" spans="1:10" ht="15.75" x14ac:dyDescent="0.25">
      <c r="B96" s="417">
        <f t="shared" si="26"/>
        <v>2018</v>
      </c>
      <c r="C96" s="652"/>
      <c r="D96" s="652"/>
      <c r="E96" s="652"/>
      <c r="F96" s="474">
        <f>H96/G96</f>
        <v>8.153946510110895E-3</v>
      </c>
      <c r="G96" s="417">
        <f t="shared" si="23"/>
        <v>6131.9999999999991</v>
      </c>
      <c r="H96" s="466">
        <f>RUED!K14</f>
        <v>50</v>
      </c>
      <c r="I96" s="425">
        <v>0.70599999999999996</v>
      </c>
      <c r="J96" s="467">
        <f>H97*I96</f>
        <v>35.299999999999997</v>
      </c>
    </row>
    <row r="97" spans="2:10" ht="15.75" x14ac:dyDescent="0.25">
      <c r="B97" s="417">
        <f t="shared" si="26"/>
        <v>2019</v>
      </c>
      <c r="C97" s="652"/>
      <c r="D97" s="652"/>
      <c r="E97" s="652"/>
      <c r="F97" s="474">
        <f t="shared" ref="F97:F107" si="27">H97/G97</f>
        <v>8.153946510110895E-3</v>
      </c>
      <c r="G97" s="417">
        <f t="shared" si="23"/>
        <v>6131.9999999999991</v>
      </c>
      <c r="H97" s="466">
        <f>RUED!L14</f>
        <v>50</v>
      </c>
      <c r="I97" s="425">
        <v>0.70599999999999996</v>
      </c>
      <c r="J97" s="467">
        <f>H98*I97</f>
        <v>35.299999999999997</v>
      </c>
    </row>
    <row r="98" spans="2:10" ht="15.75" x14ac:dyDescent="0.25">
      <c r="B98" s="417">
        <f t="shared" si="26"/>
        <v>2020</v>
      </c>
      <c r="C98" s="652"/>
      <c r="D98" s="652"/>
      <c r="E98" s="652"/>
      <c r="F98" s="474">
        <f t="shared" si="27"/>
        <v>8.153946510110895E-3</v>
      </c>
      <c r="G98" s="417">
        <f t="shared" si="23"/>
        <v>6131.9999999999991</v>
      </c>
      <c r="H98" s="466">
        <f>RUED!M14</f>
        <v>50</v>
      </c>
      <c r="I98" s="425">
        <v>0.70599999999999996</v>
      </c>
      <c r="J98" s="467">
        <f t="shared" ref="J98:J107" si="28">H99*I98</f>
        <v>35.299999999999997</v>
      </c>
    </row>
    <row r="99" spans="2:10" ht="15.75" x14ac:dyDescent="0.25">
      <c r="B99" s="417">
        <f t="shared" si="26"/>
        <v>2021</v>
      </c>
      <c r="C99" s="652"/>
      <c r="D99" s="652"/>
      <c r="E99" s="652"/>
      <c r="F99" s="474">
        <f t="shared" si="27"/>
        <v>8.153946510110895E-3</v>
      </c>
      <c r="G99" s="417">
        <f t="shared" si="23"/>
        <v>6131.9999999999991</v>
      </c>
      <c r="H99" s="466">
        <f>RUED!N14</f>
        <v>50</v>
      </c>
      <c r="I99" s="425">
        <v>0.70599999999999996</v>
      </c>
      <c r="J99" s="467">
        <f t="shared" si="28"/>
        <v>35.299999999999997</v>
      </c>
    </row>
    <row r="100" spans="2:10" ht="15.75" x14ac:dyDescent="0.25">
      <c r="B100" s="417">
        <f t="shared" si="26"/>
        <v>2022</v>
      </c>
      <c r="C100" s="652"/>
      <c r="D100" s="652"/>
      <c r="E100" s="652"/>
      <c r="F100" s="474">
        <f t="shared" si="27"/>
        <v>8.153946510110895E-3</v>
      </c>
      <c r="G100" s="417">
        <f t="shared" si="23"/>
        <v>6131.9999999999991</v>
      </c>
      <c r="H100" s="466">
        <f>RUED!O14</f>
        <v>50</v>
      </c>
      <c r="I100" s="425">
        <v>0.70599999999999996</v>
      </c>
      <c r="J100" s="467">
        <f t="shared" si="28"/>
        <v>35.299999999999997</v>
      </c>
    </row>
    <row r="101" spans="2:10" ht="15.75" x14ac:dyDescent="0.25">
      <c r="B101" s="417">
        <f t="shared" si="26"/>
        <v>2023</v>
      </c>
      <c r="C101" s="652"/>
      <c r="D101" s="652"/>
      <c r="E101" s="652"/>
      <c r="F101" s="474">
        <f t="shared" si="27"/>
        <v>8.153946510110895E-3</v>
      </c>
      <c r="G101" s="417">
        <f t="shared" si="23"/>
        <v>6131.9999999999991</v>
      </c>
      <c r="H101" s="466">
        <f>RUED!P14</f>
        <v>50</v>
      </c>
      <c r="I101" s="425">
        <v>0.70599999999999996</v>
      </c>
      <c r="J101" s="467">
        <f t="shared" si="28"/>
        <v>35.299999999999997</v>
      </c>
    </row>
    <row r="102" spans="2:10" ht="15.75" x14ac:dyDescent="0.25">
      <c r="B102" s="417">
        <f t="shared" si="26"/>
        <v>2024</v>
      </c>
      <c r="C102" s="652"/>
      <c r="D102" s="652"/>
      <c r="E102" s="652"/>
      <c r="F102" s="474">
        <f t="shared" si="27"/>
        <v>8.153946510110895E-3</v>
      </c>
      <c r="G102" s="417">
        <f t="shared" si="23"/>
        <v>6131.9999999999991</v>
      </c>
      <c r="H102" s="466">
        <f>RUED!Q14</f>
        <v>50</v>
      </c>
      <c r="I102" s="425">
        <v>0.70599999999999996</v>
      </c>
      <c r="J102" s="467">
        <f t="shared" si="28"/>
        <v>35.299999999999997</v>
      </c>
    </row>
    <row r="103" spans="2:10" ht="15.75" x14ac:dyDescent="0.25">
      <c r="B103" s="417">
        <f t="shared" si="26"/>
        <v>2025</v>
      </c>
      <c r="C103" s="652"/>
      <c r="D103" s="652"/>
      <c r="E103" s="652"/>
      <c r="F103" s="474">
        <f t="shared" si="27"/>
        <v>8.153946510110895E-3</v>
      </c>
      <c r="G103" s="417">
        <f t="shared" si="23"/>
        <v>6131.9999999999991</v>
      </c>
      <c r="H103" s="466">
        <f>RUED!R14</f>
        <v>50</v>
      </c>
      <c r="I103" s="425">
        <v>0.70599999999999996</v>
      </c>
      <c r="J103" s="467">
        <f t="shared" si="28"/>
        <v>35.299999999999997</v>
      </c>
    </row>
    <row r="104" spans="2:10" ht="15.75" x14ac:dyDescent="0.25">
      <c r="B104" s="417">
        <f t="shared" si="26"/>
        <v>2026</v>
      </c>
      <c r="C104" s="652"/>
      <c r="D104" s="652"/>
      <c r="E104" s="652"/>
      <c r="F104" s="474">
        <f t="shared" si="27"/>
        <v>8.153946510110895E-3</v>
      </c>
      <c r="G104" s="417">
        <f t="shared" si="23"/>
        <v>6131.9999999999991</v>
      </c>
      <c r="H104" s="466">
        <f>RUED!S14</f>
        <v>50</v>
      </c>
      <c r="I104" s="425">
        <v>0.70599999999999996</v>
      </c>
      <c r="J104" s="467">
        <f t="shared" si="28"/>
        <v>35.299999999999997</v>
      </c>
    </row>
    <row r="105" spans="2:10" ht="15.75" x14ac:dyDescent="0.25">
      <c r="B105" s="417">
        <f t="shared" si="26"/>
        <v>2027</v>
      </c>
      <c r="C105" s="652"/>
      <c r="D105" s="652"/>
      <c r="E105" s="652"/>
      <c r="F105" s="474">
        <f t="shared" si="27"/>
        <v>8.153946510110895E-3</v>
      </c>
      <c r="G105" s="417">
        <f t="shared" si="23"/>
        <v>6131.9999999999991</v>
      </c>
      <c r="H105" s="466">
        <f>RUED!T14</f>
        <v>50</v>
      </c>
      <c r="I105" s="425">
        <v>0.70599999999999996</v>
      </c>
      <c r="J105" s="467">
        <f t="shared" si="28"/>
        <v>35.299999999999997</v>
      </c>
    </row>
    <row r="106" spans="2:10" ht="15.75" x14ac:dyDescent="0.25">
      <c r="B106" s="417">
        <f t="shared" si="26"/>
        <v>2028</v>
      </c>
      <c r="C106" s="652"/>
      <c r="D106" s="652"/>
      <c r="E106" s="652"/>
      <c r="F106" s="474">
        <f t="shared" si="27"/>
        <v>8.153946510110895E-3</v>
      </c>
      <c r="G106" s="417">
        <f t="shared" si="23"/>
        <v>6131.9999999999991</v>
      </c>
      <c r="H106" s="466">
        <f>RUED!U14</f>
        <v>50</v>
      </c>
      <c r="I106" s="425">
        <v>0.70599999999999996</v>
      </c>
      <c r="J106" s="467">
        <f t="shared" si="28"/>
        <v>35.299999999999997</v>
      </c>
    </row>
    <row r="107" spans="2:10" ht="15.75" x14ac:dyDescent="0.25">
      <c r="B107" s="417">
        <f t="shared" si="26"/>
        <v>2029</v>
      </c>
      <c r="C107" s="652"/>
      <c r="D107" s="652"/>
      <c r="E107" s="652"/>
      <c r="F107" s="474">
        <f t="shared" si="27"/>
        <v>8.153946510110895E-3</v>
      </c>
      <c r="G107" s="417">
        <f t="shared" si="23"/>
        <v>6131.9999999999991</v>
      </c>
      <c r="H107" s="466">
        <v>50</v>
      </c>
      <c r="I107" s="425">
        <v>0.70599999999999996</v>
      </c>
      <c r="J107" s="467">
        <f t="shared" si="28"/>
        <v>35.299999999999997</v>
      </c>
    </row>
    <row r="108" spans="2:10" ht="15.75" x14ac:dyDescent="0.25">
      <c r="B108" s="417">
        <f t="shared" si="26"/>
        <v>2030</v>
      </c>
      <c r="C108" s="652"/>
      <c r="D108" s="652"/>
      <c r="E108" s="652"/>
      <c r="F108" s="474">
        <f t="shared" ref="F108" si="29">H108/G108</f>
        <v>8.153946510110895E-3</v>
      </c>
      <c r="G108" s="417">
        <f t="shared" si="23"/>
        <v>6131.9999999999991</v>
      </c>
      <c r="H108" s="466">
        <v>50</v>
      </c>
      <c r="I108" s="425">
        <v>0.70599999999999996</v>
      </c>
      <c r="J108" s="467">
        <f t="shared" ref="J108" si="30">H109*I108</f>
        <v>0</v>
      </c>
    </row>
  </sheetData>
  <mergeCells count="23">
    <mergeCell ref="C88:C108"/>
    <mergeCell ref="D88:D108"/>
    <mergeCell ref="E88:E108"/>
    <mergeCell ref="G31:J31"/>
    <mergeCell ref="C31:F31"/>
    <mergeCell ref="D64:D84"/>
    <mergeCell ref="E64:E84"/>
    <mergeCell ref="B43:F43"/>
    <mergeCell ref="B86:D86"/>
    <mergeCell ref="B62:D62"/>
    <mergeCell ref="B45:B52"/>
    <mergeCell ref="B53:B55"/>
    <mergeCell ref="B56:B57"/>
    <mergeCell ref="B58:B59"/>
    <mergeCell ref="C64:C84"/>
    <mergeCell ref="H4:H5"/>
    <mergeCell ref="J4:J5"/>
    <mergeCell ref="A4:A5"/>
    <mergeCell ref="B4:B5"/>
    <mergeCell ref="C4:D4"/>
    <mergeCell ref="E4:E5"/>
    <mergeCell ref="F4:F5"/>
    <mergeCell ref="G4:G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25" zoomScaleNormal="25" workbookViewId="0">
      <selection activeCell="E13" sqref="E13"/>
    </sheetView>
  </sheetViews>
  <sheetFormatPr defaultRowHeight="15" x14ac:dyDescent="0.25"/>
  <cols>
    <col min="2" max="2" width="15.140625" customWidth="1"/>
    <col min="3" max="3" width="11.5703125" customWidth="1"/>
    <col min="5" max="5" width="12" bestFit="1" customWidth="1"/>
    <col min="7" max="7" width="10" customWidth="1"/>
    <col min="9" max="9" width="12.28515625" customWidth="1"/>
    <col min="12" max="13" width="9.140625" style="91"/>
    <col min="14" max="14" width="14.85546875" customWidth="1"/>
    <col min="15" max="15" width="11" customWidth="1"/>
    <col min="16" max="16" width="13.42578125" customWidth="1"/>
    <col min="18" max="18" width="10.28515625" bestFit="1" customWidth="1"/>
    <col min="19" max="20" width="10.28515625" style="91" customWidth="1"/>
    <col min="21" max="21" width="11.5703125" customWidth="1"/>
    <col min="22" max="22" width="10.7109375" customWidth="1"/>
    <col min="23" max="23" width="14.5703125" bestFit="1" customWidth="1"/>
    <col min="24" max="24" width="10" customWidth="1"/>
    <col min="25" max="25" width="14.7109375" bestFit="1" customWidth="1"/>
    <col min="26" max="26" width="13.140625" customWidth="1"/>
    <col min="27" max="27" width="20.28515625" style="91" bestFit="1" customWidth="1"/>
    <col min="28" max="28" width="10.140625" customWidth="1"/>
    <col min="29" max="29" width="16.42578125" style="91" bestFit="1" customWidth="1"/>
    <col min="30" max="30" width="10.5703125" customWidth="1"/>
    <col min="31" max="31" width="16.42578125" style="91" bestFit="1" customWidth="1"/>
    <col min="32" max="32" width="10.42578125" customWidth="1"/>
    <col min="33" max="33" width="17.28515625" style="91" bestFit="1" customWidth="1"/>
    <col min="34" max="34" width="12.7109375" customWidth="1"/>
    <col min="35" max="35" width="20.28515625" style="91" bestFit="1" customWidth="1"/>
    <col min="36" max="36" width="20.28515625" style="91" customWidth="1"/>
    <col min="37" max="37" width="10.5703125" customWidth="1"/>
    <col min="38" max="38" width="16.42578125" style="91" bestFit="1" customWidth="1"/>
    <col min="39" max="39" width="11.42578125" customWidth="1"/>
    <col min="40" max="40" width="17.42578125" style="91" bestFit="1" customWidth="1"/>
    <col min="41" max="41" width="10.140625" customWidth="1"/>
    <col min="42" max="42" width="13.42578125" style="91" customWidth="1"/>
    <col min="43" max="43" width="17.42578125" style="91" bestFit="1" customWidth="1"/>
    <col min="44" max="44" width="10.140625" customWidth="1"/>
    <col min="45" max="45" width="12.140625" style="91" customWidth="1"/>
    <col min="46" max="46" width="16.42578125" bestFit="1" customWidth="1"/>
    <col min="47" max="47" width="13.5703125" customWidth="1"/>
    <col min="48" max="49" width="14.28515625" customWidth="1"/>
    <col min="50" max="50" width="13" customWidth="1"/>
  </cols>
  <sheetData>
    <row r="1" spans="1:50" x14ac:dyDescent="0.25">
      <c r="A1" s="11" t="s">
        <v>32</v>
      </c>
    </row>
    <row r="3" spans="1:50" x14ac:dyDescent="0.25">
      <c r="U3" t="s">
        <v>225</v>
      </c>
    </row>
    <row r="4" spans="1:50" ht="24" customHeight="1" x14ac:dyDescent="0.25">
      <c r="A4" s="665" t="s">
        <v>5</v>
      </c>
      <c r="B4" s="665" t="s">
        <v>209</v>
      </c>
      <c r="C4" s="665"/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  <c r="Q4" s="12"/>
      <c r="U4" s="666" t="s">
        <v>5</v>
      </c>
      <c r="V4" s="667" t="s">
        <v>193</v>
      </c>
      <c r="W4" s="667"/>
      <c r="X4" s="667" t="s">
        <v>191</v>
      </c>
      <c r="Y4" s="667"/>
      <c r="Z4" s="667" t="s">
        <v>192</v>
      </c>
      <c r="AA4" s="667"/>
      <c r="AB4" s="667" t="s">
        <v>186</v>
      </c>
      <c r="AC4" s="667"/>
      <c r="AD4" s="667" t="s">
        <v>195</v>
      </c>
      <c r="AE4" s="667"/>
      <c r="AF4" s="667" t="s">
        <v>196</v>
      </c>
      <c r="AG4" s="667"/>
      <c r="AH4" s="667" t="s">
        <v>197</v>
      </c>
      <c r="AI4" s="667"/>
      <c r="AJ4" s="666" t="s">
        <v>5</v>
      </c>
      <c r="AK4" s="667" t="s">
        <v>194</v>
      </c>
      <c r="AL4" s="667"/>
      <c r="AM4" s="667" t="s">
        <v>187</v>
      </c>
      <c r="AN4" s="667"/>
      <c r="AO4" s="667" t="s">
        <v>8</v>
      </c>
      <c r="AP4" s="667"/>
      <c r="AQ4" s="667"/>
      <c r="AR4" s="667" t="s">
        <v>182</v>
      </c>
      <c r="AS4" s="667"/>
      <c r="AT4" s="667"/>
      <c r="AU4" s="667" t="s">
        <v>227</v>
      </c>
      <c r="AV4" s="667"/>
    </row>
    <row r="5" spans="1:50" ht="53.25" customHeight="1" x14ac:dyDescent="0.25">
      <c r="A5" s="665"/>
      <c r="B5" s="15" t="s">
        <v>33</v>
      </c>
      <c r="C5" s="16" t="s">
        <v>193</v>
      </c>
      <c r="D5" s="16" t="s">
        <v>191</v>
      </c>
      <c r="E5" s="16" t="s">
        <v>192</v>
      </c>
      <c r="F5" s="16" t="s">
        <v>186</v>
      </c>
      <c r="G5" s="16" t="s">
        <v>195</v>
      </c>
      <c r="H5" s="16" t="s">
        <v>196</v>
      </c>
      <c r="I5" s="16" t="s">
        <v>197</v>
      </c>
      <c r="J5" s="16" t="s">
        <v>194</v>
      </c>
      <c r="K5" s="16" t="s">
        <v>187</v>
      </c>
      <c r="L5" s="16" t="s">
        <v>8</v>
      </c>
      <c r="M5" s="16" t="s">
        <v>182</v>
      </c>
      <c r="N5" s="16" t="s">
        <v>34</v>
      </c>
      <c r="O5" s="177" t="s">
        <v>35</v>
      </c>
      <c r="P5" s="16" t="s">
        <v>36</v>
      </c>
      <c r="Q5" s="12"/>
      <c r="U5" s="666"/>
      <c r="V5" s="81" t="s">
        <v>226</v>
      </c>
      <c r="W5" s="81" t="s">
        <v>231</v>
      </c>
      <c r="X5" s="81" t="s">
        <v>226</v>
      </c>
      <c r="Y5" s="81" t="s">
        <v>231</v>
      </c>
      <c r="Z5" s="81" t="s">
        <v>226</v>
      </c>
      <c r="AA5" s="81" t="s">
        <v>231</v>
      </c>
      <c r="AB5" s="81" t="s">
        <v>226</v>
      </c>
      <c r="AC5" s="81" t="s">
        <v>231</v>
      </c>
      <c r="AD5" s="81" t="s">
        <v>226</v>
      </c>
      <c r="AE5" s="81" t="s">
        <v>231</v>
      </c>
      <c r="AF5" s="81" t="s">
        <v>226</v>
      </c>
      <c r="AG5" s="81" t="s">
        <v>231</v>
      </c>
      <c r="AH5" s="81" t="s">
        <v>226</v>
      </c>
      <c r="AI5" s="81" t="s">
        <v>231</v>
      </c>
      <c r="AJ5" s="666"/>
      <c r="AK5" s="81" t="s">
        <v>226</v>
      </c>
      <c r="AL5" s="81" t="s">
        <v>231</v>
      </c>
      <c r="AM5" s="81" t="s">
        <v>226</v>
      </c>
      <c r="AN5" s="81" t="s">
        <v>231</v>
      </c>
      <c r="AO5" s="81" t="s">
        <v>226</v>
      </c>
      <c r="AP5" s="81" t="s">
        <v>230</v>
      </c>
      <c r="AQ5" s="81" t="s">
        <v>231</v>
      </c>
      <c r="AR5" s="81" t="s">
        <v>226</v>
      </c>
      <c r="AS5" s="81" t="s">
        <v>230</v>
      </c>
      <c r="AT5" s="81" t="s">
        <v>231</v>
      </c>
      <c r="AU5" s="81" t="s">
        <v>226</v>
      </c>
      <c r="AV5" s="81" t="s">
        <v>231</v>
      </c>
      <c r="AW5" s="663" t="s">
        <v>233</v>
      </c>
      <c r="AX5" s="663"/>
    </row>
    <row r="6" spans="1:50" x14ac:dyDescent="0.25">
      <c r="A6" s="41">
        <v>2010</v>
      </c>
      <c r="B6" s="43">
        <v>14140297.722800002</v>
      </c>
      <c r="C6" s="53">
        <f>'REKAP TOTAL '!K5</f>
        <v>0</v>
      </c>
      <c r="D6" s="53">
        <f>'REKAP TOTAL '!Q5</f>
        <v>7749.2536799999989</v>
      </c>
      <c r="E6" s="53">
        <f>'REKAP TOTAL '!R5</f>
        <v>287.45834879999995</v>
      </c>
      <c r="F6" s="53" t="e">
        <f>'REKAP TOTAL '!#REF!</f>
        <v>#REF!</v>
      </c>
      <c r="G6" s="53" t="e">
        <f>'REKAP TOTAL '!#REF!</f>
        <v>#REF!</v>
      </c>
      <c r="H6" s="53" t="e">
        <f>'REKAP TOTAL '!#REF!</f>
        <v>#REF!</v>
      </c>
      <c r="I6" s="53" t="e">
        <f>'REKAP TOTAL '!#REF!</f>
        <v>#REF!</v>
      </c>
      <c r="J6" s="53" t="e">
        <f>'REKAP TOTAL '!#REF!</f>
        <v>#REF!</v>
      </c>
      <c r="K6" s="53">
        <f>'REKAP TOTAL '!S5</f>
        <v>0</v>
      </c>
      <c r="L6" s="176">
        <f>'REKAP TOTAL '!X5</f>
        <v>11094.056535599999</v>
      </c>
      <c r="M6" s="178">
        <f>'REKAP TOTAL '!Y5</f>
        <v>0</v>
      </c>
      <c r="N6" s="52" t="e">
        <f t="shared" ref="N6:N11" si="0">SUM(C6:M6)</f>
        <v>#REF!</v>
      </c>
      <c r="O6" s="179" t="e">
        <f>N6</f>
        <v>#REF!</v>
      </c>
      <c r="P6" s="179" t="e">
        <f t="shared" ref="P6:P25" si="1">B6-O6</f>
        <v>#REF!</v>
      </c>
      <c r="Q6" s="12"/>
      <c r="R6" s="155"/>
      <c r="S6" s="155"/>
      <c r="T6" s="155"/>
      <c r="U6" s="41">
        <v>2010</v>
      </c>
      <c r="V6" s="51">
        <f>C6</f>
        <v>0</v>
      </c>
      <c r="W6" s="73">
        <v>0</v>
      </c>
      <c r="X6" s="51">
        <f>D6</f>
        <v>7749.2536799999989</v>
      </c>
      <c r="Y6" s="73">
        <v>0</v>
      </c>
      <c r="Z6" s="51">
        <f>E6</f>
        <v>287.45834879999995</v>
      </c>
      <c r="AA6" s="73">
        <v>0</v>
      </c>
      <c r="AB6" s="51" t="e">
        <f>F6</f>
        <v>#REF!</v>
      </c>
      <c r="AC6" s="73">
        <v>0</v>
      </c>
      <c r="AD6" s="51" t="e">
        <f>G6</f>
        <v>#REF!</v>
      </c>
      <c r="AE6" s="73">
        <v>0</v>
      </c>
      <c r="AF6" s="51" t="e">
        <f>H6</f>
        <v>#REF!</v>
      </c>
      <c r="AG6" s="73">
        <v>0</v>
      </c>
      <c r="AH6" s="51" t="e">
        <f>I6</f>
        <v>#REF!</v>
      </c>
      <c r="AI6" s="73">
        <v>0</v>
      </c>
      <c r="AJ6" s="41">
        <v>2010</v>
      </c>
      <c r="AK6" s="51" t="e">
        <f>J6</f>
        <v>#REF!</v>
      </c>
      <c r="AL6" s="73">
        <v>0</v>
      </c>
      <c r="AM6" s="51">
        <f>K6</f>
        <v>0</v>
      </c>
      <c r="AN6" s="73">
        <v>0</v>
      </c>
      <c r="AO6" s="51">
        <f>L6</f>
        <v>11094.056535599999</v>
      </c>
      <c r="AP6" s="73">
        <v>0</v>
      </c>
      <c r="AQ6" s="51">
        <v>0</v>
      </c>
      <c r="AR6" s="51">
        <f>M6</f>
        <v>0</v>
      </c>
      <c r="AS6" s="73">
        <v>0</v>
      </c>
      <c r="AT6" s="51">
        <v>0</v>
      </c>
      <c r="AU6" s="51" t="e">
        <f>N6</f>
        <v>#REF!</v>
      </c>
      <c r="AV6" s="189">
        <f t="shared" ref="AV6:AV26" si="2">W6+Y6+AA6+AC6+AE6+AG6+AI6+AL6+AN6+AQ6+AT6</f>
        <v>0</v>
      </c>
      <c r="AW6" s="196" t="e">
        <f>AK6+AM6+AO6+AR6+AH6+AF6+AD6+AB6+Z6+X6+V6</f>
        <v>#REF!</v>
      </c>
      <c r="AX6" s="196">
        <f>AL6+AN6+AQ6+AT6+AI6+AG6+AE6+AC6+AA6+Y6+W6</f>
        <v>0</v>
      </c>
    </row>
    <row r="7" spans="1:50" x14ac:dyDescent="0.25">
      <c r="A7" s="41">
        <v>2011</v>
      </c>
      <c r="B7" s="43">
        <v>15242224.488288</v>
      </c>
      <c r="C7" s="53">
        <f>'REKAP TOTAL '!K6</f>
        <v>254</v>
      </c>
      <c r="D7" s="53">
        <f>'REKAP TOTAL '!Q6</f>
        <v>4762.1111999999994</v>
      </c>
      <c r="E7" s="53">
        <f>'REKAP TOTAL '!R6</f>
        <v>69.267071999999985</v>
      </c>
      <c r="F7" s="53" t="e">
        <f>'REKAP TOTAL '!#REF!</f>
        <v>#REF!</v>
      </c>
      <c r="G7" s="53" t="e">
        <f>'REKAP TOTAL '!#REF!</f>
        <v>#REF!</v>
      </c>
      <c r="H7" s="53" t="e">
        <f>'REKAP TOTAL '!#REF!</f>
        <v>#REF!</v>
      </c>
      <c r="I7" s="53" t="e">
        <f>'REKAP TOTAL '!#REF!</f>
        <v>#REF!</v>
      </c>
      <c r="J7" s="53" t="e">
        <f>'REKAP TOTAL '!#REF!</f>
        <v>#REF!</v>
      </c>
      <c r="K7" s="53">
        <f>'REKAP TOTAL '!S6</f>
        <v>0</v>
      </c>
      <c r="L7" s="176">
        <f>'REKAP TOTAL '!X6</f>
        <v>11094.056535599999</v>
      </c>
      <c r="M7" s="178">
        <f>'REKAP TOTAL '!Y6</f>
        <v>4.0776048000000005</v>
      </c>
      <c r="N7" s="52" t="e">
        <f t="shared" si="0"/>
        <v>#REF!</v>
      </c>
      <c r="O7" s="179" t="e">
        <f>O6+N7</f>
        <v>#REF!</v>
      </c>
      <c r="P7" s="179" t="e">
        <f t="shared" si="1"/>
        <v>#REF!</v>
      </c>
      <c r="Q7" s="12"/>
      <c r="R7" s="155"/>
      <c r="S7" s="155"/>
      <c r="T7" s="155"/>
      <c r="U7" s="41">
        <v>2011</v>
      </c>
      <c r="V7" s="51">
        <f>V6+C7</f>
        <v>254</v>
      </c>
      <c r="W7" s="73">
        <v>0</v>
      </c>
      <c r="X7" s="51">
        <f t="shared" ref="X7:X26" si="3">X6+D7</f>
        <v>12511.364879999997</v>
      </c>
      <c r="Y7" s="73">
        <v>0</v>
      </c>
      <c r="Z7" s="51">
        <f t="shared" ref="Z7:Z26" si="4">Z6+E7</f>
        <v>356.72542079999994</v>
      </c>
      <c r="AA7" s="73">
        <v>0</v>
      </c>
      <c r="AB7" s="51" t="e">
        <f t="shared" ref="AB7:AB26" si="5">AB6+F7</f>
        <v>#REF!</v>
      </c>
      <c r="AC7" s="73">
        <v>0</v>
      </c>
      <c r="AD7" s="51" t="e">
        <f t="shared" ref="AD7:AD26" si="6">AD6+G7</f>
        <v>#REF!</v>
      </c>
      <c r="AE7" s="73">
        <v>0</v>
      </c>
      <c r="AF7" s="51" t="e">
        <f t="shared" ref="AF7:AF26" si="7">AF6+H7</f>
        <v>#REF!</v>
      </c>
      <c r="AG7" s="73">
        <v>0</v>
      </c>
      <c r="AH7" s="51" t="e">
        <f t="shared" ref="AH7:AH26" si="8">AH6+I7</f>
        <v>#REF!</v>
      </c>
      <c r="AI7" s="73">
        <v>0</v>
      </c>
      <c r="AJ7" s="41">
        <v>2011</v>
      </c>
      <c r="AK7" s="51" t="e">
        <f t="shared" ref="AK7:AK26" si="9">AK6+J7</f>
        <v>#REF!</v>
      </c>
      <c r="AL7" s="73">
        <v>0</v>
      </c>
      <c r="AM7" s="51">
        <f t="shared" ref="AM7:AM26" si="10">AM6+K7</f>
        <v>0</v>
      </c>
      <c r="AN7" s="73">
        <v>0</v>
      </c>
      <c r="AO7" s="51">
        <f t="shared" ref="AO7:AO26" si="11">AO6+L7</f>
        <v>22188.113071199998</v>
      </c>
      <c r="AP7" s="73">
        <v>0</v>
      </c>
      <c r="AQ7" s="51">
        <v>0</v>
      </c>
      <c r="AR7" s="51">
        <f t="shared" ref="AR7:AR26" si="12">AR6+M7</f>
        <v>4.0776048000000005</v>
      </c>
      <c r="AS7" s="73">
        <v>1458000</v>
      </c>
      <c r="AT7" s="51">
        <v>95.801301005322301</v>
      </c>
      <c r="AU7" s="51" t="e">
        <f>AU6+N7</f>
        <v>#REF!</v>
      </c>
      <c r="AV7" s="189">
        <f t="shared" si="2"/>
        <v>95.801301005322301</v>
      </c>
      <c r="AW7" s="196" t="e">
        <f t="shared" ref="AW7:AW26" si="13">AK7+AM7+AO7+AR7+AH7+AF7+AD7+AB7+Z7+X7+V7</f>
        <v>#REF!</v>
      </c>
      <c r="AX7" s="196">
        <f t="shared" ref="AX7:AX26" si="14">AL7+AN7+AQ7+AT7+AI7+AG7+AE7+AC7+AA7+Y7+W7</f>
        <v>95.801301005322301</v>
      </c>
    </row>
    <row r="8" spans="1:50" x14ac:dyDescent="0.25">
      <c r="A8" s="42">
        <v>2012</v>
      </c>
      <c r="B8" s="43">
        <v>16352477.988976004</v>
      </c>
      <c r="C8" s="53">
        <f>'REKAP TOTAL '!K7</f>
        <v>255</v>
      </c>
      <c r="D8" s="53">
        <f>'REKAP TOTAL '!Q7</f>
        <v>0</v>
      </c>
      <c r="E8" s="53">
        <f>'REKAP TOTAL '!R7</f>
        <v>0.43291919999999995</v>
      </c>
      <c r="F8" s="53" t="e">
        <f>'REKAP TOTAL '!#REF!</f>
        <v>#REF!</v>
      </c>
      <c r="G8" s="53" t="e">
        <f>'REKAP TOTAL '!#REF!</f>
        <v>#REF!</v>
      </c>
      <c r="H8" s="53" t="e">
        <f>'REKAP TOTAL '!#REF!</f>
        <v>#REF!</v>
      </c>
      <c r="I8" s="53" t="e">
        <f>'REKAP TOTAL '!#REF!</f>
        <v>#REF!</v>
      </c>
      <c r="J8" s="53" t="e">
        <f>'REKAP TOTAL '!#REF!</f>
        <v>#REF!</v>
      </c>
      <c r="K8" s="53">
        <f>'REKAP TOTAL '!S7</f>
        <v>0</v>
      </c>
      <c r="L8" s="176">
        <f>'REKAP TOTAL '!X7</f>
        <v>28107.556664399995</v>
      </c>
      <c r="M8" s="178">
        <f>'REKAP TOTAL '!Y7</f>
        <v>6.7960080000000005</v>
      </c>
      <c r="N8" s="52" t="e">
        <f t="shared" si="0"/>
        <v>#REF!</v>
      </c>
      <c r="O8" s="179" t="e">
        <f t="shared" ref="O8:O26" si="15">O7+N8</f>
        <v>#REF!</v>
      </c>
      <c r="P8" s="179" t="e">
        <f>B8-O8</f>
        <v>#REF!</v>
      </c>
      <c r="Q8" s="12"/>
      <c r="R8" s="155"/>
      <c r="S8" s="155"/>
      <c r="T8" s="155"/>
      <c r="U8" s="42">
        <v>2012</v>
      </c>
      <c r="V8" s="51">
        <f t="shared" ref="V8:V26" si="16">V7+C8</f>
        <v>509</v>
      </c>
      <c r="W8" s="73">
        <v>0</v>
      </c>
      <c r="X8" s="51">
        <f t="shared" si="3"/>
        <v>12511.364879999997</v>
      </c>
      <c r="Y8" s="73">
        <v>0</v>
      </c>
      <c r="Z8" s="51">
        <f t="shared" si="4"/>
        <v>357.15833999999995</v>
      </c>
      <c r="AA8" s="73">
        <v>0</v>
      </c>
      <c r="AB8" s="51" t="e">
        <f t="shared" si="5"/>
        <v>#REF!</v>
      </c>
      <c r="AC8" s="73">
        <v>0</v>
      </c>
      <c r="AD8" s="51" t="e">
        <f t="shared" si="6"/>
        <v>#REF!</v>
      </c>
      <c r="AE8" s="73">
        <v>0</v>
      </c>
      <c r="AF8" s="51" t="e">
        <f t="shared" si="7"/>
        <v>#REF!</v>
      </c>
      <c r="AG8" s="73">
        <v>0</v>
      </c>
      <c r="AH8" s="51" t="e">
        <f t="shared" si="8"/>
        <v>#REF!</v>
      </c>
      <c r="AI8" s="73">
        <v>0</v>
      </c>
      <c r="AJ8" s="42">
        <v>2012</v>
      </c>
      <c r="AK8" s="51" t="e">
        <f t="shared" si="9"/>
        <v>#REF!</v>
      </c>
      <c r="AL8" s="73">
        <v>0</v>
      </c>
      <c r="AM8" s="51">
        <f t="shared" si="10"/>
        <v>0</v>
      </c>
      <c r="AN8" s="73">
        <v>0</v>
      </c>
      <c r="AO8" s="51">
        <f t="shared" si="11"/>
        <v>50295.669735599993</v>
      </c>
      <c r="AP8" s="73">
        <v>0</v>
      </c>
      <c r="AQ8" s="51">
        <v>0</v>
      </c>
      <c r="AR8" s="51">
        <f t="shared" si="12"/>
        <v>10.8736128</v>
      </c>
      <c r="AS8" s="73">
        <v>2916000</v>
      </c>
      <c r="AT8" s="51">
        <v>191.6026020106446</v>
      </c>
      <c r="AU8" s="51" t="e">
        <f>AU7+N8</f>
        <v>#REF!</v>
      </c>
      <c r="AV8" s="189">
        <f t="shared" si="2"/>
        <v>191.6026020106446</v>
      </c>
      <c r="AW8" s="196" t="e">
        <f t="shared" si="13"/>
        <v>#REF!</v>
      </c>
      <c r="AX8" s="196">
        <f t="shared" si="14"/>
        <v>191.6026020106446</v>
      </c>
    </row>
    <row r="9" spans="1:50" x14ac:dyDescent="0.25">
      <c r="A9" s="42">
        <v>2013</v>
      </c>
      <c r="B9" s="43">
        <v>17462731.489664003</v>
      </c>
      <c r="C9" s="53">
        <f>'REKAP TOTAL '!K8</f>
        <v>255</v>
      </c>
      <c r="D9" s="53">
        <f>'REKAP TOTAL '!Q8</f>
        <v>22944.717599999996</v>
      </c>
      <c r="E9" s="53">
        <f>'REKAP TOTAL '!R8</f>
        <v>0</v>
      </c>
      <c r="F9" s="53" t="e">
        <f>'REKAP TOTAL '!#REF!</f>
        <v>#REF!</v>
      </c>
      <c r="G9" s="53" t="e">
        <f>'REKAP TOTAL '!#REF!</f>
        <v>#REF!</v>
      </c>
      <c r="H9" s="53" t="e">
        <f>'REKAP TOTAL '!#REF!</f>
        <v>#REF!</v>
      </c>
      <c r="I9" s="53" t="e">
        <f>'REKAP TOTAL '!#REF!</f>
        <v>#REF!</v>
      </c>
      <c r="J9" s="53" t="e">
        <f>'REKAP TOTAL '!#REF!</f>
        <v>#REF!</v>
      </c>
      <c r="K9" s="53">
        <f>'REKAP TOTAL '!S8</f>
        <v>0</v>
      </c>
      <c r="L9" s="176">
        <f>'REKAP TOTAL '!X8</f>
        <v>5880.2419799999998</v>
      </c>
      <c r="M9" s="178">
        <f>'REKAP TOTAL '!Y8</f>
        <v>8.1552096000000009</v>
      </c>
      <c r="N9" s="52" t="e">
        <f t="shared" si="0"/>
        <v>#REF!</v>
      </c>
      <c r="O9" s="179" t="e">
        <f t="shared" si="15"/>
        <v>#REF!</v>
      </c>
      <c r="P9" s="179" t="e">
        <f t="shared" si="1"/>
        <v>#REF!</v>
      </c>
      <c r="Q9" s="12"/>
      <c r="R9" s="155"/>
      <c r="S9" s="155"/>
      <c r="T9" s="155"/>
      <c r="U9" s="42">
        <v>2013</v>
      </c>
      <c r="V9" s="51">
        <f t="shared" si="16"/>
        <v>764</v>
      </c>
      <c r="W9" s="73">
        <v>0</v>
      </c>
      <c r="X9" s="51">
        <f t="shared" si="3"/>
        <v>35456.082479999997</v>
      </c>
      <c r="Y9" s="73">
        <v>0</v>
      </c>
      <c r="Z9" s="51">
        <f t="shared" si="4"/>
        <v>357.15833999999995</v>
      </c>
      <c r="AA9" s="73">
        <v>0</v>
      </c>
      <c r="AB9" s="51" t="e">
        <f t="shared" si="5"/>
        <v>#REF!</v>
      </c>
      <c r="AC9" s="73">
        <v>0</v>
      </c>
      <c r="AD9" s="51" t="e">
        <f t="shared" si="6"/>
        <v>#REF!</v>
      </c>
      <c r="AE9" s="73">
        <v>0</v>
      </c>
      <c r="AF9" s="51" t="e">
        <f t="shared" si="7"/>
        <v>#REF!</v>
      </c>
      <c r="AG9" s="73">
        <v>0</v>
      </c>
      <c r="AH9" s="51" t="e">
        <f t="shared" si="8"/>
        <v>#REF!</v>
      </c>
      <c r="AI9" s="73">
        <v>0</v>
      </c>
      <c r="AJ9" s="42">
        <v>2013</v>
      </c>
      <c r="AK9" s="51" t="e">
        <f t="shared" si="9"/>
        <v>#REF!</v>
      </c>
      <c r="AL9" s="73">
        <v>0</v>
      </c>
      <c r="AM9" s="51">
        <f t="shared" si="10"/>
        <v>0</v>
      </c>
      <c r="AN9" s="73">
        <v>0</v>
      </c>
      <c r="AO9" s="51">
        <f t="shared" si="11"/>
        <v>56175.911715599992</v>
      </c>
      <c r="AP9" s="73">
        <v>0</v>
      </c>
      <c r="AQ9" s="51">
        <v>0</v>
      </c>
      <c r="AR9" s="51">
        <f t="shared" si="12"/>
        <v>19.028822400000003</v>
      </c>
      <c r="AS9" s="73">
        <v>2916000</v>
      </c>
      <c r="AT9" s="51">
        <v>191.6026020106446</v>
      </c>
      <c r="AU9" s="51" t="e">
        <f t="shared" ref="AU9:AU25" si="17">AU8+N9</f>
        <v>#REF!</v>
      </c>
      <c r="AV9" s="189">
        <f t="shared" si="2"/>
        <v>191.6026020106446</v>
      </c>
      <c r="AW9" s="196" t="e">
        <f t="shared" si="13"/>
        <v>#REF!</v>
      </c>
      <c r="AX9" s="196">
        <f t="shared" si="14"/>
        <v>191.6026020106446</v>
      </c>
    </row>
    <row r="10" spans="1:50" x14ac:dyDescent="0.25">
      <c r="A10" s="42">
        <v>2014</v>
      </c>
      <c r="B10" s="43">
        <v>18572984.990352001</v>
      </c>
      <c r="C10" s="53">
        <f>'REKAP TOTAL '!K9</f>
        <v>256</v>
      </c>
      <c r="D10" s="53">
        <f>'REKAP TOTAL '!Q9</f>
        <v>34633.535999999993</v>
      </c>
      <c r="E10" s="53">
        <f>'REKAP TOTAL '!R9</f>
        <v>34633.535999999993</v>
      </c>
      <c r="F10" s="53" t="e">
        <f>'REKAP TOTAL '!#REF!</f>
        <v>#REF!</v>
      </c>
      <c r="G10" s="53" t="e">
        <f>'REKAP TOTAL '!#REF!</f>
        <v>#REF!</v>
      </c>
      <c r="H10" s="53" t="e">
        <f>'REKAP TOTAL '!#REF!</f>
        <v>#REF!</v>
      </c>
      <c r="I10" s="53" t="e">
        <f>'REKAP TOTAL '!#REF!</f>
        <v>#REF!</v>
      </c>
      <c r="J10" s="53" t="e">
        <f>'REKAP TOTAL '!#REF!</f>
        <v>#REF!</v>
      </c>
      <c r="K10" s="53">
        <f>'REKAP TOTAL '!S9</f>
        <v>0</v>
      </c>
      <c r="L10" s="176">
        <f>'REKAP TOTAL '!X9</f>
        <v>2900.9193768000005</v>
      </c>
      <c r="M10" s="178">
        <f>'REKAP TOTAL '!Y9</f>
        <v>8.1552096000000009</v>
      </c>
      <c r="N10" s="52" t="e">
        <f t="shared" si="0"/>
        <v>#REF!</v>
      </c>
      <c r="O10" s="179" t="e">
        <f t="shared" si="15"/>
        <v>#REF!</v>
      </c>
      <c r="P10" s="179" t="e">
        <f t="shared" si="1"/>
        <v>#REF!</v>
      </c>
      <c r="Q10" s="12"/>
      <c r="R10" s="155"/>
      <c r="S10" s="155"/>
      <c r="T10" s="155"/>
      <c r="U10" s="42">
        <v>2014</v>
      </c>
      <c r="V10" s="51">
        <f t="shared" si="16"/>
        <v>1020</v>
      </c>
      <c r="W10" s="73">
        <v>0</v>
      </c>
      <c r="X10" s="51">
        <f t="shared" si="3"/>
        <v>70089.61847999999</v>
      </c>
      <c r="Y10" s="73">
        <v>0</v>
      </c>
      <c r="Z10" s="51">
        <f t="shared" si="4"/>
        <v>34990.694339999995</v>
      </c>
      <c r="AA10" s="73">
        <v>0</v>
      </c>
      <c r="AB10" s="51" t="e">
        <f t="shared" si="5"/>
        <v>#REF!</v>
      </c>
      <c r="AC10" s="73">
        <v>0</v>
      </c>
      <c r="AD10" s="51" t="e">
        <f t="shared" si="6"/>
        <v>#REF!</v>
      </c>
      <c r="AE10" s="73">
        <v>0</v>
      </c>
      <c r="AF10" s="51" t="e">
        <f t="shared" si="7"/>
        <v>#REF!</v>
      </c>
      <c r="AG10" s="73">
        <v>0</v>
      </c>
      <c r="AH10" s="51" t="e">
        <f t="shared" si="8"/>
        <v>#REF!</v>
      </c>
      <c r="AI10" s="73">
        <v>0</v>
      </c>
      <c r="AJ10" s="42">
        <v>2014</v>
      </c>
      <c r="AK10" s="51" t="e">
        <f t="shared" si="9"/>
        <v>#REF!</v>
      </c>
      <c r="AL10" s="73">
        <v>0</v>
      </c>
      <c r="AM10" s="51">
        <f t="shared" si="10"/>
        <v>0</v>
      </c>
      <c r="AN10" s="73">
        <v>0</v>
      </c>
      <c r="AO10" s="51">
        <f t="shared" si="11"/>
        <v>59076.831092399996</v>
      </c>
      <c r="AP10" s="73">
        <v>0</v>
      </c>
      <c r="AQ10" s="51">
        <v>0</v>
      </c>
      <c r="AR10" s="51">
        <f t="shared" si="12"/>
        <v>27.184032000000002</v>
      </c>
      <c r="AS10" s="73">
        <v>2916000</v>
      </c>
      <c r="AT10" s="51">
        <v>191.6026020106446</v>
      </c>
      <c r="AU10" s="51" t="e">
        <f t="shared" si="17"/>
        <v>#REF!</v>
      </c>
      <c r="AV10" s="189">
        <f t="shared" si="2"/>
        <v>191.6026020106446</v>
      </c>
      <c r="AW10" s="196" t="e">
        <f t="shared" si="13"/>
        <v>#REF!</v>
      </c>
      <c r="AX10" s="196">
        <f t="shared" si="14"/>
        <v>191.6026020106446</v>
      </c>
    </row>
    <row r="11" spans="1:50" x14ac:dyDescent="0.25">
      <c r="A11" s="42">
        <v>2015</v>
      </c>
      <c r="B11" s="43">
        <v>19683238.491039999</v>
      </c>
      <c r="C11" s="53">
        <f>'REKAP TOTAL '!K10</f>
        <v>256</v>
      </c>
      <c r="D11" s="53">
        <f>'REKAP TOTAL '!Q10</f>
        <v>135936.62879999998</v>
      </c>
      <c r="E11" s="53">
        <f>'REKAP TOTAL '!R10</f>
        <v>0</v>
      </c>
      <c r="F11" s="53" t="e">
        <f>'REKAP TOTAL '!#REF!</f>
        <v>#REF!</v>
      </c>
      <c r="G11" s="53" t="e">
        <f>'REKAP TOTAL '!#REF!</f>
        <v>#REF!</v>
      </c>
      <c r="H11" s="53" t="e">
        <f>'REKAP TOTAL '!#REF!</f>
        <v>#REF!</v>
      </c>
      <c r="I11" s="53" t="e">
        <f>'REKAP TOTAL '!#REF!</f>
        <v>#REF!</v>
      </c>
      <c r="J11" s="53" t="e">
        <f>'REKAP TOTAL '!#REF!</f>
        <v>#REF!</v>
      </c>
      <c r="K11" s="53">
        <f>'REKAP TOTAL '!S10</f>
        <v>0</v>
      </c>
      <c r="L11" s="176">
        <f>'REKAP TOTAL '!X10</f>
        <v>3136.1290559999998</v>
      </c>
      <c r="M11" s="178">
        <f>'REKAP TOTAL '!Y10</f>
        <v>8.1552096000000009</v>
      </c>
      <c r="N11" s="52" t="e">
        <f t="shared" si="0"/>
        <v>#REF!</v>
      </c>
      <c r="O11" s="179" t="e">
        <f t="shared" si="15"/>
        <v>#REF!</v>
      </c>
      <c r="P11" s="179" t="e">
        <f t="shared" si="1"/>
        <v>#REF!</v>
      </c>
      <c r="Q11" s="12"/>
      <c r="R11" s="155"/>
      <c r="S11" s="155"/>
      <c r="T11" s="155"/>
      <c r="U11" s="42">
        <v>2015</v>
      </c>
      <c r="V11" s="51">
        <f t="shared" si="16"/>
        <v>1276</v>
      </c>
      <c r="W11" s="73">
        <v>0</v>
      </c>
      <c r="X11" s="51">
        <f t="shared" si="3"/>
        <v>206026.24727999995</v>
      </c>
      <c r="Y11" s="73">
        <v>0</v>
      </c>
      <c r="Z11" s="51">
        <f t="shared" si="4"/>
        <v>34990.694339999995</v>
      </c>
      <c r="AA11" s="73">
        <v>0</v>
      </c>
      <c r="AB11" s="51" t="e">
        <f t="shared" si="5"/>
        <v>#REF!</v>
      </c>
      <c r="AC11" s="73">
        <v>0</v>
      </c>
      <c r="AD11" s="51" t="e">
        <f t="shared" si="6"/>
        <v>#REF!</v>
      </c>
      <c r="AE11" s="73">
        <v>0</v>
      </c>
      <c r="AF11" s="51" t="e">
        <f t="shared" si="7"/>
        <v>#REF!</v>
      </c>
      <c r="AG11" s="73">
        <v>0</v>
      </c>
      <c r="AH11" s="51" t="e">
        <f t="shared" si="8"/>
        <v>#REF!</v>
      </c>
      <c r="AI11" s="73">
        <v>0</v>
      </c>
      <c r="AJ11" s="42">
        <v>2015</v>
      </c>
      <c r="AK11" s="51" t="e">
        <f t="shared" si="9"/>
        <v>#REF!</v>
      </c>
      <c r="AL11" s="73">
        <v>0</v>
      </c>
      <c r="AM11" s="51">
        <f t="shared" si="10"/>
        <v>0</v>
      </c>
      <c r="AN11" s="73">
        <v>0</v>
      </c>
      <c r="AO11" s="51">
        <f t="shared" si="11"/>
        <v>62212.960148399994</v>
      </c>
      <c r="AP11" s="73">
        <v>0</v>
      </c>
      <c r="AQ11" s="51">
        <v>0</v>
      </c>
      <c r="AR11" s="51">
        <f t="shared" si="12"/>
        <v>35.339241600000001</v>
      </c>
      <c r="AS11" s="73">
        <v>2916000</v>
      </c>
      <c r="AT11" s="51">
        <v>191.6026020106446</v>
      </c>
      <c r="AU11" s="51" t="e">
        <f t="shared" si="17"/>
        <v>#REF!</v>
      </c>
      <c r="AV11" s="189">
        <f t="shared" si="2"/>
        <v>191.6026020106446</v>
      </c>
      <c r="AW11" s="196" t="e">
        <f t="shared" si="13"/>
        <v>#REF!</v>
      </c>
      <c r="AX11" s="196">
        <f t="shared" si="14"/>
        <v>191.6026020106446</v>
      </c>
    </row>
    <row r="12" spans="1:50" x14ac:dyDescent="0.25">
      <c r="A12" s="42">
        <v>2016</v>
      </c>
      <c r="B12" s="43">
        <v>21063296.927415997</v>
      </c>
      <c r="C12" s="53">
        <f>'REKAP TOTAL '!K11</f>
        <v>257</v>
      </c>
      <c r="D12" s="53">
        <f>'REKAP TOTAL '!Q11</f>
        <v>12987.575999999997</v>
      </c>
      <c r="E12" s="53">
        <f>'REKAP TOTAL '!R11</f>
        <v>34633.535999999993</v>
      </c>
      <c r="F12" s="53" t="e">
        <f>'REKAP TOTAL '!#REF!</f>
        <v>#REF!</v>
      </c>
      <c r="G12" s="53" t="e">
        <f>'REKAP TOTAL '!#REF!</f>
        <v>#REF!</v>
      </c>
      <c r="H12" s="53" t="e">
        <f>'REKAP TOTAL '!#REF!</f>
        <v>#REF!</v>
      </c>
      <c r="I12" s="53" t="e">
        <f>'REKAP TOTAL '!#REF!</f>
        <v>#REF!</v>
      </c>
      <c r="J12" s="53" t="e">
        <f>'REKAP TOTAL '!#REF!</f>
        <v>#REF!</v>
      </c>
      <c r="K12" s="53">
        <f>'REKAP TOTAL '!S11</f>
        <v>0</v>
      </c>
      <c r="L12" s="176">
        <f>'REKAP TOTAL '!X11</f>
        <v>3253.7338955999999</v>
      </c>
      <c r="M12" s="178">
        <f>'REKAP TOTAL '!Y11</f>
        <v>8.1552096000000009</v>
      </c>
      <c r="N12" s="52" t="e">
        <f t="shared" ref="N12:N26" si="18">SUM(C12:M12)</f>
        <v>#REF!</v>
      </c>
      <c r="O12" s="179" t="e">
        <f t="shared" si="15"/>
        <v>#REF!</v>
      </c>
      <c r="P12" s="179" t="e">
        <f t="shared" si="1"/>
        <v>#REF!</v>
      </c>
      <c r="Q12" s="12"/>
      <c r="R12" s="155"/>
      <c r="S12" s="155"/>
      <c r="T12" s="155"/>
      <c r="U12" s="42">
        <v>2016</v>
      </c>
      <c r="V12" s="51">
        <f t="shared" si="16"/>
        <v>1533</v>
      </c>
      <c r="W12" s="73">
        <v>0</v>
      </c>
      <c r="X12" s="51">
        <f t="shared" si="3"/>
        <v>219013.82327999995</v>
      </c>
      <c r="Y12" s="73">
        <v>0</v>
      </c>
      <c r="Z12" s="51">
        <f t="shared" si="4"/>
        <v>69624.23033999998</v>
      </c>
      <c r="AA12" s="73">
        <v>0</v>
      </c>
      <c r="AB12" s="51" t="e">
        <f t="shared" si="5"/>
        <v>#REF!</v>
      </c>
      <c r="AC12" s="73">
        <v>0</v>
      </c>
      <c r="AD12" s="51" t="e">
        <f t="shared" si="6"/>
        <v>#REF!</v>
      </c>
      <c r="AE12" s="73">
        <v>0</v>
      </c>
      <c r="AF12" s="51" t="e">
        <f t="shared" si="7"/>
        <v>#REF!</v>
      </c>
      <c r="AG12" s="73">
        <v>0</v>
      </c>
      <c r="AH12" s="51" t="e">
        <f t="shared" si="8"/>
        <v>#REF!</v>
      </c>
      <c r="AI12" s="73">
        <v>0</v>
      </c>
      <c r="AJ12" s="42">
        <v>2016</v>
      </c>
      <c r="AK12" s="51" t="e">
        <f t="shared" si="9"/>
        <v>#REF!</v>
      </c>
      <c r="AL12" s="73">
        <v>0</v>
      </c>
      <c r="AM12" s="51">
        <f t="shared" si="10"/>
        <v>0</v>
      </c>
      <c r="AN12" s="73">
        <v>0</v>
      </c>
      <c r="AO12" s="51">
        <f t="shared" si="11"/>
        <v>65466.694043999996</v>
      </c>
      <c r="AP12" s="73">
        <v>2640000</v>
      </c>
      <c r="AQ12" s="51">
        <v>173.46737630593339</v>
      </c>
      <c r="AR12" s="51">
        <f t="shared" si="12"/>
        <v>43.4944512</v>
      </c>
      <c r="AS12" s="73">
        <v>2916000</v>
      </c>
      <c r="AT12" s="51">
        <v>191.6026020106446</v>
      </c>
      <c r="AU12" s="51" t="e">
        <f t="shared" si="17"/>
        <v>#REF!</v>
      </c>
      <c r="AV12" s="189">
        <f t="shared" si="2"/>
        <v>365.06997831657799</v>
      </c>
      <c r="AW12" s="196" t="e">
        <f t="shared" si="13"/>
        <v>#REF!</v>
      </c>
      <c r="AX12" s="196">
        <f t="shared" si="14"/>
        <v>365.06997831657799</v>
      </c>
    </row>
    <row r="13" spans="1:50" x14ac:dyDescent="0.25">
      <c r="A13" s="42">
        <v>2017</v>
      </c>
      <c r="B13" s="43">
        <v>22443355.363791998</v>
      </c>
      <c r="C13" s="182">
        <f>'REKAP TOTAL '!K12</f>
        <v>257</v>
      </c>
      <c r="D13" s="53" t="e">
        <f>'REKAP TOTAL '!#REF!</f>
        <v>#REF!</v>
      </c>
      <c r="E13" s="53">
        <f>'REKAP TOTAL '!R12</f>
        <v>2727.3909599999993</v>
      </c>
      <c r="F13" s="53" t="e">
        <f>'REKAP TOTAL '!#REF!</f>
        <v>#REF!</v>
      </c>
      <c r="G13" s="53" t="e">
        <f>'REKAP TOTAL '!#REF!</f>
        <v>#REF!</v>
      </c>
      <c r="H13" s="53" t="e">
        <f>'REKAP TOTAL '!#REF!</f>
        <v>#REF!</v>
      </c>
      <c r="I13" s="53" t="e">
        <f>'REKAP TOTAL '!#REF!</f>
        <v>#REF!</v>
      </c>
      <c r="J13" s="53" t="e">
        <f>'REKAP TOTAL '!#REF!</f>
        <v>#REF!</v>
      </c>
      <c r="K13" s="53">
        <f>'REKAP TOTAL '!S12</f>
        <v>0</v>
      </c>
      <c r="L13" s="176">
        <f>'REKAP TOTAL '!X12</f>
        <v>3684.9516407999995</v>
      </c>
      <c r="M13" s="178">
        <f>'REKAP TOTAL '!Y12</f>
        <v>8.1552096000000009</v>
      </c>
      <c r="N13" s="52" t="e">
        <f>SUM(C13:M13)</f>
        <v>#REF!</v>
      </c>
      <c r="O13" s="179" t="e">
        <f t="shared" si="15"/>
        <v>#REF!</v>
      </c>
      <c r="P13" s="179" t="e">
        <f t="shared" si="1"/>
        <v>#REF!</v>
      </c>
      <c r="Q13" s="12"/>
      <c r="R13" s="155"/>
      <c r="S13" s="155"/>
      <c r="T13" s="155"/>
      <c r="U13" s="42">
        <v>2017</v>
      </c>
      <c r="V13" s="51">
        <f t="shared" si="16"/>
        <v>1790</v>
      </c>
      <c r="W13" s="73">
        <v>33000</v>
      </c>
      <c r="X13" s="51" t="e">
        <f t="shared" si="3"/>
        <v>#REF!</v>
      </c>
      <c r="Y13" s="73">
        <v>0</v>
      </c>
      <c r="Z13" s="51">
        <f t="shared" si="4"/>
        <v>72351.621299999984</v>
      </c>
      <c r="AA13" s="73">
        <v>0</v>
      </c>
      <c r="AB13" s="51" t="e">
        <f t="shared" si="5"/>
        <v>#REF!</v>
      </c>
      <c r="AC13" s="73">
        <v>0</v>
      </c>
      <c r="AD13" s="51" t="e">
        <f t="shared" si="6"/>
        <v>#REF!</v>
      </c>
      <c r="AE13" s="73">
        <v>0</v>
      </c>
      <c r="AF13" s="51" t="e">
        <f t="shared" si="7"/>
        <v>#REF!</v>
      </c>
      <c r="AG13" s="73">
        <v>0</v>
      </c>
      <c r="AH13" s="51" t="e">
        <f t="shared" si="8"/>
        <v>#REF!</v>
      </c>
      <c r="AI13" s="73">
        <v>0</v>
      </c>
      <c r="AJ13" s="42">
        <v>2017</v>
      </c>
      <c r="AK13" s="51" t="e">
        <f t="shared" si="9"/>
        <v>#REF!</v>
      </c>
      <c r="AL13" s="73">
        <v>0</v>
      </c>
      <c r="AM13" s="51">
        <f t="shared" si="10"/>
        <v>0</v>
      </c>
      <c r="AN13" s="73">
        <v>0</v>
      </c>
      <c r="AO13" s="51">
        <f t="shared" si="11"/>
        <v>69151.645684799994</v>
      </c>
      <c r="AP13" s="73">
        <v>2640000</v>
      </c>
      <c r="AQ13" s="51">
        <v>173.46737630593339</v>
      </c>
      <c r="AR13" s="51">
        <f t="shared" si="12"/>
        <v>51.649660799999999</v>
      </c>
      <c r="AS13" s="73">
        <v>2916000</v>
      </c>
      <c r="AT13" s="51">
        <v>191.6026020106446</v>
      </c>
      <c r="AU13" s="51" t="e">
        <f t="shared" si="17"/>
        <v>#REF!</v>
      </c>
      <c r="AV13" s="189">
        <f t="shared" si="2"/>
        <v>33365.069978316576</v>
      </c>
      <c r="AW13" s="196" t="e">
        <f t="shared" si="13"/>
        <v>#REF!</v>
      </c>
      <c r="AX13" s="196">
        <f t="shared" si="14"/>
        <v>33365.069978316576</v>
      </c>
    </row>
    <row r="14" spans="1:50" x14ac:dyDescent="0.25">
      <c r="A14" s="42">
        <v>2018</v>
      </c>
      <c r="B14" s="43">
        <v>23823413.800168</v>
      </c>
      <c r="C14" s="182">
        <f>'REKAP TOTAL '!K13</f>
        <v>258</v>
      </c>
      <c r="D14" s="53">
        <f>'REKAP TOTAL '!Q13</f>
        <v>77059.617599999983</v>
      </c>
      <c r="E14" s="53">
        <f>'REKAP TOTAL '!R13</f>
        <v>35.299999999999997</v>
      </c>
      <c r="F14" s="53" t="e">
        <f>'REKAP TOTAL '!#REF!</f>
        <v>#REF!</v>
      </c>
      <c r="G14" s="53" t="e">
        <f>'REKAP TOTAL '!#REF!</f>
        <v>#REF!</v>
      </c>
      <c r="H14" s="53" t="e">
        <f>'REKAP TOTAL '!#REF!</f>
        <v>#REF!</v>
      </c>
      <c r="I14" s="53" t="e">
        <f>'REKAP TOTAL '!#REF!</f>
        <v>#REF!</v>
      </c>
      <c r="J14" s="53" t="e">
        <f>'REKAP TOTAL '!#REF!</f>
        <v>#REF!</v>
      </c>
      <c r="K14" s="53">
        <f>'REKAP TOTAL '!S13</f>
        <v>0</v>
      </c>
      <c r="L14" s="176">
        <f>'REKAP TOTAL '!X13</f>
        <v>7644.314574</v>
      </c>
      <c r="M14" s="178">
        <f>'REKAP TOTAL '!Y13</f>
        <v>8.1552096000000009</v>
      </c>
      <c r="N14" s="52" t="e">
        <f t="shared" si="18"/>
        <v>#REF!</v>
      </c>
      <c r="O14" s="179" t="e">
        <f t="shared" si="15"/>
        <v>#REF!</v>
      </c>
      <c r="P14" s="179" t="e">
        <f t="shared" si="1"/>
        <v>#REF!</v>
      </c>
      <c r="Q14" s="12"/>
      <c r="R14" s="155"/>
      <c r="S14" s="155"/>
      <c r="T14" s="155"/>
      <c r="U14" s="42">
        <v>2018</v>
      </c>
      <c r="V14" s="51">
        <f t="shared" si="16"/>
        <v>2048</v>
      </c>
      <c r="W14" s="73">
        <v>64484.999999999993</v>
      </c>
      <c r="X14" s="51" t="e">
        <f t="shared" si="3"/>
        <v>#REF!</v>
      </c>
      <c r="Y14" s="73">
        <v>0</v>
      </c>
      <c r="Z14" s="51">
        <f t="shared" si="4"/>
        <v>72386.921299999987</v>
      </c>
      <c r="AA14" s="73">
        <v>0</v>
      </c>
      <c r="AB14" s="51" t="e">
        <f t="shared" si="5"/>
        <v>#REF!</v>
      </c>
      <c r="AC14" s="73">
        <v>0</v>
      </c>
      <c r="AD14" s="51" t="e">
        <f t="shared" si="6"/>
        <v>#REF!</v>
      </c>
      <c r="AE14" s="73">
        <v>0</v>
      </c>
      <c r="AF14" s="51" t="e">
        <f t="shared" si="7"/>
        <v>#REF!</v>
      </c>
      <c r="AG14" s="73">
        <v>0</v>
      </c>
      <c r="AH14" s="51" t="e">
        <f t="shared" si="8"/>
        <v>#REF!</v>
      </c>
      <c r="AI14" s="73">
        <v>0</v>
      </c>
      <c r="AJ14" s="42">
        <v>2018</v>
      </c>
      <c r="AK14" s="51" t="e">
        <f t="shared" si="9"/>
        <v>#REF!</v>
      </c>
      <c r="AL14" s="73">
        <v>0</v>
      </c>
      <c r="AM14" s="51">
        <f t="shared" si="10"/>
        <v>0</v>
      </c>
      <c r="AN14" s="73">
        <v>0</v>
      </c>
      <c r="AO14" s="51">
        <f t="shared" si="11"/>
        <v>76795.960258799998</v>
      </c>
      <c r="AP14" s="73">
        <v>2640000</v>
      </c>
      <c r="AQ14" s="51">
        <v>173.46737630593339</v>
      </c>
      <c r="AR14" s="51">
        <f t="shared" si="12"/>
        <v>59.804870399999999</v>
      </c>
      <c r="AS14" s="73">
        <v>2916000</v>
      </c>
      <c r="AT14" s="51">
        <v>191.6026020106446</v>
      </c>
      <c r="AU14" s="51" t="e">
        <f t="shared" si="17"/>
        <v>#REF!</v>
      </c>
      <c r="AV14" s="189">
        <f t="shared" si="2"/>
        <v>64850.069978316569</v>
      </c>
      <c r="AW14" s="196" t="e">
        <f t="shared" si="13"/>
        <v>#REF!</v>
      </c>
      <c r="AX14" s="196">
        <f t="shared" si="14"/>
        <v>64850.069978316569</v>
      </c>
    </row>
    <row r="15" spans="1:50" x14ac:dyDescent="0.25">
      <c r="A15" s="42">
        <v>2019</v>
      </c>
      <c r="B15" s="43">
        <v>25203472.236544002</v>
      </c>
      <c r="C15" s="182">
        <f>'REKAP TOTAL '!K14</f>
        <v>258</v>
      </c>
      <c r="D15" s="53">
        <f>'REKAP TOTAL '!Q14</f>
        <v>181046.80943999995</v>
      </c>
      <c r="E15" s="53">
        <f>'REKAP TOTAL '!R14</f>
        <v>35.299999999999997</v>
      </c>
      <c r="F15" s="53" t="e">
        <f>'REKAP TOTAL '!#REF!</f>
        <v>#REF!</v>
      </c>
      <c r="G15" s="53" t="e">
        <f>'REKAP TOTAL '!#REF!</f>
        <v>#REF!</v>
      </c>
      <c r="H15" s="53" t="e">
        <f>'REKAP TOTAL '!#REF!</f>
        <v>#REF!</v>
      </c>
      <c r="I15" s="53" t="e">
        <f>'REKAP TOTAL '!#REF!</f>
        <v>#REF!</v>
      </c>
      <c r="J15" s="53" t="e">
        <f>'REKAP TOTAL '!#REF!</f>
        <v>#REF!</v>
      </c>
      <c r="K15" s="53">
        <f>'REKAP TOTAL '!S16</f>
        <v>43291.919999999991</v>
      </c>
      <c r="L15" s="176">
        <f>'REKAP TOTAL '!X14</f>
        <v>3920.1613200000002</v>
      </c>
      <c r="M15" s="178">
        <f>'REKAP TOTAL '!Y14</f>
        <v>8.1552096000000009</v>
      </c>
      <c r="N15" s="52" t="e">
        <f t="shared" si="18"/>
        <v>#REF!</v>
      </c>
      <c r="O15" s="179" t="e">
        <f t="shared" si="15"/>
        <v>#REF!</v>
      </c>
      <c r="P15" s="179" t="e">
        <f t="shared" si="1"/>
        <v>#REF!</v>
      </c>
      <c r="Q15" s="12"/>
      <c r="R15" s="155"/>
      <c r="S15" s="155"/>
      <c r="T15" s="155"/>
      <c r="U15" s="42">
        <v>2019</v>
      </c>
      <c r="V15" s="51">
        <f t="shared" si="16"/>
        <v>2306</v>
      </c>
      <c r="W15" s="73">
        <v>26700</v>
      </c>
      <c r="X15" s="51" t="e">
        <f t="shared" si="3"/>
        <v>#REF!</v>
      </c>
      <c r="Y15" s="73">
        <v>75000</v>
      </c>
      <c r="Z15" s="51">
        <f t="shared" si="4"/>
        <v>72422.22129999999</v>
      </c>
      <c r="AA15" s="73">
        <v>75000</v>
      </c>
      <c r="AB15" s="51" t="e">
        <f t="shared" si="5"/>
        <v>#REF!</v>
      </c>
      <c r="AC15" s="73">
        <v>0</v>
      </c>
      <c r="AD15" s="51" t="e">
        <f t="shared" si="6"/>
        <v>#REF!</v>
      </c>
      <c r="AE15" s="73">
        <v>0</v>
      </c>
      <c r="AF15" s="51" t="e">
        <f t="shared" si="7"/>
        <v>#REF!</v>
      </c>
      <c r="AG15" s="73">
        <v>0</v>
      </c>
      <c r="AH15" s="51" t="e">
        <f t="shared" si="8"/>
        <v>#REF!</v>
      </c>
      <c r="AI15" s="73">
        <v>0</v>
      </c>
      <c r="AJ15" s="42">
        <v>2019</v>
      </c>
      <c r="AK15" s="51" t="e">
        <f t="shared" si="9"/>
        <v>#REF!</v>
      </c>
      <c r="AL15" s="73">
        <v>0</v>
      </c>
      <c r="AM15" s="51">
        <f t="shared" si="10"/>
        <v>43291.919999999991</v>
      </c>
      <c r="AN15" s="73">
        <v>15000</v>
      </c>
      <c r="AO15" s="51">
        <f t="shared" si="11"/>
        <v>80716.121578799997</v>
      </c>
      <c r="AP15" s="73">
        <v>2640000</v>
      </c>
      <c r="AQ15" s="51">
        <v>173.46737630593339</v>
      </c>
      <c r="AR15" s="51">
        <f t="shared" si="12"/>
        <v>67.960080000000005</v>
      </c>
      <c r="AS15" s="73">
        <v>2916000</v>
      </c>
      <c r="AT15" s="51">
        <v>191.6026020106446</v>
      </c>
      <c r="AU15" s="51" t="e">
        <f t="shared" si="17"/>
        <v>#REF!</v>
      </c>
      <c r="AV15" s="189">
        <f t="shared" si="2"/>
        <v>192065.06997831658</v>
      </c>
      <c r="AW15" s="196" t="e">
        <f t="shared" si="13"/>
        <v>#REF!</v>
      </c>
      <c r="AX15" s="196">
        <f t="shared" si="14"/>
        <v>192065.06997831658</v>
      </c>
    </row>
    <row r="16" spans="1:50" x14ac:dyDescent="0.25">
      <c r="A16" s="42">
        <v>2020</v>
      </c>
      <c r="B16" s="44">
        <v>26583530.672920004</v>
      </c>
      <c r="C16" s="182">
        <f>'REKAP TOTAL '!K15</f>
        <v>258</v>
      </c>
      <c r="D16" s="53">
        <f>'REKAP TOTAL '!Q15</f>
        <v>276548.78495999996</v>
      </c>
      <c r="E16" s="53">
        <f>'REKAP TOTAL '!R15</f>
        <v>35.299999999999997</v>
      </c>
      <c r="F16" s="53" t="e">
        <f>'REKAP TOTAL '!#REF!</f>
        <v>#REF!</v>
      </c>
      <c r="G16" s="53" t="e">
        <f>'REKAP TOTAL '!#REF!</f>
        <v>#REF!</v>
      </c>
      <c r="H16" s="53" t="e">
        <f>'REKAP TOTAL '!#REF!</f>
        <v>#REF!</v>
      </c>
      <c r="I16" s="53" t="e">
        <f>'REKAP TOTAL '!#REF!</f>
        <v>#REF!</v>
      </c>
      <c r="J16" s="53" t="e">
        <f>'REKAP TOTAL '!#REF!</f>
        <v>#REF!</v>
      </c>
      <c r="K16" s="53">
        <f>'REKAP TOTAL '!S15</f>
        <v>43291.919999999991</v>
      </c>
      <c r="L16" s="176">
        <f>'REKAP TOTAL '!X15</f>
        <v>3920.1613200000002</v>
      </c>
      <c r="M16" s="178">
        <f>'REKAP TOTAL '!Y15</f>
        <v>8.1552096000000009</v>
      </c>
      <c r="N16" s="52" t="e">
        <f t="shared" si="18"/>
        <v>#REF!</v>
      </c>
      <c r="O16" s="179" t="e">
        <f t="shared" si="15"/>
        <v>#REF!</v>
      </c>
      <c r="P16" s="179" t="e">
        <f t="shared" si="1"/>
        <v>#REF!</v>
      </c>
      <c r="Q16" s="12"/>
      <c r="R16" s="155"/>
      <c r="S16" s="155"/>
      <c r="T16" s="155"/>
      <c r="U16" s="42">
        <v>2020</v>
      </c>
      <c r="V16" s="51">
        <f t="shared" si="16"/>
        <v>2564</v>
      </c>
      <c r="W16" s="73">
        <v>62730</v>
      </c>
      <c r="X16" s="51" t="e">
        <f t="shared" si="3"/>
        <v>#REF!</v>
      </c>
      <c r="Y16" s="73">
        <v>75000</v>
      </c>
      <c r="Z16" s="51">
        <f t="shared" si="4"/>
        <v>72457.521299999993</v>
      </c>
      <c r="AA16" s="73">
        <v>75000</v>
      </c>
      <c r="AB16" s="51" t="e">
        <f t="shared" si="5"/>
        <v>#REF!</v>
      </c>
      <c r="AC16" s="73">
        <v>0</v>
      </c>
      <c r="AD16" s="51" t="e">
        <f t="shared" si="6"/>
        <v>#REF!</v>
      </c>
      <c r="AE16" s="73">
        <v>0</v>
      </c>
      <c r="AF16" s="51" t="e">
        <f t="shared" si="7"/>
        <v>#REF!</v>
      </c>
      <c r="AG16" s="73">
        <v>0</v>
      </c>
      <c r="AH16" s="51" t="e">
        <f t="shared" si="8"/>
        <v>#REF!</v>
      </c>
      <c r="AI16" s="73">
        <v>0</v>
      </c>
      <c r="AJ16" s="42">
        <v>2020</v>
      </c>
      <c r="AK16" s="51" t="e">
        <f t="shared" si="9"/>
        <v>#REF!</v>
      </c>
      <c r="AL16" s="73">
        <v>0</v>
      </c>
      <c r="AM16" s="51">
        <f t="shared" si="10"/>
        <v>86583.839999999982</v>
      </c>
      <c r="AN16" s="73">
        <v>0</v>
      </c>
      <c r="AO16" s="51">
        <f t="shared" si="11"/>
        <v>84636.282898799996</v>
      </c>
      <c r="AP16" s="73">
        <v>2640000</v>
      </c>
      <c r="AQ16" s="51">
        <v>173.46737630593339</v>
      </c>
      <c r="AR16" s="51">
        <f t="shared" si="12"/>
        <v>76.115289600000011</v>
      </c>
      <c r="AS16" s="73">
        <v>2916000</v>
      </c>
      <c r="AT16" s="51">
        <v>191.6026020106446</v>
      </c>
      <c r="AU16" s="51" t="e">
        <f t="shared" si="17"/>
        <v>#REF!</v>
      </c>
      <c r="AV16" s="189">
        <f t="shared" si="2"/>
        <v>213095.06997831658</v>
      </c>
      <c r="AW16" s="196" t="e">
        <f t="shared" si="13"/>
        <v>#REF!</v>
      </c>
      <c r="AX16" s="196">
        <f t="shared" si="14"/>
        <v>213095.06997831658</v>
      </c>
    </row>
    <row r="17" spans="1:50" x14ac:dyDescent="0.25">
      <c r="A17" s="42">
        <v>2021</v>
      </c>
      <c r="B17" s="43">
        <v>28756664.710143995</v>
      </c>
      <c r="C17" s="182">
        <f>'REKAP TOTAL '!K16</f>
        <v>258</v>
      </c>
      <c r="D17" s="53">
        <f>'REKAP TOTAL '!Q16</f>
        <v>75085.506047999996</v>
      </c>
      <c r="E17" s="53">
        <f>'REKAP TOTAL '!R16</f>
        <v>35.299999999999997</v>
      </c>
      <c r="F17" s="53" t="e">
        <f>'REKAP TOTAL '!#REF!</f>
        <v>#REF!</v>
      </c>
      <c r="G17" s="53" t="e">
        <f>'REKAP TOTAL '!#REF!</f>
        <v>#REF!</v>
      </c>
      <c r="H17" s="53" t="e">
        <f>'REKAP TOTAL '!#REF!</f>
        <v>#REF!</v>
      </c>
      <c r="I17" s="53" t="e">
        <f>'REKAP TOTAL '!#REF!</f>
        <v>#REF!</v>
      </c>
      <c r="J17" s="53" t="e">
        <f>'REKAP TOTAL '!#REF!</f>
        <v>#REF!</v>
      </c>
      <c r="K17" s="53" t="e">
        <f>'REKAP TOTAL '!#REF!</f>
        <v>#REF!</v>
      </c>
      <c r="L17" s="176">
        <f>'REKAP TOTAL '!X16</f>
        <v>3920.1613200000002</v>
      </c>
      <c r="M17" s="178">
        <f>'REKAP TOTAL '!Y16</f>
        <v>8.1552096000000009</v>
      </c>
      <c r="N17" s="52" t="e">
        <f t="shared" si="18"/>
        <v>#REF!</v>
      </c>
      <c r="O17" s="179" t="e">
        <f t="shared" si="15"/>
        <v>#REF!</v>
      </c>
      <c r="P17" s="179" t="e">
        <f t="shared" si="1"/>
        <v>#REF!</v>
      </c>
      <c r="Q17" s="12"/>
      <c r="R17" s="155"/>
      <c r="S17" s="155"/>
      <c r="T17" s="155"/>
      <c r="U17" s="42">
        <v>2021</v>
      </c>
      <c r="V17" s="51">
        <f t="shared" si="16"/>
        <v>2822</v>
      </c>
      <c r="W17" s="73">
        <v>95820</v>
      </c>
      <c r="X17" s="51" t="e">
        <f t="shared" si="3"/>
        <v>#REF!</v>
      </c>
      <c r="Y17" s="73">
        <v>75000</v>
      </c>
      <c r="Z17" s="51">
        <f t="shared" si="4"/>
        <v>72492.821299999996</v>
      </c>
      <c r="AA17" s="73">
        <v>75000</v>
      </c>
      <c r="AB17" s="51" t="e">
        <f t="shared" si="5"/>
        <v>#REF!</v>
      </c>
      <c r="AC17" s="73">
        <v>0</v>
      </c>
      <c r="AD17" s="51" t="e">
        <f t="shared" si="6"/>
        <v>#REF!</v>
      </c>
      <c r="AE17" s="73">
        <v>0</v>
      </c>
      <c r="AF17" s="51" t="e">
        <f t="shared" si="7"/>
        <v>#REF!</v>
      </c>
      <c r="AG17" s="73">
        <v>0</v>
      </c>
      <c r="AH17" s="51" t="e">
        <f t="shared" si="8"/>
        <v>#REF!</v>
      </c>
      <c r="AI17" s="73">
        <v>780000</v>
      </c>
      <c r="AJ17" s="42">
        <v>2021</v>
      </c>
      <c r="AK17" s="51" t="e">
        <f t="shared" si="9"/>
        <v>#REF!</v>
      </c>
      <c r="AL17" s="73">
        <v>0</v>
      </c>
      <c r="AM17" s="51" t="e">
        <f t="shared" si="10"/>
        <v>#REF!</v>
      </c>
      <c r="AN17" s="73">
        <v>0</v>
      </c>
      <c r="AO17" s="51">
        <f t="shared" si="11"/>
        <v>88556.444218799996</v>
      </c>
      <c r="AP17" s="73">
        <v>2760000</v>
      </c>
      <c r="AQ17" s="51">
        <v>181.35225704711215</v>
      </c>
      <c r="AR17" s="51">
        <f t="shared" si="12"/>
        <v>84.270499200000017</v>
      </c>
      <c r="AS17" s="73">
        <v>2916000</v>
      </c>
      <c r="AT17" s="51">
        <v>191.6026020106446</v>
      </c>
      <c r="AU17" s="51" t="e">
        <f t="shared" si="17"/>
        <v>#REF!</v>
      </c>
      <c r="AV17" s="189">
        <f t="shared" si="2"/>
        <v>1026192.9548590577</v>
      </c>
      <c r="AW17" s="196" t="e">
        <f t="shared" si="13"/>
        <v>#REF!</v>
      </c>
      <c r="AX17" s="196">
        <f t="shared" si="14"/>
        <v>1026192.9548590578</v>
      </c>
    </row>
    <row r="18" spans="1:50" x14ac:dyDescent="0.25">
      <c r="A18" s="42">
        <v>2022</v>
      </c>
      <c r="B18" s="43">
        <v>30821457.299832001</v>
      </c>
      <c r="C18" s="182">
        <f>'REKAP TOTAL '!K17</f>
        <v>258</v>
      </c>
      <c r="D18" s="53">
        <f>'REKAP TOTAL '!Q17</f>
        <v>0</v>
      </c>
      <c r="E18" s="53">
        <f>'REKAP TOTAL '!R17</f>
        <v>35.299999999999997</v>
      </c>
      <c r="F18" s="53" t="e">
        <f>'REKAP TOTAL '!#REF!</f>
        <v>#REF!</v>
      </c>
      <c r="G18" s="53" t="e">
        <f>'REKAP TOTAL '!#REF!</f>
        <v>#REF!</v>
      </c>
      <c r="H18" s="53" t="e">
        <f>'REKAP TOTAL '!#REF!</f>
        <v>#REF!</v>
      </c>
      <c r="I18" s="53" t="e">
        <f>'REKAP TOTAL '!#REF!</f>
        <v>#REF!</v>
      </c>
      <c r="J18" s="53" t="e">
        <f>'REKAP TOTAL '!#REF!</f>
        <v>#REF!</v>
      </c>
      <c r="K18" s="53" t="e">
        <f>'REKAP TOTAL '!#REF!</f>
        <v>#REF!</v>
      </c>
      <c r="L18" s="176">
        <f>'REKAP TOTAL '!X17</f>
        <v>3920.1613200000002</v>
      </c>
      <c r="M18" s="178">
        <f>'REKAP TOTAL '!Y17</f>
        <v>8.1552096000000009</v>
      </c>
      <c r="N18" s="52" t="e">
        <f t="shared" si="18"/>
        <v>#REF!</v>
      </c>
      <c r="O18" s="179" t="e">
        <f t="shared" si="15"/>
        <v>#REF!</v>
      </c>
      <c r="P18" s="179" t="e">
        <f t="shared" si="1"/>
        <v>#REF!</v>
      </c>
      <c r="Q18" s="12"/>
      <c r="R18" s="155"/>
      <c r="S18" s="155"/>
      <c r="T18" s="155"/>
      <c r="U18" s="42">
        <v>2022</v>
      </c>
      <c r="V18" s="51">
        <f t="shared" si="16"/>
        <v>3080</v>
      </c>
      <c r="W18" s="73">
        <v>26016</v>
      </c>
      <c r="X18" s="51" t="e">
        <f t="shared" si="3"/>
        <v>#REF!</v>
      </c>
      <c r="Y18" s="73">
        <v>75000</v>
      </c>
      <c r="Z18" s="51">
        <f t="shared" si="4"/>
        <v>72528.121299999999</v>
      </c>
      <c r="AA18" s="73">
        <v>75000</v>
      </c>
      <c r="AB18" s="51" t="e">
        <f t="shared" si="5"/>
        <v>#REF!</v>
      </c>
      <c r="AC18" s="73">
        <v>0</v>
      </c>
      <c r="AD18" s="51" t="e">
        <f t="shared" si="6"/>
        <v>#REF!</v>
      </c>
      <c r="AE18" s="73">
        <v>0</v>
      </c>
      <c r="AF18" s="51" t="e">
        <f t="shared" si="7"/>
        <v>#REF!</v>
      </c>
      <c r="AG18" s="73">
        <v>0</v>
      </c>
      <c r="AH18" s="51" t="e">
        <f t="shared" si="8"/>
        <v>#REF!</v>
      </c>
      <c r="AI18" s="73">
        <v>780000</v>
      </c>
      <c r="AJ18" s="42">
        <v>2022</v>
      </c>
      <c r="AK18" s="51" t="e">
        <f t="shared" si="9"/>
        <v>#REF!</v>
      </c>
      <c r="AL18" s="73">
        <v>0</v>
      </c>
      <c r="AM18" s="51" t="e">
        <f t="shared" si="10"/>
        <v>#REF!</v>
      </c>
      <c r="AN18" s="73">
        <v>0</v>
      </c>
      <c r="AO18" s="51">
        <f t="shared" si="11"/>
        <v>92476.605538799995</v>
      </c>
      <c r="AP18" s="73">
        <v>2760000</v>
      </c>
      <c r="AQ18" s="51">
        <v>181.35225704711215</v>
      </c>
      <c r="AR18" s="51">
        <f t="shared" si="12"/>
        <v>92.425708800000024</v>
      </c>
      <c r="AS18" s="73">
        <v>2916000</v>
      </c>
      <c r="AT18" s="51">
        <v>191.6026020106446</v>
      </c>
      <c r="AU18" s="51" t="e">
        <f t="shared" si="17"/>
        <v>#REF!</v>
      </c>
      <c r="AV18" s="189">
        <f t="shared" si="2"/>
        <v>956388.95485905767</v>
      </c>
      <c r="AW18" s="196" t="e">
        <f t="shared" si="13"/>
        <v>#REF!</v>
      </c>
      <c r="AX18" s="196">
        <f t="shared" si="14"/>
        <v>956388.95485905779</v>
      </c>
    </row>
    <row r="19" spans="1:50" x14ac:dyDescent="0.25">
      <c r="A19" s="42">
        <v>2023</v>
      </c>
      <c r="B19" s="43">
        <v>32886249.889519997</v>
      </c>
      <c r="C19" s="53">
        <f>'REKAP TOTAL '!K18</f>
        <v>258</v>
      </c>
      <c r="D19" s="53">
        <f>'REKAP TOTAL '!Q18</f>
        <v>0</v>
      </c>
      <c r="E19" s="53">
        <f>'REKAP TOTAL '!R18</f>
        <v>35.299999999999997</v>
      </c>
      <c r="F19" s="53" t="e">
        <f>'REKAP TOTAL '!#REF!</f>
        <v>#REF!</v>
      </c>
      <c r="G19" s="53" t="e">
        <f>'REKAP TOTAL '!#REF!</f>
        <v>#REF!</v>
      </c>
      <c r="H19" s="53" t="e">
        <f>'REKAP TOTAL '!#REF!</f>
        <v>#REF!</v>
      </c>
      <c r="I19" s="53" t="e">
        <f>'REKAP TOTAL '!#REF!</f>
        <v>#REF!</v>
      </c>
      <c r="J19" s="53" t="e">
        <f>'REKAP TOTAL '!#REF!</f>
        <v>#REF!</v>
      </c>
      <c r="K19" s="53" t="e">
        <f>'REKAP TOTAL '!#REF!</f>
        <v>#REF!</v>
      </c>
      <c r="L19" s="176">
        <f>'REKAP TOTAL '!X18</f>
        <v>3920.1613200000002</v>
      </c>
      <c r="M19" s="178">
        <f>'REKAP TOTAL '!Y18</f>
        <v>8.1552096000000009</v>
      </c>
      <c r="N19" s="52" t="e">
        <f t="shared" si="18"/>
        <v>#REF!</v>
      </c>
      <c r="O19" s="179" t="e">
        <f t="shared" si="15"/>
        <v>#REF!</v>
      </c>
      <c r="P19" s="179" t="e">
        <f t="shared" si="1"/>
        <v>#REF!</v>
      </c>
      <c r="Q19" s="12"/>
      <c r="R19" s="155"/>
      <c r="S19" s="155"/>
      <c r="T19" s="155"/>
      <c r="U19" s="42">
        <v>2023</v>
      </c>
      <c r="V19" s="51">
        <f t="shared" si="16"/>
        <v>3338</v>
      </c>
      <c r="W19" s="73">
        <v>0</v>
      </c>
      <c r="X19" s="51" t="e">
        <f t="shared" si="3"/>
        <v>#REF!</v>
      </c>
      <c r="Y19" s="73">
        <v>75000</v>
      </c>
      <c r="Z19" s="51">
        <f t="shared" si="4"/>
        <v>72563.421300000002</v>
      </c>
      <c r="AA19" s="73">
        <v>75000</v>
      </c>
      <c r="AB19" s="51" t="e">
        <f t="shared" si="5"/>
        <v>#REF!</v>
      </c>
      <c r="AC19" s="73">
        <v>0</v>
      </c>
      <c r="AD19" s="51" t="e">
        <f t="shared" si="6"/>
        <v>#REF!</v>
      </c>
      <c r="AE19" s="73">
        <v>0</v>
      </c>
      <c r="AF19" s="51" t="e">
        <f t="shared" si="7"/>
        <v>#REF!</v>
      </c>
      <c r="AG19" s="73">
        <v>0</v>
      </c>
      <c r="AH19" s="51" t="e">
        <f t="shared" si="8"/>
        <v>#REF!</v>
      </c>
      <c r="AI19" s="73">
        <v>0</v>
      </c>
      <c r="AJ19" s="42">
        <v>2023</v>
      </c>
      <c r="AK19" s="51" t="e">
        <f t="shared" si="9"/>
        <v>#REF!</v>
      </c>
      <c r="AL19" s="73">
        <v>0</v>
      </c>
      <c r="AM19" s="51" t="e">
        <f t="shared" si="10"/>
        <v>#REF!</v>
      </c>
      <c r="AN19" s="73">
        <v>0</v>
      </c>
      <c r="AO19" s="51">
        <f t="shared" si="11"/>
        <v>96396.766858799994</v>
      </c>
      <c r="AP19" s="73">
        <v>2760000</v>
      </c>
      <c r="AQ19" s="51">
        <v>181.35225704711215</v>
      </c>
      <c r="AR19" s="51">
        <f t="shared" si="12"/>
        <v>100.58091840000003</v>
      </c>
      <c r="AS19" s="73">
        <v>2916000</v>
      </c>
      <c r="AT19" s="51">
        <v>191.6026020106446</v>
      </c>
      <c r="AU19" s="51" t="e">
        <f t="shared" si="17"/>
        <v>#REF!</v>
      </c>
      <c r="AV19" s="189">
        <f t="shared" si="2"/>
        <v>150372.95485905776</v>
      </c>
      <c r="AW19" s="196" t="e">
        <f t="shared" si="13"/>
        <v>#REF!</v>
      </c>
      <c r="AX19" s="196">
        <f t="shared" si="14"/>
        <v>150372.95485905776</v>
      </c>
    </row>
    <row r="20" spans="1:50" x14ac:dyDescent="0.25">
      <c r="A20" s="42">
        <v>2024</v>
      </c>
      <c r="B20" s="43">
        <v>34951042.479208</v>
      </c>
      <c r="C20" s="53">
        <f>'REKAP TOTAL '!K19</f>
        <v>258</v>
      </c>
      <c r="D20" s="53">
        <f>'REKAP TOTAL '!Q19</f>
        <v>101303.09279999997</v>
      </c>
      <c r="E20" s="53">
        <f>'REKAP TOTAL '!R19</f>
        <v>35.299999999999997</v>
      </c>
      <c r="F20" s="53" t="e">
        <f>'REKAP TOTAL '!#REF!</f>
        <v>#REF!</v>
      </c>
      <c r="G20" s="53" t="e">
        <f>'REKAP TOTAL '!#REF!</f>
        <v>#REF!</v>
      </c>
      <c r="H20" s="53" t="e">
        <f>'REKAP TOTAL '!#REF!</f>
        <v>#REF!</v>
      </c>
      <c r="I20" s="53" t="e">
        <f>'REKAP TOTAL '!#REF!</f>
        <v>#REF!</v>
      </c>
      <c r="J20" s="53" t="e">
        <f>'REKAP TOTAL '!#REF!</f>
        <v>#REF!</v>
      </c>
      <c r="K20" s="53">
        <f>'REKAP TOTAL '!S18</f>
        <v>43291.919999999991</v>
      </c>
      <c r="L20" s="176">
        <f>'REKAP TOTAL '!X19</f>
        <v>3920.1613200000002</v>
      </c>
      <c r="M20" s="178">
        <f>'REKAP TOTAL '!Y19</f>
        <v>8.1552096000000009</v>
      </c>
      <c r="N20" s="52" t="e">
        <f t="shared" si="18"/>
        <v>#REF!</v>
      </c>
      <c r="O20" s="179" t="e">
        <f t="shared" si="15"/>
        <v>#REF!</v>
      </c>
      <c r="P20" s="179" t="e">
        <f t="shared" si="1"/>
        <v>#REF!</v>
      </c>
      <c r="Q20" s="12"/>
      <c r="R20" s="155"/>
      <c r="S20" s="155"/>
      <c r="T20" s="155"/>
      <c r="U20" s="42">
        <v>2024</v>
      </c>
      <c r="V20" s="51">
        <f t="shared" si="16"/>
        <v>3596</v>
      </c>
      <c r="W20" s="73">
        <v>0</v>
      </c>
      <c r="X20" s="51" t="e">
        <f t="shared" si="3"/>
        <v>#REF!</v>
      </c>
      <c r="Y20" s="73">
        <v>75000</v>
      </c>
      <c r="Z20" s="51">
        <f t="shared" si="4"/>
        <v>72598.721300000005</v>
      </c>
      <c r="AA20" s="73">
        <v>75000</v>
      </c>
      <c r="AB20" s="51" t="e">
        <f t="shared" si="5"/>
        <v>#REF!</v>
      </c>
      <c r="AC20" s="73">
        <v>0</v>
      </c>
      <c r="AD20" s="51" t="e">
        <f t="shared" si="6"/>
        <v>#REF!</v>
      </c>
      <c r="AE20" s="73">
        <v>0</v>
      </c>
      <c r="AF20" s="51" t="e">
        <f t="shared" si="7"/>
        <v>#REF!</v>
      </c>
      <c r="AG20" s="73">
        <v>0</v>
      </c>
      <c r="AH20" s="51" t="e">
        <f t="shared" si="8"/>
        <v>#REF!</v>
      </c>
      <c r="AI20" s="73">
        <v>0</v>
      </c>
      <c r="AJ20" s="42">
        <v>2024</v>
      </c>
      <c r="AK20" s="51" t="e">
        <f t="shared" si="9"/>
        <v>#REF!</v>
      </c>
      <c r="AL20" s="73">
        <v>0</v>
      </c>
      <c r="AM20" s="51" t="e">
        <f t="shared" si="10"/>
        <v>#REF!</v>
      </c>
      <c r="AN20" s="73">
        <v>0</v>
      </c>
      <c r="AO20" s="51">
        <f t="shared" si="11"/>
        <v>100316.92817879999</v>
      </c>
      <c r="AP20" s="73">
        <v>2760000</v>
      </c>
      <c r="AQ20" s="51">
        <v>181.35225704711215</v>
      </c>
      <c r="AR20" s="51">
        <f t="shared" si="12"/>
        <v>108.73612800000004</v>
      </c>
      <c r="AS20" s="73">
        <v>2916000</v>
      </c>
      <c r="AT20" s="51">
        <v>191.6026020106446</v>
      </c>
      <c r="AU20" s="51" t="e">
        <f>AU19+N20</f>
        <v>#REF!</v>
      </c>
      <c r="AV20" s="189">
        <f t="shared" si="2"/>
        <v>150372.95485905776</v>
      </c>
      <c r="AW20" s="196" t="e">
        <f t="shared" si="13"/>
        <v>#REF!</v>
      </c>
      <c r="AX20" s="196">
        <f t="shared" si="14"/>
        <v>150372.95485905776</v>
      </c>
    </row>
    <row r="21" spans="1:50" x14ac:dyDescent="0.25">
      <c r="A21" s="42">
        <v>2025</v>
      </c>
      <c r="B21" s="43">
        <v>36711946.621359996</v>
      </c>
      <c r="C21" s="182">
        <f>'REKAP TOTAL '!K20</f>
        <v>258</v>
      </c>
      <c r="D21" s="53">
        <f>'REKAP TOTAL '!Q20</f>
        <v>0</v>
      </c>
      <c r="E21" s="53">
        <f>'REKAP TOTAL '!R20</f>
        <v>35.299999999999997</v>
      </c>
      <c r="F21" s="53" t="e">
        <f>'REKAP TOTAL '!#REF!</f>
        <v>#REF!</v>
      </c>
      <c r="G21" s="53" t="e">
        <f>'REKAP TOTAL '!#REF!</f>
        <v>#REF!</v>
      </c>
      <c r="H21" s="53" t="e">
        <f>'REKAP TOTAL '!#REF!</f>
        <v>#REF!</v>
      </c>
      <c r="I21" s="53" t="e">
        <f>'REKAP TOTAL '!#REF!</f>
        <v>#REF!</v>
      </c>
      <c r="J21" s="53" t="e">
        <f>'REKAP TOTAL '!#REF!</f>
        <v>#REF!</v>
      </c>
      <c r="K21" s="53">
        <f>'REKAP TOTAL '!S20</f>
        <v>43291.919999999991</v>
      </c>
      <c r="L21" s="176">
        <f>'REKAP TOTAL '!X20</f>
        <v>3920.1613200000002</v>
      </c>
      <c r="M21" s="178">
        <f>'REKAP TOTAL '!Y20</f>
        <v>8.1552096000000009</v>
      </c>
      <c r="N21" s="52" t="e">
        <f t="shared" si="18"/>
        <v>#REF!</v>
      </c>
      <c r="O21" s="179" t="e">
        <f t="shared" si="15"/>
        <v>#REF!</v>
      </c>
      <c r="P21" s="179" t="e">
        <f t="shared" si="1"/>
        <v>#REF!</v>
      </c>
      <c r="Q21" s="12"/>
      <c r="R21" s="155"/>
      <c r="S21" s="155"/>
      <c r="T21" s="155"/>
      <c r="U21" s="42">
        <v>2025</v>
      </c>
      <c r="V21" s="51">
        <f t="shared" si="16"/>
        <v>3854</v>
      </c>
      <c r="W21" s="73">
        <v>35100</v>
      </c>
      <c r="X21" s="51" t="e">
        <f t="shared" si="3"/>
        <v>#REF!</v>
      </c>
      <c r="Y21" s="73">
        <v>75000</v>
      </c>
      <c r="Z21" s="51">
        <f t="shared" si="4"/>
        <v>72634.021300000008</v>
      </c>
      <c r="AA21" s="73">
        <v>75000</v>
      </c>
      <c r="AB21" s="51" t="e">
        <f t="shared" si="5"/>
        <v>#REF!</v>
      </c>
      <c r="AC21" s="73">
        <v>600000</v>
      </c>
      <c r="AD21" s="51" t="e">
        <f t="shared" si="6"/>
        <v>#REF!</v>
      </c>
      <c r="AE21" s="73">
        <v>120000</v>
      </c>
      <c r="AF21" s="51" t="e">
        <f t="shared" si="7"/>
        <v>#REF!</v>
      </c>
      <c r="AG21" s="73">
        <v>1500000</v>
      </c>
      <c r="AH21" s="51" t="e">
        <f t="shared" si="8"/>
        <v>#REF!</v>
      </c>
      <c r="AI21" s="73">
        <v>0</v>
      </c>
      <c r="AJ21" s="42">
        <v>2025</v>
      </c>
      <c r="AK21" s="51" t="e">
        <f t="shared" si="9"/>
        <v>#REF!</v>
      </c>
      <c r="AL21" s="73">
        <v>300000</v>
      </c>
      <c r="AM21" s="51" t="e">
        <f t="shared" si="10"/>
        <v>#REF!</v>
      </c>
      <c r="AN21" s="73">
        <v>0</v>
      </c>
      <c r="AO21" s="51">
        <f t="shared" si="11"/>
        <v>104237.08949879999</v>
      </c>
      <c r="AP21" s="73">
        <v>2760000</v>
      </c>
      <c r="AQ21" s="51">
        <v>181.35225704711215</v>
      </c>
      <c r="AR21" s="51">
        <f t="shared" si="12"/>
        <v>116.89133760000004</v>
      </c>
      <c r="AS21" s="73">
        <v>2916000</v>
      </c>
      <c r="AT21" s="51">
        <v>191.6026020106446</v>
      </c>
      <c r="AU21" s="51" t="e">
        <f t="shared" si="17"/>
        <v>#REF!</v>
      </c>
      <c r="AV21" s="189">
        <f t="shared" si="2"/>
        <v>2705472.9548590579</v>
      </c>
      <c r="AW21" s="196" t="e">
        <f t="shared" si="13"/>
        <v>#REF!</v>
      </c>
      <c r="AX21" s="196">
        <f t="shared" si="14"/>
        <v>2705472.9548590579</v>
      </c>
    </row>
    <row r="22" spans="1:50" x14ac:dyDescent="0.25">
      <c r="A22" s="42">
        <v>2026</v>
      </c>
      <c r="B22" s="43">
        <v>40362973.365040004</v>
      </c>
      <c r="C22" s="53">
        <f>'REKAP TOTAL '!K21</f>
        <v>258</v>
      </c>
      <c r="D22" s="53">
        <f>'REKAP TOTAL '!Q21</f>
        <v>0</v>
      </c>
      <c r="E22" s="53">
        <f>'REKAP TOTAL '!R21</f>
        <v>35.299999999999997</v>
      </c>
      <c r="F22" s="53" t="e">
        <f>'REKAP TOTAL '!#REF!</f>
        <v>#REF!</v>
      </c>
      <c r="G22" s="53" t="e">
        <f>'REKAP TOTAL '!#REF!</f>
        <v>#REF!</v>
      </c>
      <c r="H22" s="53" t="e">
        <f>'REKAP TOTAL '!#REF!</f>
        <v>#REF!</v>
      </c>
      <c r="I22" s="53" t="e">
        <f>'REKAP TOTAL '!#REF!</f>
        <v>#REF!</v>
      </c>
      <c r="J22" s="53" t="e">
        <f>'REKAP TOTAL '!#REF!</f>
        <v>#REF!</v>
      </c>
      <c r="K22" s="53">
        <f>'REKAP TOTAL '!S21</f>
        <v>0</v>
      </c>
      <c r="L22" s="176">
        <f>'REKAP TOTAL '!X21</f>
        <v>3920.1613200000002</v>
      </c>
      <c r="M22" s="178">
        <f>'REKAP TOTAL '!Y21</f>
        <v>8.1552096000000009</v>
      </c>
      <c r="N22" s="52" t="e">
        <f t="shared" si="18"/>
        <v>#REF!</v>
      </c>
      <c r="O22" s="179" t="e">
        <f t="shared" si="15"/>
        <v>#REF!</v>
      </c>
      <c r="P22" s="179" t="e">
        <f t="shared" si="1"/>
        <v>#REF!</v>
      </c>
      <c r="Q22" s="12"/>
      <c r="R22" s="155"/>
      <c r="S22" s="155"/>
      <c r="T22" s="155"/>
      <c r="U22" s="42">
        <v>2026</v>
      </c>
      <c r="V22" s="51">
        <f t="shared" si="16"/>
        <v>4112</v>
      </c>
      <c r="W22" s="73">
        <v>0</v>
      </c>
      <c r="X22" s="51" t="e">
        <f t="shared" si="3"/>
        <v>#REF!</v>
      </c>
      <c r="Y22" s="73">
        <v>75000</v>
      </c>
      <c r="Z22" s="51">
        <f t="shared" si="4"/>
        <v>72669.321300000011</v>
      </c>
      <c r="AA22" s="73">
        <v>75000</v>
      </c>
      <c r="AB22" s="51" t="e">
        <f t="shared" si="5"/>
        <v>#REF!</v>
      </c>
      <c r="AC22" s="73">
        <v>600000</v>
      </c>
      <c r="AD22" s="51" t="e">
        <f t="shared" si="6"/>
        <v>#REF!</v>
      </c>
      <c r="AE22" s="73">
        <v>1200000</v>
      </c>
      <c r="AF22" s="51" t="e">
        <f t="shared" si="7"/>
        <v>#REF!</v>
      </c>
      <c r="AG22" s="73">
        <v>1500000</v>
      </c>
      <c r="AH22" s="51" t="e">
        <f t="shared" si="8"/>
        <v>#REF!</v>
      </c>
      <c r="AI22" s="73">
        <v>0</v>
      </c>
      <c r="AJ22" s="42">
        <v>2026</v>
      </c>
      <c r="AK22" s="51" t="e">
        <f t="shared" si="9"/>
        <v>#REF!</v>
      </c>
      <c r="AL22" s="73">
        <v>300000</v>
      </c>
      <c r="AM22" s="51" t="e">
        <f t="shared" si="10"/>
        <v>#REF!</v>
      </c>
      <c r="AN22" s="73">
        <v>0</v>
      </c>
      <c r="AO22" s="51">
        <f t="shared" si="11"/>
        <v>108157.25081879999</v>
      </c>
      <c r="AP22" s="73">
        <v>2760000</v>
      </c>
      <c r="AQ22" s="51">
        <v>181.35225704711215</v>
      </c>
      <c r="AR22" s="51">
        <f t="shared" si="12"/>
        <v>125.04654720000005</v>
      </c>
      <c r="AS22" s="73">
        <v>2916000</v>
      </c>
      <c r="AT22" s="51">
        <v>191.6026020106446</v>
      </c>
      <c r="AU22" s="51" t="e">
        <f t="shared" si="17"/>
        <v>#REF!</v>
      </c>
      <c r="AV22" s="189">
        <f t="shared" si="2"/>
        <v>3750372.9548590579</v>
      </c>
      <c r="AW22" s="196" t="e">
        <f t="shared" si="13"/>
        <v>#REF!</v>
      </c>
      <c r="AX22" s="196">
        <f t="shared" si="14"/>
        <v>3750372.9548590579</v>
      </c>
    </row>
    <row r="23" spans="1:50" x14ac:dyDescent="0.25">
      <c r="A23" s="42">
        <v>2027</v>
      </c>
      <c r="B23" s="43">
        <v>44014000.108720005</v>
      </c>
      <c r="C23" s="53">
        <f>'REKAP TOTAL '!K22</f>
        <v>258</v>
      </c>
      <c r="D23" s="53">
        <f>'REKAP TOTAL '!Q22</f>
        <v>0</v>
      </c>
      <c r="E23" s="53">
        <f>'REKAP TOTAL '!R22</f>
        <v>35.299999999999997</v>
      </c>
      <c r="F23" s="53" t="e">
        <f>'REKAP TOTAL '!#REF!</f>
        <v>#REF!</v>
      </c>
      <c r="G23" s="53" t="e">
        <f>'REKAP TOTAL '!#REF!</f>
        <v>#REF!</v>
      </c>
      <c r="H23" s="53" t="e">
        <f>'REKAP TOTAL '!#REF!</f>
        <v>#REF!</v>
      </c>
      <c r="I23" s="53" t="e">
        <f>'REKAP TOTAL '!#REF!</f>
        <v>#REF!</v>
      </c>
      <c r="J23" s="53" t="e">
        <f>'REKAP TOTAL '!#REF!</f>
        <v>#REF!</v>
      </c>
      <c r="K23" s="53">
        <f>'REKAP TOTAL '!S22</f>
        <v>0</v>
      </c>
      <c r="L23" s="176">
        <f>'REKAP TOTAL '!X22</f>
        <v>3920.1613200000002</v>
      </c>
      <c r="M23" s="178">
        <f>'REKAP TOTAL '!Y22</f>
        <v>8.1552096000000009</v>
      </c>
      <c r="N23" s="52" t="e">
        <f t="shared" si="18"/>
        <v>#REF!</v>
      </c>
      <c r="O23" s="179" t="e">
        <f t="shared" si="15"/>
        <v>#REF!</v>
      </c>
      <c r="P23" s="179" t="e">
        <f t="shared" si="1"/>
        <v>#REF!</v>
      </c>
      <c r="Q23" s="12"/>
      <c r="R23" s="155"/>
      <c r="S23" s="155"/>
      <c r="T23" s="155"/>
      <c r="U23" s="42">
        <v>2027</v>
      </c>
      <c r="V23" s="51">
        <f t="shared" si="16"/>
        <v>4370</v>
      </c>
      <c r="W23" s="73">
        <v>0</v>
      </c>
      <c r="X23" s="51" t="e">
        <f t="shared" si="3"/>
        <v>#REF!</v>
      </c>
      <c r="Y23" s="73">
        <v>75000</v>
      </c>
      <c r="Z23" s="51">
        <f t="shared" si="4"/>
        <v>72704.621300000013</v>
      </c>
      <c r="AA23" s="73">
        <v>75000</v>
      </c>
      <c r="AB23" s="51" t="e">
        <f t="shared" si="5"/>
        <v>#REF!</v>
      </c>
      <c r="AC23" s="73">
        <v>600000</v>
      </c>
      <c r="AD23" s="51" t="e">
        <f t="shared" si="6"/>
        <v>#REF!</v>
      </c>
      <c r="AE23" s="73">
        <v>1200000</v>
      </c>
      <c r="AF23" s="51" t="e">
        <f t="shared" si="7"/>
        <v>#REF!</v>
      </c>
      <c r="AG23" s="73">
        <v>1500000</v>
      </c>
      <c r="AH23" s="51" t="e">
        <f t="shared" si="8"/>
        <v>#REF!</v>
      </c>
      <c r="AI23" s="73">
        <v>0</v>
      </c>
      <c r="AJ23" s="42">
        <v>2027</v>
      </c>
      <c r="AK23" s="51" t="e">
        <f t="shared" si="9"/>
        <v>#REF!</v>
      </c>
      <c r="AL23" s="73">
        <v>300000</v>
      </c>
      <c r="AM23" s="51" t="e">
        <f t="shared" si="10"/>
        <v>#REF!</v>
      </c>
      <c r="AN23" s="73">
        <v>0</v>
      </c>
      <c r="AO23" s="51">
        <f t="shared" si="11"/>
        <v>112077.41213879999</v>
      </c>
      <c r="AP23" s="73">
        <v>2760000</v>
      </c>
      <c r="AQ23" s="51">
        <v>181.35225704711215</v>
      </c>
      <c r="AR23" s="51">
        <f t="shared" si="12"/>
        <v>133.20175680000006</v>
      </c>
      <c r="AS23" s="73">
        <v>2916000</v>
      </c>
      <c r="AT23" s="51">
        <v>191.6026020106446</v>
      </c>
      <c r="AU23" s="51" t="e">
        <f t="shared" si="17"/>
        <v>#REF!</v>
      </c>
      <c r="AV23" s="189">
        <f t="shared" si="2"/>
        <v>3750372.9548590579</v>
      </c>
      <c r="AW23" s="196" t="e">
        <f t="shared" si="13"/>
        <v>#REF!</v>
      </c>
      <c r="AX23" s="196">
        <f t="shared" si="14"/>
        <v>3750372.9548590579</v>
      </c>
    </row>
    <row r="24" spans="1:50" x14ac:dyDescent="0.25">
      <c r="A24" s="42">
        <v>2028</v>
      </c>
      <c r="B24" s="43">
        <v>47665026.85239999</v>
      </c>
      <c r="C24" s="53">
        <f>'REKAP TOTAL '!K23</f>
        <v>258</v>
      </c>
      <c r="D24" s="53">
        <f>'REKAP TOTAL '!Q23</f>
        <v>0</v>
      </c>
      <c r="E24" s="53">
        <f>'REKAP TOTAL '!R23</f>
        <v>35.299999999999997</v>
      </c>
      <c r="F24" s="53" t="e">
        <f>'REKAP TOTAL '!#REF!</f>
        <v>#REF!</v>
      </c>
      <c r="G24" s="53" t="e">
        <f>'REKAP TOTAL '!#REF!</f>
        <v>#REF!</v>
      </c>
      <c r="H24" s="53" t="e">
        <f>'REKAP TOTAL '!#REF!</f>
        <v>#REF!</v>
      </c>
      <c r="I24" s="53" t="e">
        <f>'REKAP TOTAL '!#REF!</f>
        <v>#REF!</v>
      </c>
      <c r="J24" s="53" t="e">
        <f>'REKAP TOTAL '!#REF!</f>
        <v>#REF!</v>
      </c>
      <c r="K24" s="53">
        <f>'REKAP TOTAL '!S23</f>
        <v>0</v>
      </c>
      <c r="L24" s="176">
        <f>'REKAP TOTAL '!X23</f>
        <v>3920.1613200000002</v>
      </c>
      <c r="M24" s="178">
        <f>'REKAP TOTAL '!Y23</f>
        <v>8.1552096000000009</v>
      </c>
      <c r="N24" s="52" t="e">
        <f t="shared" si="18"/>
        <v>#REF!</v>
      </c>
      <c r="O24" s="179" t="e">
        <f t="shared" si="15"/>
        <v>#REF!</v>
      </c>
      <c r="P24" s="179" t="e">
        <f t="shared" si="1"/>
        <v>#REF!</v>
      </c>
      <c r="Q24" s="12"/>
      <c r="R24" s="155"/>
      <c r="S24" s="155"/>
      <c r="T24" s="155"/>
      <c r="U24" s="42">
        <v>2028</v>
      </c>
      <c r="V24" s="51">
        <f t="shared" si="16"/>
        <v>4628</v>
      </c>
      <c r="W24" s="73">
        <v>0</v>
      </c>
      <c r="X24" s="51" t="e">
        <f t="shared" si="3"/>
        <v>#REF!</v>
      </c>
      <c r="Y24" s="73">
        <v>75000</v>
      </c>
      <c r="Z24" s="51">
        <f t="shared" si="4"/>
        <v>72739.921300000016</v>
      </c>
      <c r="AA24" s="73">
        <v>75000</v>
      </c>
      <c r="AB24" s="51" t="e">
        <f t="shared" si="5"/>
        <v>#REF!</v>
      </c>
      <c r="AC24" s="73">
        <v>600000</v>
      </c>
      <c r="AD24" s="51" t="e">
        <f t="shared" si="6"/>
        <v>#REF!</v>
      </c>
      <c r="AE24" s="73">
        <v>1200000</v>
      </c>
      <c r="AF24" s="51" t="e">
        <f t="shared" si="7"/>
        <v>#REF!</v>
      </c>
      <c r="AG24" s="73">
        <v>1500000</v>
      </c>
      <c r="AH24" s="51" t="e">
        <f t="shared" si="8"/>
        <v>#REF!</v>
      </c>
      <c r="AI24" s="73">
        <v>0</v>
      </c>
      <c r="AJ24" s="42">
        <v>2028</v>
      </c>
      <c r="AK24" s="51" t="e">
        <f t="shared" si="9"/>
        <v>#REF!</v>
      </c>
      <c r="AL24" s="73">
        <v>300000</v>
      </c>
      <c r="AM24" s="51" t="e">
        <f t="shared" si="10"/>
        <v>#REF!</v>
      </c>
      <c r="AN24" s="73">
        <v>0</v>
      </c>
      <c r="AO24" s="51">
        <f t="shared" si="11"/>
        <v>115997.57345879999</v>
      </c>
      <c r="AP24" s="73">
        <v>2760000</v>
      </c>
      <c r="AQ24" s="51">
        <v>181.35225704711215</v>
      </c>
      <c r="AR24" s="51">
        <f t="shared" si="12"/>
        <v>141.35696640000006</v>
      </c>
      <c r="AS24" s="73">
        <v>2916000</v>
      </c>
      <c r="AT24" s="51">
        <v>191.6026020106446</v>
      </c>
      <c r="AU24" s="51" t="e">
        <f t="shared" si="17"/>
        <v>#REF!</v>
      </c>
      <c r="AV24" s="189">
        <f t="shared" si="2"/>
        <v>3750372.9548590579</v>
      </c>
      <c r="AW24" s="196" t="e">
        <f t="shared" si="13"/>
        <v>#REF!</v>
      </c>
      <c r="AX24" s="196">
        <f t="shared" si="14"/>
        <v>3750372.9548590579</v>
      </c>
    </row>
    <row r="25" spans="1:50" x14ac:dyDescent="0.25">
      <c r="A25" s="42">
        <v>2029</v>
      </c>
      <c r="B25" s="43">
        <v>51316053.596080005</v>
      </c>
      <c r="C25" s="53">
        <f>'REKAP TOTAL '!K24</f>
        <v>258</v>
      </c>
      <c r="D25" s="53">
        <f>'REKAP TOTAL '!Q24</f>
        <v>0</v>
      </c>
      <c r="E25" s="53">
        <f>'REKAP TOTAL '!R24</f>
        <v>35.299999999999997</v>
      </c>
      <c r="F25" s="53" t="e">
        <f>'REKAP TOTAL '!#REF!</f>
        <v>#REF!</v>
      </c>
      <c r="G25" s="53" t="e">
        <f>'REKAP TOTAL '!#REF!</f>
        <v>#REF!</v>
      </c>
      <c r="H25" s="53" t="e">
        <f>'REKAP TOTAL '!#REF!</f>
        <v>#REF!</v>
      </c>
      <c r="I25" s="53" t="e">
        <f>'REKAP TOTAL '!#REF!</f>
        <v>#REF!</v>
      </c>
      <c r="J25" s="53" t="e">
        <f>'REKAP TOTAL '!#REF!</f>
        <v>#REF!</v>
      </c>
      <c r="K25" s="53">
        <f>'REKAP TOTAL '!S24</f>
        <v>0</v>
      </c>
      <c r="L25" s="176">
        <f>'REKAP TOTAL '!X24</f>
        <v>3920.1613200000002</v>
      </c>
      <c r="M25" s="178">
        <f>'REKAP TOTAL '!Y24</f>
        <v>8.1552096000000009</v>
      </c>
      <c r="N25" s="52" t="e">
        <f t="shared" si="18"/>
        <v>#REF!</v>
      </c>
      <c r="O25" s="179" t="e">
        <f t="shared" si="15"/>
        <v>#REF!</v>
      </c>
      <c r="P25" s="179" t="e">
        <f t="shared" si="1"/>
        <v>#REF!</v>
      </c>
      <c r="Q25" s="12"/>
      <c r="R25" s="155"/>
      <c r="S25" s="155"/>
      <c r="T25" s="155"/>
      <c r="U25" s="42">
        <v>2029</v>
      </c>
      <c r="V25" s="51">
        <f t="shared" si="16"/>
        <v>4886</v>
      </c>
      <c r="W25" s="73">
        <v>0</v>
      </c>
      <c r="X25" s="51" t="e">
        <f t="shared" si="3"/>
        <v>#REF!</v>
      </c>
      <c r="Y25" s="73">
        <v>75000</v>
      </c>
      <c r="Z25" s="51">
        <f t="shared" si="4"/>
        <v>72775.221300000019</v>
      </c>
      <c r="AA25" s="73">
        <v>75000</v>
      </c>
      <c r="AB25" s="51" t="e">
        <f t="shared" si="5"/>
        <v>#REF!</v>
      </c>
      <c r="AC25" s="73">
        <v>600000</v>
      </c>
      <c r="AD25" s="51" t="e">
        <f t="shared" si="6"/>
        <v>#REF!</v>
      </c>
      <c r="AE25" s="73">
        <v>1200000</v>
      </c>
      <c r="AF25" s="51" t="e">
        <f t="shared" si="7"/>
        <v>#REF!</v>
      </c>
      <c r="AG25" s="73">
        <v>1500000</v>
      </c>
      <c r="AH25" s="51" t="e">
        <f t="shared" si="8"/>
        <v>#REF!</v>
      </c>
      <c r="AI25" s="73">
        <v>0</v>
      </c>
      <c r="AJ25" s="42">
        <v>2029</v>
      </c>
      <c r="AK25" s="51" t="e">
        <f t="shared" si="9"/>
        <v>#REF!</v>
      </c>
      <c r="AL25" s="73">
        <v>300000</v>
      </c>
      <c r="AM25" s="51" t="e">
        <f t="shared" si="10"/>
        <v>#REF!</v>
      </c>
      <c r="AN25" s="73">
        <v>0</v>
      </c>
      <c r="AO25" s="51">
        <f t="shared" si="11"/>
        <v>119917.73477879999</v>
      </c>
      <c r="AP25" s="73">
        <v>2760000</v>
      </c>
      <c r="AQ25" s="51">
        <v>181.35225704711215</v>
      </c>
      <c r="AR25" s="51">
        <f t="shared" si="12"/>
        <v>149.51217600000007</v>
      </c>
      <c r="AS25" s="73">
        <v>2916000</v>
      </c>
      <c r="AT25" s="51">
        <v>191.6026020106446</v>
      </c>
      <c r="AU25" s="51" t="e">
        <f t="shared" si="17"/>
        <v>#REF!</v>
      </c>
      <c r="AV25" s="189">
        <f t="shared" si="2"/>
        <v>3750372.9548590579</v>
      </c>
      <c r="AW25" s="196" t="e">
        <f t="shared" si="13"/>
        <v>#REF!</v>
      </c>
      <c r="AX25" s="196">
        <f t="shared" si="14"/>
        <v>3750372.9548590579</v>
      </c>
    </row>
    <row r="26" spans="1:50" x14ac:dyDescent="0.25">
      <c r="A26" s="42">
        <v>2030</v>
      </c>
      <c r="B26" s="44">
        <v>54967080.339760005</v>
      </c>
      <c r="C26" s="53">
        <f>'REKAP TOTAL '!K25</f>
        <v>258</v>
      </c>
      <c r="D26" s="53">
        <f>'REKAP TOTAL '!Q25</f>
        <v>0</v>
      </c>
      <c r="E26" s="53">
        <f>'REKAP TOTAL '!R25</f>
        <v>0</v>
      </c>
      <c r="F26" s="53" t="e">
        <f>'REKAP TOTAL '!#REF!</f>
        <v>#REF!</v>
      </c>
      <c r="G26" s="53" t="e">
        <f>'REKAP TOTAL '!#REF!</f>
        <v>#REF!</v>
      </c>
      <c r="H26" s="53" t="e">
        <f>'REKAP TOTAL '!#REF!</f>
        <v>#REF!</v>
      </c>
      <c r="I26" s="53" t="e">
        <f>'REKAP TOTAL '!#REF!</f>
        <v>#REF!</v>
      </c>
      <c r="J26" s="53" t="e">
        <f>'REKAP TOTAL '!#REF!</f>
        <v>#REF!</v>
      </c>
      <c r="K26" s="53">
        <f>'REKAP TOTAL '!S25</f>
        <v>0</v>
      </c>
      <c r="L26" s="176">
        <f>'REKAP TOTAL '!X25</f>
        <v>3920.1613200000002</v>
      </c>
      <c r="M26" s="178">
        <f>'REKAP TOTAL '!Y25</f>
        <v>8.1552096000000009</v>
      </c>
      <c r="N26" s="52" t="e">
        <f t="shared" si="18"/>
        <v>#REF!</v>
      </c>
      <c r="O26" s="179" t="e">
        <f t="shared" si="15"/>
        <v>#REF!</v>
      </c>
      <c r="P26" s="179" t="e">
        <f>B26-O26</f>
        <v>#REF!</v>
      </c>
      <c r="Q26" s="12"/>
      <c r="R26" s="155"/>
      <c r="S26" s="155"/>
      <c r="T26" s="155"/>
      <c r="U26" s="42">
        <v>2030</v>
      </c>
      <c r="V26" s="51">
        <f t="shared" si="16"/>
        <v>5144</v>
      </c>
      <c r="W26" s="73">
        <v>0</v>
      </c>
      <c r="X26" s="51" t="e">
        <f t="shared" si="3"/>
        <v>#REF!</v>
      </c>
      <c r="Y26" s="73">
        <v>150000</v>
      </c>
      <c r="Z26" s="51">
        <f t="shared" si="4"/>
        <v>72775.221300000019</v>
      </c>
      <c r="AA26" s="73">
        <v>150000</v>
      </c>
      <c r="AB26" s="51" t="e">
        <f t="shared" si="5"/>
        <v>#REF!</v>
      </c>
      <c r="AC26" s="73">
        <v>1050000</v>
      </c>
      <c r="AD26" s="51" t="e">
        <f t="shared" si="6"/>
        <v>#REF!</v>
      </c>
      <c r="AE26" s="73">
        <v>2250000</v>
      </c>
      <c r="AF26" s="51" t="e">
        <f t="shared" si="7"/>
        <v>#REF!</v>
      </c>
      <c r="AG26" s="73">
        <v>3000000</v>
      </c>
      <c r="AH26" s="51" t="e">
        <f t="shared" si="8"/>
        <v>#REF!</v>
      </c>
      <c r="AI26" s="73">
        <v>0</v>
      </c>
      <c r="AJ26" s="42">
        <v>2030</v>
      </c>
      <c r="AK26" s="51" t="e">
        <f t="shared" si="9"/>
        <v>#REF!</v>
      </c>
      <c r="AL26" s="73">
        <v>750000</v>
      </c>
      <c r="AM26" s="51" t="e">
        <f t="shared" si="10"/>
        <v>#REF!</v>
      </c>
      <c r="AN26" s="73">
        <v>0</v>
      </c>
      <c r="AO26" s="51">
        <f t="shared" si="11"/>
        <v>123837.89609879999</v>
      </c>
      <c r="AP26" s="73">
        <v>2760000</v>
      </c>
      <c r="AQ26" s="51">
        <v>181.35225704711215</v>
      </c>
      <c r="AR26" s="51">
        <f t="shared" si="12"/>
        <v>157.66738560000007</v>
      </c>
      <c r="AS26" s="73">
        <v>2916000</v>
      </c>
      <c r="AT26" s="51">
        <v>191.6026020106446</v>
      </c>
      <c r="AU26" s="51" t="e">
        <f>AU25+N26</f>
        <v>#REF!</v>
      </c>
      <c r="AV26" s="189">
        <f t="shared" si="2"/>
        <v>7350372.9548590574</v>
      </c>
      <c r="AW26" s="196" t="e">
        <f t="shared" si="13"/>
        <v>#REF!</v>
      </c>
      <c r="AX26" s="196">
        <f t="shared" si="14"/>
        <v>7350372.9548590574</v>
      </c>
    </row>
    <row r="27" spans="1:50" ht="18.75" x14ac:dyDescent="0.25">
      <c r="A27" s="664" t="s">
        <v>37</v>
      </c>
      <c r="B27" s="664"/>
      <c r="C27" s="664"/>
      <c r="D27" s="664"/>
      <c r="E27" s="664"/>
      <c r="F27" s="664"/>
      <c r="G27" s="664"/>
      <c r="H27" s="664"/>
      <c r="I27" s="664"/>
      <c r="J27" s="664"/>
      <c r="K27" s="664"/>
      <c r="L27" s="664"/>
      <c r="M27" s="664"/>
      <c r="N27" s="664"/>
      <c r="O27" s="664"/>
      <c r="P27" s="45" t="e">
        <f>O26/B26</f>
        <v>#REF!</v>
      </c>
      <c r="U27" s="187" t="s">
        <v>34</v>
      </c>
      <c r="V27" s="51"/>
      <c r="W27" s="51">
        <f>SUM(W6:W26)</f>
        <v>343851</v>
      </c>
      <c r="X27" s="51"/>
      <c r="Y27" s="51">
        <f>SUM(Y6:Y26)</f>
        <v>975000</v>
      </c>
      <c r="Z27" s="51"/>
      <c r="AA27" s="51">
        <f>SUM(AA6:AA26)</f>
        <v>975000</v>
      </c>
      <c r="AB27" s="51"/>
      <c r="AC27" s="51">
        <f>SUM(AC6:AC26)</f>
        <v>4050000</v>
      </c>
      <c r="AD27" s="51"/>
      <c r="AE27" s="51">
        <f>SUM(AE6:AE26)</f>
        <v>7170000</v>
      </c>
      <c r="AF27" s="51"/>
      <c r="AG27" s="51">
        <f>SUM(AG6:AG26)</f>
        <v>10500000</v>
      </c>
      <c r="AH27" s="51"/>
      <c r="AI27" s="51">
        <f>SUM(AI6:AI26)</f>
        <v>1560000</v>
      </c>
      <c r="AJ27" s="187" t="s">
        <v>34</v>
      </c>
      <c r="AK27" s="51"/>
      <c r="AL27" s="51">
        <f>SUM(AL6:AL26)</f>
        <v>2250000</v>
      </c>
      <c r="AM27" s="51"/>
      <c r="AN27" s="51">
        <f>SUM(AN6:AN26)</f>
        <v>15000</v>
      </c>
      <c r="AO27" s="51"/>
      <c r="AP27" s="51"/>
      <c r="AQ27" s="51">
        <f>SUM(AQ6:AQ26)</f>
        <v>2680.8594520007882</v>
      </c>
      <c r="AR27" s="51"/>
      <c r="AS27" s="51"/>
      <c r="AT27" s="51">
        <f>SUM(AT6:AT26)</f>
        <v>3736.2507392075704</v>
      </c>
      <c r="AU27" s="51"/>
      <c r="AV27" s="192">
        <f>SUM(AV6:AV26)</f>
        <v>27845268.110191211</v>
      </c>
    </row>
    <row r="28" spans="1:50" ht="75" x14ac:dyDescent="0.25">
      <c r="U28" s="190" t="s">
        <v>234</v>
      </c>
      <c r="V28" s="191"/>
      <c r="W28" s="191">
        <f>W27/V26</f>
        <v>66.845062208398133</v>
      </c>
      <c r="X28" s="191"/>
      <c r="Y28" s="191" t="e">
        <f>Y27/X26</f>
        <v>#REF!</v>
      </c>
      <c r="Z28" s="191"/>
      <c r="AA28" s="191">
        <f>AA27/Z26</f>
        <v>13.397417178310933</v>
      </c>
      <c r="AB28" s="191"/>
      <c r="AC28" s="191" t="e">
        <f>AC27/AB26</f>
        <v>#REF!</v>
      </c>
      <c r="AD28" s="191"/>
      <c r="AE28" s="191" t="e">
        <f>AE27/AD26</f>
        <v>#REF!</v>
      </c>
      <c r="AF28" s="191"/>
      <c r="AG28" s="191" t="e">
        <f>AG27/AF26</f>
        <v>#REF!</v>
      </c>
      <c r="AH28" s="191"/>
      <c r="AI28" s="191" t="e">
        <f>AI27/AH26</f>
        <v>#REF!</v>
      </c>
      <c r="AJ28" s="190" t="s">
        <v>229</v>
      </c>
      <c r="AK28" s="191"/>
      <c r="AL28" s="191" t="e">
        <f>AL27/AK26</f>
        <v>#REF!</v>
      </c>
      <c r="AM28" s="191"/>
      <c r="AN28" s="191" t="e">
        <f>AN27/AM26</f>
        <v>#REF!</v>
      </c>
      <c r="AO28" s="191"/>
      <c r="AP28" s="191"/>
      <c r="AQ28" s="191">
        <f>AQ27/AO26</f>
        <v>2.1648134670036324E-2</v>
      </c>
      <c r="AR28" s="191"/>
      <c r="AS28" s="191"/>
      <c r="AT28" s="191">
        <f>AT27/AR26</f>
        <v>23.697042511292636</v>
      </c>
      <c r="AU28" s="51"/>
      <c r="AV28" s="193" t="e">
        <f>AV27/AU26</f>
        <v>#REF!</v>
      </c>
    </row>
    <row r="29" spans="1:50" ht="75" x14ac:dyDescent="0.25">
      <c r="U29" s="187" t="s">
        <v>235</v>
      </c>
      <c r="V29" s="1"/>
      <c r="W29" s="1">
        <f>W28*15200</f>
        <v>1016044.9455676517</v>
      </c>
      <c r="X29" s="1"/>
      <c r="Y29" s="1" t="e">
        <f>Y28*15200</f>
        <v>#REF!</v>
      </c>
      <c r="Z29" s="1"/>
      <c r="AA29" s="1">
        <f>AA28*15200</f>
        <v>203640.74111032617</v>
      </c>
      <c r="AB29" s="1"/>
      <c r="AC29" s="1" t="e">
        <f>AC28*15200</f>
        <v>#REF!</v>
      </c>
      <c r="AD29" s="1"/>
      <c r="AE29" s="1" t="e">
        <f>AE28*15200</f>
        <v>#REF!</v>
      </c>
      <c r="AF29" s="1"/>
      <c r="AG29" s="1" t="e">
        <f>AG28*15200</f>
        <v>#REF!</v>
      </c>
      <c r="AH29" s="1">
        <f>AH28*15200</f>
        <v>0</v>
      </c>
      <c r="AI29" s="1" t="e">
        <f>AI28*15200</f>
        <v>#REF!</v>
      </c>
      <c r="AJ29" s="1"/>
      <c r="AK29" s="1"/>
      <c r="AL29" s="1" t="e">
        <f>AL28*15200</f>
        <v>#REF!</v>
      </c>
      <c r="AM29" s="1"/>
      <c r="AN29" s="1" t="e">
        <f>AN28*15200</f>
        <v>#REF!</v>
      </c>
      <c r="AO29" s="1"/>
      <c r="AP29" s="1"/>
      <c r="AQ29" s="1">
        <f>AQ28*15200</f>
        <v>329.05164698455212</v>
      </c>
      <c r="AR29" s="1"/>
      <c r="AS29" s="1"/>
      <c r="AT29" s="1">
        <f>AT28*15200</f>
        <v>360195.04617164808</v>
      </c>
      <c r="AU29" s="1"/>
      <c r="AV29" s="1" t="e">
        <f>AV28*15200</f>
        <v>#REF!</v>
      </c>
    </row>
    <row r="30" spans="1:50" ht="15" customHeight="1" x14ac:dyDescent="0.25">
      <c r="U30" s="668" t="s">
        <v>232</v>
      </c>
      <c r="V30" s="669"/>
      <c r="W30" s="669"/>
      <c r="X30" s="669"/>
    </row>
  </sheetData>
  <mergeCells count="19">
    <mergeCell ref="U30:X30"/>
    <mergeCell ref="AU4:AV4"/>
    <mergeCell ref="AH4:AI4"/>
    <mergeCell ref="AK4:AL4"/>
    <mergeCell ref="AM4:AN4"/>
    <mergeCell ref="AO4:AQ4"/>
    <mergeCell ref="AR4:AT4"/>
    <mergeCell ref="AJ4:AJ5"/>
    <mergeCell ref="X4:Y4"/>
    <mergeCell ref="Z4:AA4"/>
    <mergeCell ref="AB4:AC4"/>
    <mergeCell ref="AD4:AE4"/>
    <mergeCell ref="AF4:AG4"/>
    <mergeCell ref="AW5:AX5"/>
    <mergeCell ref="A27:O27"/>
    <mergeCell ref="A4:A5"/>
    <mergeCell ref="B4:P4"/>
    <mergeCell ref="U4:U5"/>
    <mergeCell ref="V4:W4"/>
  </mergeCells>
  <pageMargins left="0.7" right="0.7" top="0.75" bottom="0.75" header="0.3" footer="0.3"/>
  <pageSetup paperSize="9" orientation="portrait" r:id="rId1"/>
  <ignoredErrors>
    <ignoredError sqref="O11:O2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25"/>
  <sheetViews>
    <sheetView zoomScale="40" zoomScaleNormal="40" workbookViewId="0">
      <selection activeCell="B8" sqref="B8:V8"/>
    </sheetView>
  </sheetViews>
  <sheetFormatPr defaultRowHeight="15" x14ac:dyDescent="0.25"/>
  <cols>
    <col min="1" max="1" width="17.5703125" customWidth="1"/>
    <col min="23" max="26" width="9.140625" style="202"/>
    <col min="27" max="37" width="11.42578125" style="202" customWidth="1"/>
    <col min="38" max="16384" width="9.140625" style="202"/>
  </cols>
  <sheetData>
    <row r="3" spans="1:44" x14ac:dyDescent="0.25">
      <c r="A3" s="27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676" t="s">
        <v>18</v>
      </c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4"/>
      <c r="AM3" s="64"/>
      <c r="AN3" s="64"/>
      <c r="AO3" s="64"/>
      <c r="AP3" s="64"/>
      <c r="AQ3" s="64"/>
      <c r="AR3" s="64"/>
    </row>
    <row r="4" spans="1:44" s="69" customFormat="1" ht="90" x14ac:dyDescent="0.25">
      <c r="A4" s="671" t="s">
        <v>2</v>
      </c>
      <c r="B4" s="673" t="s">
        <v>5</v>
      </c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  <c r="T4" s="674"/>
      <c r="U4" s="674"/>
      <c r="V4" s="675"/>
      <c r="X4" s="3" t="s">
        <v>5</v>
      </c>
      <c r="Y4" s="3" t="s">
        <v>19</v>
      </c>
      <c r="Z4" s="3" t="s">
        <v>20</v>
      </c>
      <c r="AA4" s="3" t="s">
        <v>21</v>
      </c>
      <c r="AB4" s="10" t="s">
        <v>22</v>
      </c>
      <c r="AC4" s="4" t="s">
        <v>23</v>
      </c>
      <c r="AD4" s="9" t="s">
        <v>24</v>
      </c>
      <c r="AE4" s="9" t="s">
        <v>236</v>
      </c>
      <c r="AF4" s="8" t="s">
        <v>25</v>
      </c>
      <c r="AG4" s="8" t="s">
        <v>26</v>
      </c>
      <c r="AH4" s="10" t="s">
        <v>237</v>
      </c>
      <c r="AI4" s="5" t="s">
        <v>27</v>
      </c>
      <c r="AJ4" s="10" t="s">
        <v>238</v>
      </c>
      <c r="AK4" s="5" t="s">
        <v>28</v>
      </c>
      <c r="AL4" s="70"/>
      <c r="AM4" s="70"/>
      <c r="AN4" s="70"/>
      <c r="AO4" s="70"/>
      <c r="AP4" s="70"/>
      <c r="AQ4" s="70"/>
      <c r="AR4" s="70"/>
    </row>
    <row r="5" spans="1:44" s="69" customFormat="1" ht="15.75" customHeight="1" x14ac:dyDescent="0.25">
      <c r="A5" s="672"/>
      <c r="B5" s="194">
        <v>2010</v>
      </c>
      <c r="C5" s="194">
        <v>2011</v>
      </c>
      <c r="D5" s="194">
        <v>2012</v>
      </c>
      <c r="E5" s="194">
        <v>2013</v>
      </c>
      <c r="F5" s="194">
        <v>2014</v>
      </c>
      <c r="G5" s="194">
        <v>2015</v>
      </c>
      <c r="H5" s="194">
        <v>2016</v>
      </c>
      <c r="I5" s="194">
        <v>2017</v>
      </c>
      <c r="J5" s="194">
        <v>2018</v>
      </c>
      <c r="K5" s="194">
        <v>2019</v>
      </c>
      <c r="L5" s="194">
        <v>2020</v>
      </c>
      <c r="M5" s="194">
        <v>2021</v>
      </c>
      <c r="N5" s="194">
        <v>2022</v>
      </c>
      <c r="O5" s="194">
        <v>2023</v>
      </c>
      <c r="P5" s="194">
        <v>2024</v>
      </c>
      <c r="Q5" s="194">
        <v>2025</v>
      </c>
      <c r="R5" s="194">
        <v>2026</v>
      </c>
      <c r="S5" s="194">
        <v>2027</v>
      </c>
      <c r="T5" s="194">
        <v>2028</v>
      </c>
      <c r="U5" s="194">
        <v>2029</v>
      </c>
      <c r="V5" s="194">
        <v>2030</v>
      </c>
      <c r="X5" s="165">
        <v>2010</v>
      </c>
      <c r="Y5" s="670" t="s">
        <v>239</v>
      </c>
      <c r="Z5" s="670" t="s">
        <v>30</v>
      </c>
      <c r="AA5" s="670" t="s">
        <v>31</v>
      </c>
      <c r="AB5" s="195">
        <v>4</v>
      </c>
      <c r="AC5" s="197">
        <v>460</v>
      </c>
      <c r="AD5" s="7">
        <v>3</v>
      </c>
      <c r="AE5" s="7">
        <v>1</v>
      </c>
      <c r="AF5" s="7">
        <f t="shared" ref="AF5:AF10" si="0">AE5*AC5*365</f>
        <v>167900</v>
      </c>
      <c r="AG5" s="7">
        <f t="shared" ref="AG5:AG10" si="1">AC5*AD5*31</f>
        <v>42780</v>
      </c>
      <c r="AH5" s="195">
        <v>0.62</v>
      </c>
      <c r="AI5" s="195">
        <f t="shared" ref="AI5:AI10" si="2">(AF5*AH5)</f>
        <v>104098</v>
      </c>
      <c r="AJ5" s="195">
        <v>2.58</v>
      </c>
      <c r="AK5" s="203">
        <f t="shared" ref="AK5:AK10" si="3">((AI5*AJ5)+(AG5*21))/1000</f>
        <v>1166.9528400000002</v>
      </c>
      <c r="AL5" s="70"/>
      <c r="AM5" s="70"/>
      <c r="AN5" s="70"/>
      <c r="AO5" s="70"/>
      <c r="AP5" s="70"/>
      <c r="AQ5" s="70"/>
      <c r="AR5" s="70"/>
    </row>
    <row r="6" spans="1:44" ht="15.75" x14ac:dyDescent="0.25">
      <c r="A6" s="23" t="s">
        <v>17</v>
      </c>
      <c r="B6" s="198">
        <f>'tabel lanscape+Hitungan biogas '!E26</f>
        <v>283</v>
      </c>
      <c r="C6" s="198">
        <f>'tabel lanscape+Hitungan biogas '!F26</f>
        <v>283</v>
      </c>
      <c r="D6" s="198">
        <f>'tabel lanscape+Hitungan biogas '!G26</f>
        <v>717</v>
      </c>
      <c r="E6" s="198">
        <f>'tabel lanscape+Hitungan biogas '!H26</f>
        <v>150</v>
      </c>
      <c r="F6" s="198">
        <f>'tabel lanscape+Hitungan biogas '!I26</f>
        <v>74</v>
      </c>
      <c r="G6" s="198">
        <f>'tabel lanscape+Hitungan biogas '!J26</f>
        <v>80</v>
      </c>
      <c r="H6" s="198">
        <f>'tabel lanscape+Hitungan biogas '!K26</f>
        <v>83</v>
      </c>
      <c r="I6" s="198">
        <f>'tabel lanscape+Hitungan biogas '!L26</f>
        <v>94</v>
      </c>
      <c r="J6" s="198">
        <f>'tabel lanscape+Hitungan biogas '!M26</f>
        <v>195</v>
      </c>
      <c r="K6" s="198">
        <f>'tabel lanscape+Hitungan biogas '!N26</f>
        <v>100</v>
      </c>
      <c r="L6" s="198">
        <f>'tabel lanscape+Hitungan biogas '!O26</f>
        <v>100</v>
      </c>
      <c r="M6" s="201">
        <f>'tabel lanscape+Hitungan biogas '!U26</f>
        <v>100</v>
      </c>
      <c r="N6" s="201">
        <f>'tabel lanscape+Hitungan biogas '!V26</f>
        <v>100</v>
      </c>
      <c r="O6" s="201">
        <f>'tabel lanscape+Hitungan biogas '!W26</f>
        <v>100</v>
      </c>
      <c r="P6" s="201">
        <f>'tabel lanscape+Hitungan biogas '!X26</f>
        <v>100</v>
      </c>
      <c r="Q6" s="201">
        <f>'tabel lanscape+Hitungan biogas '!Y26</f>
        <v>100</v>
      </c>
      <c r="R6" s="201">
        <f>'tabel lanscape+Hitungan biogas '!Z26</f>
        <v>100</v>
      </c>
      <c r="S6" s="201">
        <f>'tabel lanscape+Hitungan biogas '!AA26</f>
        <v>100</v>
      </c>
      <c r="T6" s="201">
        <f>'tabel lanscape+Hitungan biogas '!AB26</f>
        <v>100</v>
      </c>
      <c r="U6" s="201">
        <f>'tabel lanscape+Hitungan biogas '!AC26</f>
        <v>100</v>
      </c>
      <c r="V6" s="201">
        <f>'tabel lanscape+Hitungan biogas '!AD26</f>
        <v>100</v>
      </c>
      <c r="X6" s="204">
        <f>X5+1</f>
        <v>2011</v>
      </c>
      <c r="Y6" s="670"/>
      <c r="Z6" s="670"/>
      <c r="AA6" s="670"/>
      <c r="AB6" s="195">
        <v>4</v>
      </c>
      <c r="AC6" s="197">
        <v>298</v>
      </c>
      <c r="AD6" s="7">
        <v>3</v>
      </c>
      <c r="AE6" s="7">
        <v>1</v>
      </c>
      <c r="AF6" s="7">
        <f t="shared" si="0"/>
        <v>108770</v>
      </c>
      <c r="AG6" s="7">
        <f t="shared" si="1"/>
        <v>27714</v>
      </c>
      <c r="AH6" s="195">
        <v>0.62</v>
      </c>
      <c r="AI6" s="195">
        <f t="shared" si="2"/>
        <v>67437.399999999994</v>
      </c>
      <c r="AJ6" s="195">
        <v>2.58</v>
      </c>
      <c r="AK6" s="203">
        <f t="shared" si="3"/>
        <v>755.98249199999998</v>
      </c>
      <c r="AL6" s="64"/>
      <c r="AM6" s="64"/>
      <c r="AN6" s="64"/>
      <c r="AO6" s="64"/>
      <c r="AP6" s="64"/>
      <c r="AQ6" s="64"/>
      <c r="AR6" s="64"/>
    </row>
    <row r="7" spans="1:44" ht="45" x14ac:dyDescent="0.25">
      <c r="A7" s="217" t="s">
        <v>6</v>
      </c>
      <c r="B7" s="199">
        <v>1600000</v>
      </c>
      <c r="C7" s="199">
        <v>7000000</v>
      </c>
      <c r="D7" s="199">
        <v>1500000</v>
      </c>
      <c r="E7" s="199">
        <v>1090000</v>
      </c>
      <c r="F7" s="200">
        <v>1800000</v>
      </c>
      <c r="G7" s="199">
        <v>1500000</v>
      </c>
      <c r="H7" s="73">
        <f t="shared" ref="H7:V7" si="4">12000*H6</f>
        <v>996000</v>
      </c>
      <c r="I7" s="73">
        <f t="shared" si="4"/>
        <v>1128000</v>
      </c>
      <c r="J7" s="73">
        <f t="shared" si="4"/>
        <v>2340000</v>
      </c>
      <c r="K7" s="73">
        <f t="shared" si="4"/>
        <v>1200000</v>
      </c>
      <c r="L7" s="73">
        <f t="shared" si="4"/>
        <v>1200000</v>
      </c>
      <c r="M7" s="1">
        <f t="shared" si="4"/>
        <v>1200000</v>
      </c>
      <c r="N7" s="1">
        <f t="shared" si="4"/>
        <v>1200000</v>
      </c>
      <c r="O7" s="1">
        <f t="shared" si="4"/>
        <v>1200000</v>
      </c>
      <c r="P7" s="1">
        <f t="shared" si="4"/>
        <v>1200000</v>
      </c>
      <c r="Q7" s="1">
        <f t="shared" si="4"/>
        <v>1200000</v>
      </c>
      <c r="R7" s="1">
        <f t="shared" si="4"/>
        <v>1200000</v>
      </c>
      <c r="S7" s="1">
        <f t="shared" si="4"/>
        <v>1200000</v>
      </c>
      <c r="T7" s="1">
        <f t="shared" si="4"/>
        <v>1200000</v>
      </c>
      <c r="U7" s="1">
        <f t="shared" si="4"/>
        <v>1200000</v>
      </c>
      <c r="V7" s="1">
        <f t="shared" si="4"/>
        <v>1200000</v>
      </c>
      <c r="X7" s="204">
        <f t="shared" ref="X7:X10" si="5">X6+1</f>
        <v>2012</v>
      </c>
      <c r="Y7" s="670"/>
      <c r="Z7" s="670"/>
      <c r="AA7" s="670"/>
      <c r="AB7" s="195">
        <v>4</v>
      </c>
      <c r="AC7" s="197">
        <v>150</v>
      </c>
      <c r="AD7" s="7">
        <v>3</v>
      </c>
      <c r="AE7" s="7">
        <v>1</v>
      </c>
      <c r="AF7" s="7">
        <f t="shared" si="0"/>
        <v>54750</v>
      </c>
      <c r="AG7" s="7">
        <f t="shared" si="1"/>
        <v>13950</v>
      </c>
      <c r="AH7" s="195">
        <v>0.62</v>
      </c>
      <c r="AI7" s="195">
        <f t="shared" si="2"/>
        <v>33945</v>
      </c>
      <c r="AJ7" s="195">
        <v>2.58</v>
      </c>
      <c r="AK7" s="203">
        <f t="shared" si="3"/>
        <v>380.52809999999999</v>
      </c>
      <c r="AL7" s="64"/>
      <c r="AM7" s="64"/>
      <c r="AN7" s="64"/>
      <c r="AO7" s="64"/>
      <c r="AP7" s="64"/>
      <c r="AQ7" s="64"/>
      <c r="AR7" s="64"/>
    </row>
    <row r="8" spans="1:44" ht="30" x14ac:dyDescent="0.25">
      <c r="A8" s="226" t="s">
        <v>16</v>
      </c>
      <c r="B8" s="73">
        <f>'tabel lanscape+Hitungan biogas '!E31</f>
        <v>0</v>
      </c>
      <c r="C8" s="225">
        <f>'tabel lanscape+Hitungan biogas '!F31</f>
        <v>4.0776048000000005</v>
      </c>
      <c r="D8" s="225">
        <f>'tabel lanscape+Hitungan biogas '!G31</f>
        <v>6.7960080000000005</v>
      </c>
      <c r="E8" s="225">
        <f>'tabel lanscape+Hitungan biogas '!H31</f>
        <v>8.1552096000000009</v>
      </c>
      <c r="F8" s="225">
        <f>'tabel lanscape+Hitungan biogas '!I31</f>
        <v>8.1552096000000009</v>
      </c>
      <c r="G8" s="225">
        <f>'tabel lanscape+Hitungan biogas '!J31</f>
        <v>8.1552096000000009</v>
      </c>
      <c r="H8" s="225">
        <f>'tabel lanscape+Hitungan biogas '!K31</f>
        <v>8.1552096000000009</v>
      </c>
      <c r="I8" s="225">
        <f>'tabel lanscape+Hitungan biogas '!L31</f>
        <v>8.1552096000000009</v>
      </c>
      <c r="J8" s="225">
        <f>'tabel lanscape+Hitungan biogas '!M31</f>
        <v>8.1552096000000009</v>
      </c>
      <c r="K8" s="225">
        <f>'tabel lanscape+Hitungan biogas '!N31</f>
        <v>8.1552096000000009</v>
      </c>
      <c r="L8" s="225">
        <f>'tabel lanscape+Hitungan biogas '!O31</f>
        <v>8.1552096000000009</v>
      </c>
      <c r="M8" s="225">
        <f>'tabel lanscape+Hitungan biogas '!U31</f>
        <v>8.1552096000000009</v>
      </c>
      <c r="N8" s="225">
        <f>'tabel lanscape+Hitungan biogas '!V31</f>
        <v>8.1552096000000009</v>
      </c>
      <c r="O8" s="225">
        <f>'tabel lanscape+Hitungan biogas '!W31</f>
        <v>8.1552096000000009</v>
      </c>
      <c r="P8" s="225">
        <f>'tabel lanscape+Hitungan biogas '!X31</f>
        <v>8.1552096000000009</v>
      </c>
      <c r="Q8" s="225">
        <f>'tabel lanscape+Hitungan biogas '!Y31</f>
        <v>8.1552096000000009</v>
      </c>
      <c r="R8" s="225">
        <f>'tabel lanscape+Hitungan biogas '!Z31</f>
        <v>8.1552096000000009</v>
      </c>
      <c r="S8" s="225">
        <f>'tabel lanscape+Hitungan biogas '!AA31</f>
        <v>8.1552096000000009</v>
      </c>
      <c r="T8" s="225">
        <f>'tabel lanscape+Hitungan biogas '!AB31</f>
        <v>8.1552096000000009</v>
      </c>
      <c r="U8" s="225">
        <f>'tabel lanscape+Hitungan biogas '!AC31</f>
        <v>8.1552096000000009</v>
      </c>
      <c r="V8" s="225">
        <f>'tabel lanscape+Hitungan biogas '!AD31</f>
        <v>8.1552096000000009</v>
      </c>
      <c r="X8" s="204">
        <f t="shared" si="5"/>
        <v>2013</v>
      </c>
      <c r="Y8" s="670"/>
      <c r="Z8" s="670"/>
      <c r="AA8" s="670"/>
      <c r="AB8" s="195">
        <v>4</v>
      </c>
      <c r="AC8" s="197">
        <v>900</v>
      </c>
      <c r="AD8" s="7">
        <v>3</v>
      </c>
      <c r="AE8" s="7">
        <v>1</v>
      </c>
      <c r="AF8" s="7">
        <f t="shared" si="0"/>
        <v>328500</v>
      </c>
      <c r="AG8" s="7">
        <f t="shared" si="1"/>
        <v>83700</v>
      </c>
      <c r="AH8" s="195">
        <v>0.62</v>
      </c>
      <c r="AI8" s="195">
        <f t="shared" si="2"/>
        <v>203670</v>
      </c>
      <c r="AJ8" s="195">
        <v>2.58</v>
      </c>
      <c r="AK8" s="203">
        <f t="shared" si="3"/>
        <v>2283.1686</v>
      </c>
    </row>
    <row r="9" spans="1:44" ht="15.75" x14ac:dyDescent="0.25">
      <c r="X9" s="204">
        <f t="shared" si="5"/>
        <v>2014</v>
      </c>
      <c r="Y9" s="670"/>
      <c r="Z9" s="670"/>
      <c r="AA9" s="670"/>
      <c r="AB9" s="195">
        <v>4</v>
      </c>
      <c r="AC9" s="197">
        <v>74</v>
      </c>
      <c r="AD9" s="7">
        <v>3</v>
      </c>
      <c r="AE9" s="7">
        <v>1</v>
      </c>
      <c r="AF9" s="7">
        <f t="shared" si="0"/>
        <v>27010</v>
      </c>
      <c r="AG9" s="7">
        <f t="shared" si="1"/>
        <v>6882</v>
      </c>
      <c r="AH9" s="195">
        <v>0.62</v>
      </c>
      <c r="AI9" s="195">
        <f t="shared" si="2"/>
        <v>16746.2</v>
      </c>
      <c r="AJ9" s="195">
        <v>2.58</v>
      </c>
      <c r="AK9" s="203">
        <f t="shared" si="3"/>
        <v>187.72719599999999</v>
      </c>
    </row>
    <row r="10" spans="1:44" ht="15.75" x14ac:dyDescent="0.25">
      <c r="X10" s="204">
        <f t="shared" si="5"/>
        <v>2015</v>
      </c>
      <c r="Y10" s="670"/>
      <c r="Z10" s="670"/>
      <c r="AA10" s="670"/>
      <c r="AB10" s="195">
        <v>4</v>
      </c>
      <c r="AC10" s="197">
        <v>80</v>
      </c>
      <c r="AD10" s="7">
        <v>3</v>
      </c>
      <c r="AE10" s="7">
        <v>1</v>
      </c>
      <c r="AF10" s="7">
        <f t="shared" si="0"/>
        <v>29200</v>
      </c>
      <c r="AG10" s="7">
        <f t="shared" si="1"/>
        <v>7440</v>
      </c>
      <c r="AH10" s="195">
        <v>0.62</v>
      </c>
      <c r="AI10" s="195">
        <f t="shared" si="2"/>
        <v>18104</v>
      </c>
      <c r="AJ10" s="195">
        <v>2.58</v>
      </c>
      <c r="AK10" s="203">
        <f t="shared" si="3"/>
        <v>202.94832</v>
      </c>
    </row>
    <row r="11" spans="1:44" ht="15.75" x14ac:dyDescent="0.25">
      <c r="X11" s="38">
        <v>2016</v>
      </c>
      <c r="Y11" s="670"/>
      <c r="Z11" s="670"/>
      <c r="AA11" s="670"/>
      <c r="AB11" s="195">
        <v>4</v>
      </c>
      <c r="AC11" s="197">
        <v>220</v>
      </c>
      <c r="AD11" s="7">
        <v>3</v>
      </c>
      <c r="AE11" s="7">
        <v>1</v>
      </c>
      <c r="AF11" s="7">
        <f t="shared" ref="AF11:AF25" si="6">AE11*AC11*365</f>
        <v>80300</v>
      </c>
      <c r="AG11" s="7">
        <f t="shared" ref="AG11:AG25" si="7">AC11*AD11*31</f>
        <v>20460</v>
      </c>
      <c r="AH11" s="195">
        <v>0.62</v>
      </c>
      <c r="AI11" s="195">
        <f t="shared" ref="AI11:AI25" si="8">(AF11*AH11)</f>
        <v>49786</v>
      </c>
      <c r="AJ11" s="195">
        <v>2.58</v>
      </c>
      <c r="AK11" s="203">
        <f t="shared" ref="AK11:AK25" si="9">((AI11*AJ11)+(AG11*21))/1000</f>
        <v>558.10788000000002</v>
      </c>
    </row>
    <row r="12" spans="1:44" ht="15.75" x14ac:dyDescent="0.25">
      <c r="X12" s="38">
        <v>2017</v>
      </c>
      <c r="Y12" s="670"/>
      <c r="Z12" s="670"/>
      <c r="AA12" s="670"/>
      <c r="AB12" s="195">
        <v>4</v>
      </c>
      <c r="AC12" s="197">
        <v>220</v>
      </c>
      <c r="AD12" s="7">
        <v>3</v>
      </c>
      <c r="AE12" s="7">
        <v>1</v>
      </c>
      <c r="AF12" s="7">
        <f t="shared" si="6"/>
        <v>80300</v>
      </c>
      <c r="AG12" s="7">
        <f t="shared" si="7"/>
        <v>20460</v>
      </c>
      <c r="AH12" s="195">
        <v>0.62</v>
      </c>
      <c r="AI12" s="195">
        <f t="shared" si="8"/>
        <v>49786</v>
      </c>
      <c r="AJ12" s="195">
        <v>2.58</v>
      </c>
      <c r="AK12" s="203">
        <f t="shared" si="9"/>
        <v>558.10788000000002</v>
      </c>
    </row>
    <row r="13" spans="1:44" ht="15.75" x14ac:dyDescent="0.25">
      <c r="X13" s="38">
        <v>2018</v>
      </c>
      <c r="Y13" s="670"/>
      <c r="Z13" s="670"/>
      <c r="AA13" s="670"/>
      <c r="AB13" s="195">
        <v>4</v>
      </c>
      <c r="AC13" s="197">
        <v>220</v>
      </c>
      <c r="AD13" s="7">
        <v>3</v>
      </c>
      <c r="AE13" s="7">
        <v>1</v>
      </c>
      <c r="AF13" s="7">
        <f t="shared" si="6"/>
        <v>80300</v>
      </c>
      <c r="AG13" s="7">
        <f t="shared" si="7"/>
        <v>20460</v>
      </c>
      <c r="AH13" s="195">
        <v>0.62</v>
      </c>
      <c r="AI13" s="195">
        <f t="shared" si="8"/>
        <v>49786</v>
      </c>
      <c r="AJ13" s="195">
        <v>2.58</v>
      </c>
      <c r="AK13" s="203">
        <f t="shared" si="9"/>
        <v>558.10788000000002</v>
      </c>
    </row>
    <row r="14" spans="1:44" ht="15.75" x14ac:dyDescent="0.25">
      <c r="X14" s="38">
        <v>2019</v>
      </c>
      <c r="Y14" s="670"/>
      <c r="Z14" s="670"/>
      <c r="AA14" s="670"/>
      <c r="AB14" s="195">
        <v>4</v>
      </c>
      <c r="AC14" s="197">
        <v>100</v>
      </c>
      <c r="AD14" s="7">
        <v>3</v>
      </c>
      <c r="AE14" s="7">
        <v>1</v>
      </c>
      <c r="AF14" s="7">
        <f t="shared" si="6"/>
        <v>36500</v>
      </c>
      <c r="AG14" s="7">
        <f t="shared" si="7"/>
        <v>9300</v>
      </c>
      <c r="AH14" s="195">
        <v>0.62</v>
      </c>
      <c r="AI14" s="195">
        <f t="shared" si="8"/>
        <v>22630</v>
      </c>
      <c r="AJ14" s="195">
        <v>2.58</v>
      </c>
      <c r="AK14" s="203">
        <f t="shared" si="9"/>
        <v>253.68539999999999</v>
      </c>
    </row>
    <row r="15" spans="1:44" ht="15.75" x14ac:dyDescent="0.25">
      <c r="X15" s="38">
        <v>2020</v>
      </c>
      <c r="Y15" s="670"/>
      <c r="Z15" s="670"/>
      <c r="AA15" s="670"/>
      <c r="AB15" s="195">
        <v>4</v>
      </c>
      <c r="AC15" s="197">
        <v>100</v>
      </c>
      <c r="AD15" s="7">
        <v>3</v>
      </c>
      <c r="AE15" s="7">
        <v>1</v>
      </c>
      <c r="AF15" s="7">
        <f t="shared" si="6"/>
        <v>36500</v>
      </c>
      <c r="AG15" s="7">
        <f t="shared" si="7"/>
        <v>9300</v>
      </c>
      <c r="AH15" s="195">
        <v>0.62</v>
      </c>
      <c r="AI15" s="195">
        <f t="shared" si="8"/>
        <v>22630</v>
      </c>
      <c r="AJ15" s="195">
        <v>2.58</v>
      </c>
      <c r="AK15" s="203">
        <f t="shared" si="9"/>
        <v>253.68539999999999</v>
      </c>
    </row>
    <row r="16" spans="1:44" ht="15.75" x14ac:dyDescent="0.25">
      <c r="X16" s="38">
        <v>2021</v>
      </c>
      <c r="Y16" s="670"/>
      <c r="Z16" s="670"/>
      <c r="AA16" s="670"/>
      <c r="AB16" s="195">
        <v>4</v>
      </c>
      <c r="AC16" s="197">
        <v>100</v>
      </c>
      <c r="AD16" s="7">
        <v>3</v>
      </c>
      <c r="AE16" s="7">
        <v>1</v>
      </c>
      <c r="AF16" s="7">
        <f t="shared" si="6"/>
        <v>36500</v>
      </c>
      <c r="AG16" s="7">
        <f t="shared" si="7"/>
        <v>9300</v>
      </c>
      <c r="AH16" s="195">
        <v>0.62</v>
      </c>
      <c r="AI16" s="195">
        <f t="shared" si="8"/>
        <v>22630</v>
      </c>
      <c r="AJ16" s="195">
        <v>2.58</v>
      </c>
      <c r="AK16" s="203">
        <f t="shared" si="9"/>
        <v>253.68539999999999</v>
      </c>
    </row>
    <row r="17" spans="24:37" ht="15.75" x14ac:dyDescent="0.25">
      <c r="X17" s="38">
        <v>2022</v>
      </c>
      <c r="Y17" s="670"/>
      <c r="Z17" s="670"/>
      <c r="AA17" s="670"/>
      <c r="AB17" s="195">
        <v>4</v>
      </c>
      <c r="AC17" s="197">
        <v>100</v>
      </c>
      <c r="AD17" s="7">
        <v>3</v>
      </c>
      <c r="AE17" s="7">
        <v>1</v>
      </c>
      <c r="AF17" s="7">
        <f t="shared" si="6"/>
        <v>36500</v>
      </c>
      <c r="AG17" s="7">
        <f t="shared" si="7"/>
        <v>9300</v>
      </c>
      <c r="AH17" s="195">
        <v>0.62</v>
      </c>
      <c r="AI17" s="195">
        <f t="shared" si="8"/>
        <v>22630</v>
      </c>
      <c r="AJ17" s="195">
        <v>2.58</v>
      </c>
      <c r="AK17" s="203">
        <f t="shared" si="9"/>
        <v>253.68539999999999</v>
      </c>
    </row>
    <row r="18" spans="24:37" ht="15.75" x14ac:dyDescent="0.25">
      <c r="X18" s="38">
        <v>2023</v>
      </c>
      <c r="Y18" s="670"/>
      <c r="Z18" s="670"/>
      <c r="AA18" s="670"/>
      <c r="AB18" s="195">
        <v>4</v>
      </c>
      <c r="AC18" s="197">
        <v>100</v>
      </c>
      <c r="AD18" s="7">
        <v>3</v>
      </c>
      <c r="AE18" s="7">
        <v>1</v>
      </c>
      <c r="AF18" s="7">
        <f t="shared" si="6"/>
        <v>36500</v>
      </c>
      <c r="AG18" s="7">
        <f t="shared" si="7"/>
        <v>9300</v>
      </c>
      <c r="AH18" s="195">
        <v>0.62</v>
      </c>
      <c r="AI18" s="195">
        <f t="shared" si="8"/>
        <v>22630</v>
      </c>
      <c r="AJ18" s="195">
        <v>2.58</v>
      </c>
      <c r="AK18" s="203">
        <f t="shared" si="9"/>
        <v>253.68539999999999</v>
      </c>
    </row>
    <row r="19" spans="24:37" ht="15.75" x14ac:dyDescent="0.25">
      <c r="X19" s="38">
        <v>2024</v>
      </c>
      <c r="Y19" s="670"/>
      <c r="Z19" s="670"/>
      <c r="AA19" s="670"/>
      <c r="AB19" s="195">
        <v>4</v>
      </c>
      <c r="AC19" s="197">
        <v>100</v>
      </c>
      <c r="AD19" s="7">
        <v>3</v>
      </c>
      <c r="AE19" s="7">
        <v>1</v>
      </c>
      <c r="AF19" s="7">
        <f t="shared" si="6"/>
        <v>36500</v>
      </c>
      <c r="AG19" s="7">
        <f t="shared" si="7"/>
        <v>9300</v>
      </c>
      <c r="AH19" s="195">
        <v>0.62</v>
      </c>
      <c r="AI19" s="195">
        <f t="shared" si="8"/>
        <v>22630</v>
      </c>
      <c r="AJ19" s="195">
        <v>2.58</v>
      </c>
      <c r="AK19" s="203">
        <f t="shared" si="9"/>
        <v>253.68539999999999</v>
      </c>
    </row>
    <row r="20" spans="24:37" ht="15.75" x14ac:dyDescent="0.25">
      <c r="X20" s="38">
        <v>2025</v>
      </c>
      <c r="Y20" s="670"/>
      <c r="Z20" s="670"/>
      <c r="AA20" s="670"/>
      <c r="AB20" s="195">
        <v>4</v>
      </c>
      <c r="AC20" s="197">
        <v>100</v>
      </c>
      <c r="AD20" s="7">
        <v>3</v>
      </c>
      <c r="AE20" s="7">
        <v>1</v>
      </c>
      <c r="AF20" s="7">
        <f t="shared" si="6"/>
        <v>36500</v>
      </c>
      <c r="AG20" s="7">
        <f t="shared" si="7"/>
        <v>9300</v>
      </c>
      <c r="AH20" s="195">
        <v>0.62</v>
      </c>
      <c r="AI20" s="195">
        <f t="shared" si="8"/>
        <v>22630</v>
      </c>
      <c r="AJ20" s="195">
        <v>2.58</v>
      </c>
      <c r="AK20" s="203">
        <f t="shared" si="9"/>
        <v>253.68539999999999</v>
      </c>
    </row>
    <row r="21" spans="24:37" ht="15.75" x14ac:dyDescent="0.25">
      <c r="X21" s="38">
        <v>2026</v>
      </c>
      <c r="Y21" s="670"/>
      <c r="Z21" s="670"/>
      <c r="AA21" s="670"/>
      <c r="AB21" s="195">
        <v>4</v>
      </c>
      <c r="AC21" s="197">
        <v>100</v>
      </c>
      <c r="AD21" s="7">
        <v>3</v>
      </c>
      <c r="AE21" s="7">
        <v>1</v>
      </c>
      <c r="AF21" s="7">
        <f t="shared" si="6"/>
        <v>36500</v>
      </c>
      <c r="AG21" s="7">
        <f t="shared" si="7"/>
        <v>9300</v>
      </c>
      <c r="AH21" s="195">
        <v>0.62</v>
      </c>
      <c r="AI21" s="195">
        <f t="shared" si="8"/>
        <v>22630</v>
      </c>
      <c r="AJ21" s="195">
        <v>2.58</v>
      </c>
      <c r="AK21" s="203">
        <f t="shared" si="9"/>
        <v>253.68539999999999</v>
      </c>
    </row>
    <row r="22" spans="24:37" ht="15.75" x14ac:dyDescent="0.25">
      <c r="X22" s="38">
        <v>2027</v>
      </c>
      <c r="Y22" s="670"/>
      <c r="Z22" s="670"/>
      <c r="AA22" s="670"/>
      <c r="AB22" s="195">
        <v>4</v>
      </c>
      <c r="AC22" s="197">
        <v>100</v>
      </c>
      <c r="AD22" s="7">
        <v>3</v>
      </c>
      <c r="AE22" s="7">
        <v>1</v>
      </c>
      <c r="AF22" s="7">
        <f t="shared" si="6"/>
        <v>36500</v>
      </c>
      <c r="AG22" s="7">
        <f t="shared" si="7"/>
        <v>9300</v>
      </c>
      <c r="AH22" s="195">
        <v>0.62</v>
      </c>
      <c r="AI22" s="195">
        <f t="shared" si="8"/>
        <v>22630</v>
      </c>
      <c r="AJ22" s="195">
        <v>2.58</v>
      </c>
      <c r="AK22" s="203">
        <f t="shared" si="9"/>
        <v>253.68539999999999</v>
      </c>
    </row>
    <row r="23" spans="24:37" ht="15.75" x14ac:dyDescent="0.25">
      <c r="X23" s="38">
        <v>2028</v>
      </c>
      <c r="Y23" s="670"/>
      <c r="Z23" s="670"/>
      <c r="AA23" s="670"/>
      <c r="AB23" s="195">
        <v>4</v>
      </c>
      <c r="AC23" s="197">
        <v>100</v>
      </c>
      <c r="AD23" s="7">
        <v>3</v>
      </c>
      <c r="AE23" s="7">
        <v>1</v>
      </c>
      <c r="AF23" s="7">
        <f t="shared" si="6"/>
        <v>36500</v>
      </c>
      <c r="AG23" s="7">
        <f t="shared" si="7"/>
        <v>9300</v>
      </c>
      <c r="AH23" s="195">
        <v>0.62</v>
      </c>
      <c r="AI23" s="195">
        <f t="shared" si="8"/>
        <v>22630</v>
      </c>
      <c r="AJ23" s="195">
        <v>2.58</v>
      </c>
      <c r="AK23" s="203">
        <f t="shared" si="9"/>
        <v>253.68539999999999</v>
      </c>
    </row>
    <row r="24" spans="24:37" ht="15.75" x14ac:dyDescent="0.25">
      <c r="X24" s="38">
        <v>2029</v>
      </c>
      <c r="Y24" s="670"/>
      <c r="Z24" s="670"/>
      <c r="AA24" s="670"/>
      <c r="AB24" s="195">
        <v>4</v>
      </c>
      <c r="AC24" s="197">
        <v>100</v>
      </c>
      <c r="AD24" s="7">
        <v>3</v>
      </c>
      <c r="AE24" s="7">
        <v>1</v>
      </c>
      <c r="AF24" s="7">
        <f t="shared" si="6"/>
        <v>36500</v>
      </c>
      <c r="AG24" s="7">
        <f t="shared" si="7"/>
        <v>9300</v>
      </c>
      <c r="AH24" s="195">
        <v>0.62</v>
      </c>
      <c r="AI24" s="195">
        <f t="shared" si="8"/>
        <v>22630</v>
      </c>
      <c r="AJ24" s="195">
        <v>2.58</v>
      </c>
      <c r="AK24" s="203">
        <f t="shared" si="9"/>
        <v>253.68539999999999</v>
      </c>
    </row>
    <row r="25" spans="24:37" ht="15.75" x14ac:dyDescent="0.25">
      <c r="X25" s="38">
        <v>2030</v>
      </c>
      <c r="Y25" s="670"/>
      <c r="Z25" s="670"/>
      <c r="AA25" s="670"/>
      <c r="AB25" s="195">
        <v>4</v>
      </c>
      <c r="AC25" s="197">
        <v>100</v>
      </c>
      <c r="AD25" s="7">
        <v>3</v>
      </c>
      <c r="AE25" s="7">
        <v>1</v>
      </c>
      <c r="AF25" s="7">
        <f t="shared" si="6"/>
        <v>36500</v>
      </c>
      <c r="AG25" s="7">
        <f t="shared" si="7"/>
        <v>9300</v>
      </c>
      <c r="AH25" s="195">
        <v>0.62</v>
      </c>
      <c r="AI25" s="195">
        <f t="shared" si="8"/>
        <v>22630</v>
      </c>
      <c r="AJ25" s="195">
        <v>2.58</v>
      </c>
      <c r="AK25" s="203">
        <f t="shared" si="9"/>
        <v>253.68539999999999</v>
      </c>
    </row>
  </sheetData>
  <mergeCells count="6">
    <mergeCell ref="AA5:AA25"/>
    <mergeCell ref="A4:A5"/>
    <mergeCell ref="B4:V4"/>
    <mergeCell ref="X3:AK3"/>
    <mergeCell ref="Y5:Y25"/>
    <mergeCell ref="Z5:Z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10"/>
  <sheetViews>
    <sheetView topLeftCell="A13" zoomScale="70" zoomScaleNormal="70" workbookViewId="0">
      <selection activeCell="X20" sqref="X20"/>
    </sheetView>
  </sheetViews>
  <sheetFormatPr defaultRowHeight="15" x14ac:dyDescent="0.25"/>
  <cols>
    <col min="1" max="1" width="29.140625" customWidth="1"/>
    <col min="2" max="2" width="8.42578125" customWidth="1"/>
    <col min="3" max="3" width="10.28515625" customWidth="1"/>
    <col min="4" max="4" width="9" customWidth="1"/>
    <col min="5" max="5" width="10" customWidth="1"/>
    <col min="6" max="6" width="8.28515625" customWidth="1"/>
    <col min="7" max="7" width="11.42578125" bestFit="1" customWidth="1"/>
    <col min="8" max="8" width="10" customWidth="1"/>
    <col min="9" max="9" width="11.5703125" customWidth="1"/>
    <col min="10" max="10" width="10.85546875" customWidth="1"/>
    <col min="11" max="11" width="11.5703125" customWidth="1"/>
    <col min="12" max="12" width="9.5703125" customWidth="1"/>
    <col min="13" max="13" width="9.85546875" customWidth="1"/>
    <col min="14" max="14" width="12.7109375" customWidth="1"/>
    <col min="15" max="15" width="10.140625" customWidth="1"/>
    <col min="16" max="16" width="10.28515625" customWidth="1"/>
    <col min="17" max="17" width="9.140625" bestFit="1" customWidth="1"/>
    <col min="18" max="18" width="10.140625" customWidth="1"/>
    <col min="19" max="19" width="9.140625" customWidth="1"/>
    <col min="20" max="20" width="9.28515625" customWidth="1"/>
    <col min="21" max="21" width="9.85546875" customWidth="1"/>
    <col min="22" max="22" width="9" customWidth="1"/>
    <col min="24" max="44" width="9.140625" style="28"/>
  </cols>
  <sheetData>
    <row r="1" spans="1:44" x14ac:dyDescent="0.25">
      <c r="A1" t="s">
        <v>12</v>
      </c>
      <c r="Y1" s="29"/>
    </row>
    <row r="3" spans="1:44" s="2" customFormat="1" x14ac:dyDescent="0.25">
      <c r="A3" s="671" t="s">
        <v>2</v>
      </c>
      <c r="B3" s="673" t="s">
        <v>5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  <c r="T3" s="674"/>
      <c r="U3" s="674"/>
      <c r="V3" s="675"/>
      <c r="X3" s="30"/>
      <c r="Y3" s="681"/>
      <c r="Z3" s="680"/>
      <c r="AA3" s="680"/>
      <c r="AB3" s="680"/>
      <c r="AC3" s="680"/>
      <c r="AD3" s="680"/>
      <c r="AE3" s="680"/>
      <c r="AF3" s="680"/>
      <c r="AG3" s="68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s="2" customFormat="1" x14ac:dyDescent="0.25">
      <c r="A4" s="672"/>
      <c r="B4" s="13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13">
        <v>2022</v>
      </c>
      <c r="O4" s="13">
        <v>2023</v>
      </c>
      <c r="P4" s="13">
        <v>2024</v>
      </c>
      <c r="Q4" s="13">
        <v>2025</v>
      </c>
      <c r="R4" s="13">
        <v>2026</v>
      </c>
      <c r="S4" s="13">
        <v>2027</v>
      </c>
      <c r="T4" s="13">
        <v>2028</v>
      </c>
      <c r="U4" s="13">
        <v>2029</v>
      </c>
      <c r="V4" s="13">
        <v>2030</v>
      </c>
      <c r="X4" s="30"/>
      <c r="Y4" s="681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28"/>
      <c r="AL4" s="30"/>
      <c r="AM4" s="30"/>
      <c r="AN4" s="30"/>
      <c r="AO4" s="30"/>
      <c r="AP4" s="30"/>
      <c r="AQ4" s="30"/>
      <c r="AR4" s="30"/>
    </row>
    <row r="5" spans="1:44" s="69" customForma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64"/>
      <c r="AL5" s="70"/>
      <c r="AM5" s="70"/>
      <c r="AN5" s="70"/>
      <c r="AO5" s="70"/>
      <c r="AP5" s="70"/>
      <c r="AQ5" s="70"/>
      <c r="AR5" s="70"/>
    </row>
    <row r="6" spans="1:44" s="17" customFormat="1" x14ac:dyDescent="0.25">
      <c r="A6" s="677" t="s">
        <v>39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678"/>
      <c r="M6" s="678"/>
      <c r="N6" s="678"/>
      <c r="O6" s="678"/>
      <c r="P6" s="678"/>
      <c r="Q6" s="678"/>
      <c r="R6" s="678"/>
      <c r="S6" s="678"/>
      <c r="T6" s="678"/>
      <c r="U6" s="678"/>
      <c r="V6" s="679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4" s="17" customFormat="1" x14ac:dyDescent="0.25">
      <c r="A7" s="18" t="s">
        <v>13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 t="e">
        <f>'tabel lanscape+Hitungan biogas '!#REF!</f>
        <v>#REF!</v>
      </c>
      <c r="H7" s="19" t="e">
        <f>'tabel lanscape+Hitungan biogas '!#REF!</f>
        <v>#REF!</v>
      </c>
      <c r="I7" s="19" t="e">
        <f>'tabel lanscape+Hitungan biogas '!#REF!</f>
        <v>#REF!</v>
      </c>
      <c r="J7" s="19" t="e">
        <f>'tabel lanscape+Hitungan biogas '!#REF!</f>
        <v>#REF!</v>
      </c>
      <c r="K7" s="19" t="e">
        <f>'tabel lanscape+Hitungan biogas '!#REF!</f>
        <v>#REF!</v>
      </c>
      <c r="L7" s="19" t="e">
        <f>'tabel lanscape+Hitungan biogas '!#REF!</f>
        <v>#REF!</v>
      </c>
      <c r="M7" s="18" t="e">
        <f>'tabel lanscape+Hitungan biogas '!#REF!</f>
        <v>#REF!</v>
      </c>
      <c r="N7" s="18" t="e">
        <f>'tabel lanscape+Hitungan biogas '!#REF!</f>
        <v>#REF!</v>
      </c>
      <c r="O7" s="18" t="e">
        <f>'tabel lanscape+Hitungan biogas '!#REF!</f>
        <v>#REF!</v>
      </c>
      <c r="P7" s="18" t="e">
        <f>'tabel lanscape+Hitungan biogas '!#REF!</f>
        <v>#REF!</v>
      </c>
      <c r="Q7" s="18" t="e">
        <f>'tabel lanscape+Hitungan biogas '!#REF!</f>
        <v>#REF!</v>
      </c>
      <c r="R7" s="18" t="e">
        <f>'tabel lanscape+Hitungan biogas '!#REF!</f>
        <v>#REF!</v>
      </c>
      <c r="S7" s="18" t="e">
        <f>'tabel lanscape+Hitungan biogas '!#REF!</f>
        <v>#REF!</v>
      </c>
      <c r="T7" s="18" t="e">
        <f>'tabel lanscape+Hitungan biogas '!#REF!</f>
        <v>#REF!</v>
      </c>
      <c r="U7" s="18" t="e">
        <f>'tabel lanscape+Hitungan biogas '!#REF!</f>
        <v>#REF!</v>
      </c>
      <c r="V7" s="18" t="e">
        <f>'tabel lanscape+Hitungan biogas '!#REF!</f>
        <v>#REF!</v>
      </c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spans="1:44" s="17" customFormat="1" x14ac:dyDescent="0.25">
      <c r="A8" s="18" t="s">
        <v>14</v>
      </c>
      <c r="B8" s="19">
        <f>B7</f>
        <v>0</v>
      </c>
      <c r="C8" s="19">
        <f t="shared" ref="C8:V8" si="0">C7</f>
        <v>0</v>
      </c>
      <c r="D8" s="19">
        <f t="shared" si="0"/>
        <v>0</v>
      </c>
      <c r="E8" s="19">
        <f t="shared" si="0"/>
        <v>0</v>
      </c>
      <c r="F8" s="19">
        <f t="shared" si="0"/>
        <v>0</v>
      </c>
      <c r="G8" s="19" t="e">
        <f t="shared" si="0"/>
        <v>#REF!</v>
      </c>
      <c r="H8" s="19" t="e">
        <f t="shared" si="0"/>
        <v>#REF!</v>
      </c>
      <c r="I8" s="19" t="e">
        <f t="shared" si="0"/>
        <v>#REF!</v>
      </c>
      <c r="J8" s="19" t="e">
        <f t="shared" si="0"/>
        <v>#REF!</v>
      </c>
      <c r="K8" s="19" t="e">
        <f t="shared" si="0"/>
        <v>#REF!</v>
      </c>
      <c r="L8" s="19" t="e">
        <f t="shared" si="0"/>
        <v>#REF!</v>
      </c>
      <c r="M8" s="19" t="e">
        <f t="shared" si="0"/>
        <v>#REF!</v>
      </c>
      <c r="N8" s="19" t="e">
        <f t="shared" si="0"/>
        <v>#REF!</v>
      </c>
      <c r="O8" s="19" t="e">
        <f t="shared" si="0"/>
        <v>#REF!</v>
      </c>
      <c r="P8" s="19" t="e">
        <f t="shared" si="0"/>
        <v>#REF!</v>
      </c>
      <c r="Q8" s="19" t="e">
        <f t="shared" si="0"/>
        <v>#REF!</v>
      </c>
      <c r="R8" s="19" t="e">
        <f t="shared" si="0"/>
        <v>#REF!</v>
      </c>
      <c r="S8" s="19" t="e">
        <f t="shared" si="0"/>
        <v>#REF!</v>
      </c>
      <c r="T8" s="19" t="e">
        <f t="shared" si="0"/>
        <v>#REF!</v>
      </c>
      <c r="U8" s="19" t="e">
        <f t="shared" si="0"/>
        <v>#REF!</v>
      </c>
      <c r="V8" s="19" t="e">
        <f t="shared" si="0"/>
        <v>#REF!</v>
      </c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s="17" customFormat="1" x14ac:dyDescent="0.25">
      <c r="A9" s="18" t="s">
        <v>15</v>
      </c>
      <c r="B9" s="18">
        <v>0.84</v>
      </c>
      <c r="C9" s="18">
        <v>0.84</v>
      </c>
      <c r="D9" s="18">
        <v>0.84</v>
      </c>
      <c r="E9" s="18">
        <v>0.84</v>
      </c>
      <c r="F9" s="18">
        <v>0.84</v>
      </c>
      <c r="G9" s="18">
        <v>0.84</v>
      </c>
      <c r="H9" s="18">
        <v>0.84</v>
      </c>
      <c r="I9" s="18">
        <v>0.84</v>
      </c>
      <c r="J9" s="18">
        <v>0.84</v>
      </c>
      <c r="K9" s="18">
        <v>0.84</v>
      </c>
      <c r="L9" s="18">
        <v>0.84</v>
      </c>
      <c r="M9" s="18">
        <v>0.84</v>
      </c>
      <c r="N9" s="18">
        <v>0.84</v>
      </c>
      <c r="O9" s="18">
        <v>0.84</v>
      </c>
      <c r="P9" s="18">
        <v>0.84</v>
      </c>
      <c r="Q9" s="18">
        <v>0.84</v>
      </c>
      <c r="R9" s="18">
        <v>0.84</v>
      </c>
      <c r="S9" s="18">
        <v>0.84</v>
      </c>
      <c r="T9" s="18">
        <v>0.84</v>
      </c>
      <c r="U9" s="18">
        <v>0.84</v>
      </c>
      <c r="V9" s="18">
        <v>0.84</v>
      </c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s="21" customFormat="1" x14ac:dyDescent="0.25">
      <c r="A10" s="20" t="s">
        <v>16</v>
      </c>
      <c r="B10" s="20">
        <f t="shared" ref="B10:V10" si="1">B8*B9</f>
        <v>0</v>
      </c>
      <c r="C10" s="20">
        <f t="shared" si="1"/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 t="e">
        <f>G8*G9</f>
        <v>#REF!</v>
      </c>
      <c r="H10" s="20" t="e">
        <f t="shared" si="1"/>
        <v>#REF!</v>
      </c>
      <c r="I10" s="20" t="e">
        <f t="shared" si="1"/>
        <v>#REF!</v>
      </c>
      <c r="J10" s="20" t="e">
        <f t="shared" si="1"/>
        <v>#REF!</v>
      </c>
      <c r="K10" s="20" t="e">
        <f t="shared" si="1"/>
        <v>#REF!</v>
      </c>
      <c r="L10" s="20" t="e">
        <f t="shared" si="1"/>
        <v>#REF!</v>
      </c>
      <c r="M10" s="2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0" t="e">
        <f t="shared" si="1"/>
        <v>#REF!</v>
      </c>
      <c r="R10" s="20" t="e">
        <f t="shared" si="1"/>
        <v>#REF!</v>
      </c>
      <c r="S10" s="20" t="e">
        <f t="shared" si="1"/>
        <v>#REF!</v>
      </c>
      <c r="T10" s="20" t="e">
        <f t="shared" si="1"/>
        <v>#REF!</v>
      </c>
      <c r="U10" s="20" t="e">
        <f t="shared" si="1"/>
        <v>#REF!</v>
      </c>
      <c r="V10" s="20" t="e">
        <f t="shared" si="1"/>
        <v>#REF!</v>
      </c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4"/>
      <c r="AK10" s="32"/>
      <c r="AL10" s="34"/>
      <c r="AM10" s="34"/>
      <c r="AN10" s="34"/>
      <c r="AO10" s="34"/>
      <c r="AP10" s="34"/>
      <c r="AQ10" s="34"/>
      <c r="AR10" s="34"/>
    </row>
    <row r="11" spans="1:44" s="61" customForma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/>
      <c r="X11" s="54"/>
      <c r="Y11" s="64"/>
      <c r="Z11" s="65"/>
      <c r="AA11" s="65"/>
      <c r="AB11" s="65"/>
      <c r="AC11" s="65"/>
      <c r="AD11" s="65"/>
      <c r="AE11" s="65"/>
      <c r="AF11" s="65"/>
      <c r="AG11" s="65"/>
      <c r="AH11" s="54"/>
      <c r="AI11" s="54"/>
      <c r="AJ11" s="54"/>
      <c r="AK11" s="64"/>
      <c r="AL11" s="54"/>
      <c r="AM11" s="54"/>
      <c r="AN11" s="54"/>
      <c r="AO11" s="54"/>
      <c r="AP11" s="54"/>
      <c r="AQ11" s="54"/>
      <c r="AR11" s="54"/>
    </row>
    <row r="12" spans="1:44" s="22" customFormat="1" x14ac:dyDescent="0.25">
      <c r="A12" s="682" t="s">
        <v>45</v>
      </c>
      <c r="B12" s="683"/>
      <c r="C12" s="683"/>
      <c r="D12" s="683"/>
      <c r="E12" s="683"/>
      <c r="F12" s="683"/>
      <c r="G12" s="683"/>
      <c r="H12" s="683"/>
      <c r="I12" s="683"/>
      <c r="J12" s="683"/>
      <c r="K12" s="683"/>
      <c r="L12" s="683"/>
      <c r="M12" s="683"/>
      <c r="N12" s="683"/>
      <c r="O12" s="683"/>
      <c r="P12" s="683"/>
      <c r="Q12" s="683"/>
      <c r="R12" s="683"/>
      <c r="S12" s="683"/>
      <c r="T12" s="683"/>
      <c r="U12" s="683"/>
      <c r="V12" s="684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s="22" customFormat="1" x14ac:dyDescent="0.25">
      <c r="A13" s="23" t="s">
        <v>13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50</v>
      </c>
      <c r="L13" s="24">
        <v>50</v>
      </c>
      <c r="M13" s="24">
        <v>50</v>
      </c>
      <c r="N13" s="24">
        <v>50</v>
      </c>
      <c r="O13" s="24">
        <v>50</v>
      </c>
      <c r="P13" s="24">
        <v>50</v>
      </c>
      <c r="Q13" s="24">
        <v>50</v>
      </c>
      <c r="R13" s="24">
        <v>50</v>
      </c>
      <c r="S13" s="24">
        <v>50</v>
      </c>
      <c r="T13" s="24">
        <v>50</v>
      </c>
      <c r="U13" s="24">
        <v>50</v>
      </c>
      <c r="V13" s="23">
        <v>100</v>
      </c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22" customFormat="1" x14ac:dyDescent="0.25">
      <c r="A14" s="23" t="s">
        <v>14</v>
      </c>
      <c r="B14" s="24">
        <f t="shared" ref="B14:K14" si="2">B13</f>
        <v>0</v>
      </c>
      <c r="C14" s="24">
        <f t="shared" si="2"/>
        <v>0</v>
      </c>
      <c r="D14" s="24">
        <f t="shared" si="2"/>
        <v>0</v>
      </c>
      <c r="E14" s="24">
        <f t="shared" si="2"/>
        <v>0</v>
      </c>
      <c r="F14" s="24">
        <f t="shared" si="2"/>
        <v>0</v>
      </c>
      <c r="G14" s="24">
        <f t="shared" si="2"/>
        <v>0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50</v>
      </c>
      <c r="L14" s="24">
        <f t="shared" ref="L14:V14" si="3">L13</f>
        <v>50</v>
      </c>
      <c r="M14" s="24">
        <f t="shared" si="3"/>
        <v>50</v>
      </c>
      <c r="N14" s="24">
        <f t="shared" si="3"/>
        <v>50</v>
      </c>
      <c r="O14" s="24">
        <f t="shared" si="3"/>
        <v>50</v>
      </c>
      <c r="P14" s="24">
        <f t="shared" si="3"/>
        <v>50</v>
      </c>
      <c r="Q14" s="24">
        <f t="shared" si="3"/>
        <v>50</v>
      </c>
      <c r="R14" s="24">
        <f t="shared" si="3"/>
        <v>50</v>
      </c>
      <c r="S14" s="24">
        <f t="shared" si="3"/>
        <v>50</v>
      </c>
      <c r="T14" s="24">
        <f t="shared" si="3"/>
        <v>50</v>
      </c>
      <c r="U14" s="24">
        <f t="shared" si="3"/>
        <v>50</v>
      </c>
      <c r="V14" s="24">
        <f t="shared" si="3"/>
        <v>100</v>
      </c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s="22" customFormat="1" x14ac:dyDescent="0.25">
      <c r="A15" s="23" t="s">
        <v>15</v>
      </c>
      <c r="B15" s="23">
        <v>0.84</v>
      </c>
      <c r="C15" s="23">
        <v>0.84</v>
      </c>
      <c r="D15" s="23">
        <v>0.84</v>
      </c>
      <c r="E15" s="23">
        <v>0.84</v>
      </c>
      <c r="F15" s="23">
        <v>0.84</v>
      </c>
      <c r="G15" s="23">
        <v>0.84</v>
      </c>
      <c r="H15" s="23">
        <v>0.84</v>
      </c>
      <c r="I15" s="23">
        <v>0.84</v>
      </c>
      <c r="J15" s="23">
        <v>0.84</v>
      </c>
      <c r="K15" s="23">
        <v>0.84</v>
      </c>
      <c r="L15" s="23">
        <v>0.84</v>
      </c>
      <c r="M15" s="23">
        <v>0.84</v>
      </c>
      <c r="N15" s="23">
        <v>0.84</v>
      </c>
      <c r="O15" s="23">
        <v>0.84</v>
      </c>
      <c r="P15" s="23">
        <v>0.84</v>
      </c>
      <c r="Q15" s="23">
        <v>0.84</v>
      </c>
      <c r="R15" s="23">
        <v>0.84</v>
      </c>
      <c r="S15" s="23">
        <v>0.84</v>
      </c>
      <c r="T15" s="23">
        <v>0.84</v>
      </c>
      <c r="U15" s="23">
        <v>0.84</v>
      </c>
      <c r="V15" s="23">
        <v>0.84</v>
      </c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s="27" customFormat="1" x14ac:dyDescent="0.25">
      <c r="A16" s="25" t="s">
        <v>16</v>
      </c>
      <c r="B16" s="25">
        <f t="shared" ref="B16:V16" si="4">B15*B14</f>
        <v>0</v>
      </c>
      <c r="C16" s="25">
        <f t="shared" si="4"/>
        <v>0</v>
      </c>
      <c r="D16" s="25">
        <f t="shared" si="4"/>
        <v>0</v>
      </c>
      <c r="E16" s="25">
        <f t="shared" si="4"/>
        <v>0</v>
      </c>
      <c r="F16" s="25">
        <f t="shared" si="4"/>
        <v>0</v>
      </c>
      <c r="G16" s="25">
        <f t="shared" si="4"/>
        <v>0</v>
      </c>
      <c r="H16" s="25">
        <f t="shared" si="4"/>
        <v>0</v>
      </c>
      <c r="I16" s="25">
        <f t="shared" si="4"/>
        <v>0</v>
      </c>
      <c r="J16" s="25">
        <f t="shared" si="4"/>
        <v>0</v>
      </c>
      <c r="K16" s="26">
        <f t="shared" si="4"/>
        <v>42</v>
      </c>
      <c r="L16" s="26">
        <f t="shared" si="4"/>
        <v>42</v>
      </c>
      <c r="M16" s="26">
        <f t="shared" si="4"/>
        <v>42</v>
      </c>
      <c r="N16" s="26">
        <f t="shared" si="4"/>
        <v>42</v>
      </c>
      <c r="O16" s="26">
        <f t="shared" si="4"/>
        <v>42</v>
      </c>
      <c r="P16" s="26">
        <f t="shared" si="4"/>
        <v>42</v>
      </c>
      <c r="Q16" s="26">
        <f t="shared" si="4"/>
        <v>42</v>
      </c>
      <c r="R16" s="26">
        <f t="shared" si="4"/>
        <v>42</v>
      </c>
      <c r="S16" s="26">
        <f t="shared" si="4"/>
        <v>42</v>
      </c>
      <c r="T16" s="26">
        <f t="shared" si="4"/>
        <v>42</v>
      </c>
      <c r="U16" s="26">
        <f t="shared" si="4"/>
        <v>42</v>
      </c>
      <c r="V16" s="26">
        <f t="shared" si="4"/>
        <v>84</v>
      </c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7"/>
      <c r="AI16" s="37"/>
      <c r="AJ16" s="37"/>
      <c r="AK16" s="35"/>
      <c r="AL16" s="37"/>
      <c r="AM16" s="37"/>
      <c r="AN16" s="37"/>
      <c r="AO16" s="37"/>
      <c r="AP16" s="37"/>
      <c r="AQ16" s="37"/>
      <c r="AR16" s="37"/>
    </row>
    <row r="17" spans="1:44" s="61" customForma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X17" s="54"/>
      <c r="Y17" s="64"/>
      <c r="Z17" s="65"/>
      <c r="AA17" s="65"/>
      <c r="AB17" s="65"/>
      <c r="AC17" s="65"/>
      <c r="AD17" s="65"/>
      <c r="AE17" s="65"/>
      <c r="AF17" s="65"/>
      <c r="AG17" s="65"/>
      <c r="AH17" s="54"/>
      <c r="AI17" s="54"/>
      <c r="AJ17" s="54"/>
      <c r="AK17" s="64"/>
      <c r="AL17" s="54"/>
      <c r="AM17" s="54"/>
      <c r="AN17" s="54"/>
      <c r="AO17" s="54"/>
      <c r="AP17" s="54"/>
      <c r="AQ17" s="54"/>
      <c r="AR17" s="54"/>
    </row>
    <row r="18" spans="1:44" s="21" customFormat="1" x14ac:dyDescent="0.25">
      <c r="A18" s="46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4"/>
      <c r="AI18" s="34"/>
      <c r="AJ18" s="34"/>
      <c r="AK18" s="32"/>
      <c r="AL18" s="34"/>
      <c r="AM18" s="34"/>
      <c r="AN18" s="34"/>
      <c r="AO18" s="34"/>
      <c r="AP18" s="34"/>
      <c r="AQ18" s="34"/>
      <c r="AR18" s="34"/>
    </row>
    <row r="19" spans="1:44" s="21" customFormat="1" x14ac:dyDescent="0.25">
      <c r="A19" s="18" t="s">
        <v>455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50</v>
      </c>
      <c r="L19" s="19">
        <v>50</v>
      </c>
      <c r="M19" s="19">
        <v>50</v>
      </c>
      <c r="N19" s="19">
        <v>50</v>
      </c>
      <c r="O19" s="19">
        <v>50</v>
      </c>
      <c r="P19" s="19">
        <v>50</v>
      </c>
      <c r="Q19" s="19">
        <v>50</v>
      </c>
      <c r="R19" s="19">
        <v>50</v>
      </c>
      <c r="S19" s="19">
        <v>50</v>
      </c>
      <c r="T19" s="19">
        <v>50</v>
      </c>
      <c r="U19" s="19">
        <v>50</v>
      </c>
      <c r="V19" s="18">
        <v>100</v>
      </c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4"/>
      <c r="AI19" s="34"/>
      <c r="AJ19" s="34"/>
      <c r="AK19" s="32"/>
      <c r="AL19" s="34"/>
      <c r="AM19" s="34"/>
      <c r="AN19" s="34"/>
      <c r="AO19" s="34"/>
      <c r="AP19" s="34"/>
      <c r="AQ19" s="34"/>
      <c r="AR19" s="34"/>
    </row>
    <row r="20" spans="1:44" s="17" customFormat="1" x14ac:dyDescent="0.25">
      <c r="A20" s="18" t="s">
        <v>38</v>
      </c>
      <c r="B20" s="19">
        <v>6132</v>
      </c>
      <c r="C20" s="19">
        <v>6132</v>
      </c>
      <c r="D20" s="19">
        <v>6132</v>
      </c>
      <c r="E20" s="19">
        <v>6132</v>
      </c>
      <c r="F20" s="19">
        <v>6132</v>
      </c>
      <c r="G20" s="19">
        <v>6132</v>
      </c>
      <c r="H20" s="19">
        <v>6132</v>
      </c>
      <c r="I20" s="19">
        <v>6132</v>
      </c>
      <c r="J20" s="19">
        <v>6132</v>
      </c>
      <c r="K20" s="19">
        <v>6132</v>
      </c>
      <c r="L20" s="19">
        <v>6132</v>
      </c>
      <c r="M20" s="19">
        <v>6132</v>
      </c>
      <c r="N20" s="19">
        <v>6132</v>
      </c>
      <c r="O20" s="19">
        <v>6132</v>
      </c>
      <c r="P20" s="19">
        <v>6132</v>
      </c>
      <c r="Q20" s="19">
        <v>6132</v>
      </c>
      <c r="R20" s="19">
        <v>6132</v>
      </c>
      <c r="S20" s="19">
        <v>6132</v>
      </c>
      <c r="T20" s="19">
        <v>6132</v>
      </c>
      <c r="U20" s="19">
        <v>6132</v>
      </c>
      <c r="V20" s="19">
        <v>6132</v>
      </c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s="21" customFormat="1" x14ac:dyDescent="0.25">
      <c r="A21" s="18" t="s">
        <v>14</v>
      </c>
      <c r="B21" s="19">
        <f>B19</f>
        <v>0</v>
      </c>
      <c r="C21" s="19">
        <f t="shared" ref="C21:J21" si="5">C19</f>
        <v>0</v>
      </c>
      <c r="D21" s="19">
        <f t="shared" si="5"/>
        <v>0</v>
      </c>
      <c r="E21" s="19">
        <f t="shared" si="5"/>
        <v>0</v>
      </c>
      <c r="F21" s="19">
        <f t="shared" si="5"/>
        <v>0</v>
      </c>
      <c r="G21" s="19">
        <f t="shared" si="5"/>
        <v>0</v>
      </c>
      <c r="H21" s="19">
        <f t="shared" si="5"/>
        <v>0</v>
      </c>
      <c r="I21" s="19">
        <f t="shared" si="5"/>
        <v>0</v>
      </c>
      <c r="J21" s="19">
        <f t="shared" si="5"/>
        <v>0</v>
      </c>
      <c r="K21" s="19">
        <f>K19*K20</f>
        <v>306600</v>
      </c>
      <c r="L21" s="19">
        <f t="shared" ref="L21:V21" si="6">L19*L20</f>
        <v>306600</v>
      </c>
      <c r="M21" s="19">
        <f t="shared" si="6"/>
        <v>306600</v>
      </c>
      <c r="N21" s="19">
        <f t="shared" si="6"/>
        <v>306600</v>
      </c>
      <c r="O21" s="19">
        <f t="shared" si="6"/>
        <v>306600</v>
      </c>
      <c r="P21" s="19">
        <f t="shared" si="6"/>
        <v>306600</v>
      </c>
      <c r="Q21" s="19">
        <f t="shared" si="6"/>
        <v>306600</v>
      </c>
      <c r="R21" s="19">
        <f t="shared" si="6"/>
        <v>306600</v>
      </c>
      <c r="S21" s="19">
        <f t="shared" si="6"/>
        <v>306600</v>
      </c>
      <c r="T21" s="19">
        <f t="shared" si="6"/>
        <v>306600</v>
      </c>
      <c r="U21" s="19">
        <f t="shared" si="6"/>
        <v>306600</v>
      </c>
      <c r="V21" s="19">
        <f t="shared" si="6"/>
        <v>613200</v>
      </c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4"/>
      <c r="AI21" s="34"/>
      <c r="AJ21" s="34"/>
      <c r="AK21" s="32"/>
      <c r="AL21" s="34"/>
      <c r="AM21" s="34"/>
      <c r="AN21" s="34"/>
      <c r="AO21" s="34"/>
      <c r="AP21" s="34"/>
      <c r="AQ21" s="34"/>
      <c r="AR21" s="34"/>
    </row>
    <row r="22" spans="1:44" s="21" customFormat="1" x14ac:dyDescent="0.25">
      <c r="A22" s="18" t="s">
        <v>15</v>
      </c>
      <c r="B22" s="18">
        <v>0.70599999999999996</v>
      </c>
      <c r="C22" s="18">
        <v>0.70599999999999996</v>
      </c>
      <c r="D22" s="18">
        <v>0.70599999999999996</v>
      </c>
      <c r="E22" s="18">
        <v>0.70599999999999996</v>
      </c>
      <c r="F22" s="18">
        <v>0.70599999999999996</v>
      </c>
      <c r="G22" s="18">
        <v>0.70599999999999996</v>
      </c>
      <c r="H22" s="18">
        <v>0.70599999999999996</v>
      </c>
      <c r="I22" s="18">
        <v>0.70599999999999996</v>
      </c>
      <c r="J22" s="18">
        <v>0.70599999999999996</v>
      </c>
      <c r="K22" s="18">
        <v>0.70599999999999996</v>
      </c>
      <c r="L22" s="18">
        <v>0.70599999999999996</v>
      </c>
      <c r="M22" s="18">
        <v>0.70599999999999996</v>
      </c>
      <c r="N22" s="18">
        <v>0.70599999999999996</v>
      </c>
      <c r="O22" s="18">
        <v>0.70599999999999996</v>
      </c>
      <c r="P22" s="18">
        <v>0.70599999999999996</v>
      </c>
      <c r="Q22" s="18">
        <v>0.70599999999999996</v>
      </c>
      <c r="R22" s="18">
        <v>0.70599999999999996</v>
      </c>
      <c r="S22" s="18">
        <v>0.70599999999999996</v>
      </c>
      <c r="T22" s="18">
        <v>0.70599999999999996</v>
      </c>
      <c r="U22" s="18">
        <v>0.70599999999999996</v>
      </c>
      <c r="V22" s="18">
        <v>0.70599999999999996</v>
      </c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4"/>
      <c r="AI22" s="34"/>
      <c r="AJ22" s="34"/>
      <c r="AK22" s="32"/>
      <c r="AL22" s="34"/>
      <c r="AM22" s="34"/>
      <c r="AN22" s="34"/>
      <c r="AO22" s="34"/>
      <c r="AP22" s="34"/>
      <c r="AQ22" s="34"/>
      <c r="AR22" s="34"/>
    </row>
    <row r="23" spans="1:44" s="21" customFormat="1" x14ac:dyDescent="0.25">
      <c r="A23" s="20" t="s">
        <v>16</v>
      </c>
      <c r="B23" s="20">
        <f t="shared" ref="B23:V23" si="7">B22*B21</f>
        <v>0</v>
      </c>
      <c r="C23" s="20">
        <f t="shared" si="7"/>
        <v>0</v>
      </c>
      <c r="D23" s="20">
        <f t="shared" si="7"/>
        <v>0</v>
      </c>
      <c r="E23" s="20">
        <f t="shared" si="7"/>
        <v>0</v>
      </c>
      <c r="F23" s="20">
        <f t="shared" si="7"/>
        <v>0</v>
      </c>
      <c r="G23" s="20">
        <f t="shared" si="7"/>
        <v>0</v>
      </c>
      <c r="H23" s="20">
        <f t="shared" si="7"/>
        <v>0</v>
      </c>
      <c r="I23" s="20">
        <f t="shared" si="7"/>
        <v>0</v>
      </c>
      <c r="J23" s="20">
        <f t="shared" si="7"/>
        <v>0</v>
      </c>
      <c r="K23" s="20">
        <f t="shared" si="7"/>
        <v>216459.59999999998</v>
      </c>
      <c r="L23" s="20">
        <f t="shared" si="7"/>
        <v>216459.59999999998</v>
      </c>
      <c r="M23" s="20">
        <f t="shared" si="7"/>
        <v>216459.59999999998</v>
      </c>
      <c r="N23" s="20">
        <f t="shared" si="7"/>
        <v>216459.59999999998</v>
      </c>
      <c r="O23" s="20">
        <f t="shared" si="7"/>
        <v>216459.59999999998</v>
      </c>
      <c r="P23" s="20">
        <f t="shared" si="7"/>
        <v>216459.59999999998</v>
      </c>
      <c r="Q23" s="20">
        <f t="shared" si="7"/>
        <v>216459.59999999998</v>
      </c>
      <c r="R23" s="20">
        <f t="shared" si="7"/>
        <v>216459.59999999998</v>
      </c>
      <c r="S23" s="20">
        <f t="shared" si="7"/>
        <v>216459.59999999998</v>
      </c>
      <c r="T23" s="20">
        <f t="shared" si="7"/>
        <v>216459.59999999998</v>
      </c>
      <c r="U23" s="20">
        <f t="shared" si="7"/>
        <v>216459.59999999998</v>
      </c>
      <c r="V23" s="20">
        <f t="shared" si="7"/>
        <v>432919.19999999995</v>
      </c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4"/>
      <c r="AI23" s="34"/>
      <c r="AJ23" s="34"/>
      <c r="AK23" s="32"/>
      <c r="AL23" s="34"/>
      <c r="AM23" s="34"/>
      <c r="AN23" s="34"/>
      <c r="AO23" s="34"/>
      <c r="AP23" s="34"/>
      <c r="AQ23" s="34"/>
      <c r="AR23" s="34"/>
    </row>
    <row r="24" spans="1:44" s="61" customFormat="1" x14ac:dyDescent="0.25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X24" s="54"/>
      <c r="Y24" s="64"/>
      <c r="Z24" s="65"/>
      <c r="AA24" s="65"/>
      <c r="AB24" s="65"/>
      <c r="AC24" s="65"/>
      <c r="AD24" s="65"/>
      <c r="AE24" s="65"/>
      <c r="AF24" s="65"/>
      <c r="AG24" s="65"/>
      <c r="AH24" s="54"/>
      <c r="AI24" s="54"/>
      <c r="AJ24" s="54"/>
      <c r="AK24" s="64"/>
      <c r="AL24" s="54"/>
      <c r="AM24" s="54"/>
      <c r="AN24" s="54"/>
      <c r="AO24" s="54"/>
      <c r="AP24" s="54"/>
      <c r="AQ24" s="54"/>
      <c r="AR24" s="54"/>
    </row>
    <row r="25" spans="1:44" s="22" customFormat="1" x14ac:dyDescent="0.25">
      <c r="A25" s="682" t="s">
        <v>41</v>
      </c>
      <c r="B25" s="683"/>
      <c r="C25" s="683"/>
      <c r="D25" s="683"/>
      <c r="E25" s="683"/>
      <c r="F25" s="683"/>
      <c r="G25" s="683"/>
      <c r="H25" s="683"/>
      <c r="I25" s="683"/>
      <c r="J25" s="683"/>
      <c r="K25" s="683"/>
      <c r="L25" s="683"/>
      <c r="M25" s="683"/>
      <c r="N25" s="683"/>
      <c r="O25" s="683"/>
      <c r="P25" s="683"/>
      <c r="Q25" s="683"/>
      <c r="R25" s="683"/>
      <c r="S25" s="683"/>
      <c r="T25" s="683"/>
      <c r="U25" s="683"/>
      <c r="V25" s="684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s="22" customFormat="1" x14ac:dyDescent="0.25">
      <c r="A26" s="23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3">
        <v>0</v>
      </c>
      <c r="N26" s="23">
        <v>0</v>
      </c>
      <c r="O26" s="23">
        <v>0</v>
      </c>
      <c r="P26" s="23">
        <v>0</v>
      </c>
      <c r="Q26" s="23" t="e">
        <f>'tabel lanscape+Hitungan biogas '!#REF!</f>
        <v>#REF!</v>
      </c>
      <c r="R26" s="23" t="e">
        <f>'tabel lanscape+Hitungan biogas '!#REF!</f>
        <v>#REF!</v>
      </c>
      <c r="S26" s="23" t="e">
        <f>'tabel lanscape+Hitungan biogas '!#REF!</f>
        <v>#REF!</v>
      </c>
      <c r="T26" s="23" t="e">
        <f>'tabel lanscape+Hitungan biogas '!#REF!</f>
        <v>#REF!</v>
      </c>
      <c r="U26" s="23" t="e">
        <f>'tabel lanscape+Hitungan biogas '!#REF!</f>
        <v>#REF!</v>
      </c>
      <c r="V26" s="23" t="e">
        <f>'tabel lanscape+Hitungan biogas '!#REF!</f>
        <v>#REF!</v>
      </c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s="22" customFormat="1" x14ac:dyDescent="0.25">
      <c r="A27" s="23" t="s">
        <v>14</v>
      </c>
      <c r="B27" s="24">
        <f>B26</f>
        <v>0</v>
      </c>
      <c r="C27" s="24">
        <f t="shared" ref="C27:V27" si="8">C26</f>
        <v>0</v>
      </c>
      <c r="D27" s="24">
        <f t="shared" si="8"/>
        <v>0</v>
      </c>
      <c r="E27" s="24">
        <f t="shared" si="8"/>
        <v>0</v>
      </c>
      <c r="F27" s="24">
        <f t="shared" si="8"/>
        <v>0</v>
      </c>
      <c r="G27" s="24">
        <f t="shared" si="8"/>
        <v>0</v>
      </c>
      <c r="H27" s="24">
        <f t="shared" si="8"/>
        <v>0</v>
      </c>
      <c r="I27" s="24">
        <f t="shared" si="8"/>
        <v>0</v>
      </c>
      <c r="J27" s="24">
        <f t="shared" si="8"/>
        <v>0</v>
      </c>
      <c r="K27" s="24">
        <f t="shared" si="8"/>
        <v>0</v>
      </c>
      <c r="L27" s="24">
        <f t="shared" si="8"/>
        <v>0</v>
      </c>
      <c r="M27" s="24">
        <f t="shared" si="8"/>
        <v>0</v>
      </c>
      <c r="N27" s="24">
        <f t="shared" si="8"/>
        <v>0</v>
      </c>
      <c r="O27" s="24">
        <f t="shared" si="8"/>
        <v>0</v>
      </c>
      <c r="P27" s="24">
        <f t="shared" si="8"/>
        <v>0</v>
      </c>
      <c r="Q27" s="24" t="e">
        <f t="shared" si="8"/>
        <v>#REF!</v>
      </c>
      <c r="R27" s="24" t="e">
        <f t="shared" si="8"/>
        <v>#REF!</v>
      </c>
      <c r="S27" s="24" t="e">
        <f t="shared" si="8"/>
        <v>#REF!</v>
      </c>
      <c r="T27" s="24" t="e">
        <f t="shared" si="8"/>
        <v>#REF!</v>
      </c>
      <c r="U27" s="24" t="e">
        <f t="shared" si="8"/>
        <v>#REF!</v>
      </c>
      <c r="V27" s="24" t="e">
        <f t="shared" si="8"/>
        <v>#REF!</v>
      </c>
      <c r="W27" s="50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s="22" customFormat="1" x14ac:dyDescent="0.25">
      <c r="A28" s="23" t="s">
        <v>15</v>
      </c>
      <c r="B28" s="23">
        <v>0.84</v>
      </c>
      <c r="C28" s="23">
        <v>0.84</v>
      </c>
      <c r="D28" s="23">
        <v>0.84</v>
      </c>
      <c r="E28" s="23">
        <v>0.84</v>
      </c>
      <c r="F28" s="23">
        <v>0.84</v>
      </c>
      <c r="G28" s="23">
        <v>0.84</v>
      </c>
      <c r="H28" s="23">
        <v>0.84</v>
      </c>
      <c r="I28" s="23">
        <v>0.84</v>
      </c>
      <c r="J28" s="23">
        <v>0.84</v>
      </c>
      <c r="K28" s="23">
        <v>0.84</v>
      </c>
      <c r="L28" s="23">
        <v>0.84</v>
      </c>
      <c r="M28" s="23">
        <v>0.84</v>
      </c>
      <c r="N28" s="23">
        <v>0.84</v>
      </c>
      <c r="O28" s="23">
        <v>0.84</v>
      </c>
      <c r="P28" s="23">
        <v>0.84</v>
      </c>
      <c r="Q28" s="23">
        <v>0.84</v>
      </c>
      <c r="R28" s="23">
        <v>0.84</v>
      </c>
      <c r="S28" s="23">
        <v>0.84</v>
      </c>
      <c r="T28" s="23">
        <v>0.84</v>
      </c>
      <c r="U28" s="23">
        <v>0.84</v>
      </c>
      <c r="V28" s="23">
        <v>0.84</v>
      </c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s="27" customFormat="1" x14ac:dyDescent="0.25">
      <c r="A29" s="25" t="s">
        <v>16</v>
      </c>
      <c r="B29" s="25">
        <f>B28*B27</f>
        <v>0</v>
      </c>
      <c r="C29" s="25">
        <f t="shared" ref="C29:P29" si="9">C28*C27</f>
        <v>0</v>
      </c>
      <c r="D29" s="25">
        <f t="shared" si="9"/>
        <v>0</v>
      </c>
      <c r="E29" s="25">
        <f t="shared" si="9"/>
        <v>0</v>
      </c>
      <c r="F29" s="25">
        <f t="shared" si="9"/>
        <v>0</v>
      </c>
      <c r="G29" s="25">
        <f t="shared" si="9"/>
        <v>0</v>
      </c>
      <c r="H29" s="25">
        <f t="shared" si="9"/>
        <v>0</v>
      </c>
      <c r="I29" s="25">
        <f t="shared" si="9"/>
        <v>0</v>
      </c>
      <c r="J29" s="25">
        <f t="shared" si="9"/>
        <v>0</v>
      </c>
      <c r="K29" s="25">
        <f t="shared" si="9"/>
        <v>0</v>
      </c>
      <c r="L29" s="25">
        <f t="shared" si="9"/>
        <v>0</v>
      </c>
      <c r="M29" s="25">
        <f t="shared" si="9"/>
        <v>0</v>
      </c>
      <c r="N29" s="25">
        <f t="shared" si="9"/>
        <v>0</v>
      </c>
      <c r="O29" s="25">
        <f t="shared" si="9"/>
        <v>0</v>
      </c>
      <c r="P29" s="25">
        <f t="shared" si="9"/>
        <v>0</v>
      </c>
      <c r="Q29" s="25" t="e">
        <f t="shared" ref="Q29:V29" si="10">Q28*Q27</f>
        <v>#REF!</v>
      </c>
      <c r="R29" s="25" t="e">
        <f t="shared" si="10"/>
        <v>#REF!</v>
      </c>
      <c r="S29" s="25" t="e">
        <f t="shared" si="10"/>
        <v>#REF!</v>
      </c>
      <c r="T29" s="25" t="e">
        <f t="shared" si="10"/>
        <v>#REF!</v>
      </c>
      <c r="U29" s="25" t="e">
        <f t="shared" si="10"/>
        <v>#REF!</v>
      </c>
      <c r="V29" s="25" t="e">
        <f t="shared" si="10"/>
        <v>#REF!</v>
      </c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7"/>
      <c r="AI29" s="37"/>
      <c r="AJ29" s="37"/>
      <c r="AK29" s="35"/>
      <c r="AL29" s="37"/>
      <c r="AM29" s="37"/>
      <c r="AN29" s="37"/>
      <c r="AO29" s="37"/>
      <c r="AP29" s="37"/>
      <c r="AQ29" s="37"/>
      <c r="AR29" s="37"/>
    </row>
    <row r="30" spans="1:44" s="61" customFormat="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4"/>
      <c r="Y30" s="64"/>
      <c r="Z30" s="65"/>
      <c r="AA30" s="65"/>
      <c r="AB30" s="65"/>
      <c r="AC30" s="65"/>
      <c r="AD30" s="65"/>
      <c r="AE30" s="65"/>
      <c r="AF30" s="65"/>
      <c r="AG30" s="65"/>
      <c r="AH30" s="54"/>
      <c r="AI30" s="54"/>
      <c r="AJ30" s="54"/>
      <c r="AK30" s="64"/>
      <c r="AL30" s="54"/>
      <c r="AM30" s="54"/>
      <c r="AN30" s="54"/>
      <c r="AO30" s="54"/>
      <c r="AP30" s="54"/>
      <c r="AQ30" s="54"/>
      <c r="AR30" s="54"/>
    </row>
    <row r="31" spans="1:44" s="17" customFormat="1" x14ac:dyDescent="0.25">
      <c r="A31" s="677" t="s">
        <v>43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  <c r="N31" s="678"/>
      <c r="O31" s="678"/>
      <c r="P31" s="678"/>
      <c r="Q31" s="678"/>
      <c r="R31" s="678"/>
      <c r="S31" s="678"/>
      <c r="T31" s="678"/>
      <c r="U31" s="678"/>
      <c r="V31" s="679"/>
      <c r="X31" s="32"/>
      <c r="Y31" s="32"/>
      <c r="Z31" s="33"/>
      <c r="AA31" s="33"/>
      <c r="AB31" s="33"/>
      <c r="AC31" s="33"/>
      <c r="AD31" s="33"/>
      <c r="AE31" s="33"/>
      <c r="AF31" s="33"/>
      <c r="AG31" s="55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s="17" customFormat="1" x14ac:dyDescent="0.25">
      <c r="A32" s="18" t="s">
        <v>13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8">
        <v>0</v>
      </c>
      <c r="N32" s="18">
        <v>0</v>
      </c>
      <c r="O32" s="18">
        <v>0</v>
      </c>
      <c r="P32" s="18">
        <v>0</v>
      </c>
      <c r="Q32" s="18">
        <f>'tabel lanscape+Hitungan biogas '!Y11</f>
        <v>10</v>
      </c>
      <c r="R32" s="18">
        <f>'tabel lanscape+Hitungan biogas '!Z11</f>
        <v>0</v>
      </c>
      <c r="S32" s="18">
        <f>'tabel lanscape+Hitungan biogas '!AA11</f>
        <v>0</v>
      </c>
      <c r="T32" s="18">
        <f>'tabel lanscape+Hitungan biogas '!AB11</f>
        <v>0</v>
      </c>
      <c r="U32" s="18">
        <f>'tabel lanscape+Hitungan biogas '!AC11</f>
        <v>0</v>
      </c>
      <c r="V32" s="18">
        <f>'tabel lanscape+Hitungan biogas '!AD11</f>
        <v>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s="17" customFormat="1" x14ac:dyDescent="0.25">
      <c r="A33" s="18" t="s">
        <v>14</v>
      </c>
      <c r="B33" s="19">
        <f t="shared" ref="B33:Q33" si="11">B32</f>
        <v>0</v>
      </c>
      <c r="C33" s="19">
        <f t="shared" si="11"/>
        <v>0</v>
      </c>
      <c r="D33" s="19">
        <f t="shared" si="11"/>
        <v>0</v>
      </c>
      <c r="E33" s="19">
        <f t="shared" si="11"/>
        <v>0</v>
      </c>
      <c r="F33" s="19">
        <f t="shared" si="11"/>
        <v>0</v>
      </c>
      <c r="G33" s="19">
        <f t="shared" si="11"/>
        <v>0</v>
      </c>
      <c r="H33" s="19">
        <f t="shared" si="11"/>
        <v>0</v>
      </c>
      <c r="I33" s="19">
        <f t="shared" si="11"/>
        <v>0</v>
      </c>
      <c r="J33" s="19">
        <f t="shared" si="11"/>
        <v>0</v>
      </c>
      <c r="K33" s="19">
        <f t="shared" si="11"/>
        <v>0</v>
      </c>
      <c r="L33" s="19">
        <f t="shared" si="11"/>
        <v>0</v>
      </c>
      <c r="M33" s="19">
        <f t="shared" si="11"/>
        <v>0</v>
      </c>
      <c r="N33" s="19">
        <f t="shared" si="11"/>
        <v>0</v>
      </c>
      <c r="O33" s="19">
        <f t="shared" si="11"/>
        <v>0</v>
      </c>
      <c r="P33" s="19">
        <f t="shared" si="11"/>
        <v>0</v>
      </c>
      <c r="Q33" s="19">
        <f t="shared" si="11"/>
        <v>10</v>
      </c>
      <c r="R33" s="19">
        <f t="shared" ref="R33:V33" si="12">R32</f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19">
        <f t="shared" si="12"/>
        <v>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s="17" customFormat="1" x14ac:dyDescent="0.25">
      <c r="A34" s="18" t="s">
        <v>15</v>
      </c>
      <c r="B34" s="18">
        <v>0.84</v>
      </c>
      <c r="C34" s="18">
        <v>0.84</v>
      </c>
      <c r="D34" s="18">
        <v>0.84</v>
      </c>
      <c r="E34" s="18">
        <v>0.84</v>
      </c>
      <c r="F34" s="18">
        <v>0.84</v>
      </c>
      <c r="G34" s="18">
        <v>0.84</v>
      </c>
      <c r="H34" s="18">
        <v>0.84</v>
      </c>
      <c r="I34" s="18">
        <v>0.84</v>
      </c>
      <c r="J34" s="18">
        <v>0.84</v>
      </c>
      <c r="K34" s="18">
        <v>0.84</v>
      </c>
      <c r="L34" s="18">
        <v>0.84</v>
      </c>
      <c r="M34" s="18">
        <v>0.84</v>
      </c>
      <c r="N34" s="18">
        <v>0.84</v>
      </c>
      <c r="O34" s="18">
        <v>0.84</v>
      </c>
      <c r="P34" s="18">
        <v>0.84</v>
      </c>
      <c r="Q34" s="18">
        <v>0.84</v>
      </c>
      <c r="R34" s="18">
        <v>0.84</v>
      </c>
      <c r="S34" s="18">
        <v>0.84</v>
      </c>
      <c r="T34" s="18">
        <v>0.84</v>
      </c>
      <c r="U34" s="18">
        <v>0.84</v>
      </c>
      <c r="V34" s="18">
        <v>0.84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s="21" customFormat="1" x14ac:dyDescent="0.25">
      <c r="A35" s="20" t="s">
        <v>16</v>
      </c>
      <c r="B35" s="20">
        <f>B34*B33</f>
        <v>0</v>
      </c>
      <c r="C35" s="20">
        <f t="shared" ref="C35:V35" si="13">C34*C33</f>
        <v>0</v>
      </c>
      <c r="D35" s="20">
        <f t="shared" si="13"/>
        <v>0</v>
      </c>
      <c r="E35" s="20">
        <f t="shared" si="13"/>
        <v>0</v>
      </c>
      <c r="F35" s="20">
        <f t="shared" si="13"/>
        <v>0</v>
      </c>
      <c r="G35" s="20">
        <f t="shared" si="13"/>
        <v>0</v>
      </c>
      <c r="H35" s="20">
        <f t="shared" si="13"/>
        <v>0</v>
      </c>
      <c r="I35" s="20">
        <f t="shared" si="13"/>
        <v>0</v>
      </c>
      <c r="J35" s="20">
        <f t="shared" si="13"/>
        <v>0</v>
      </c>
      <c r="K35" s="20">
        <f t="shared" si="13"/>
        <v>0</v>
      </c>
      <c r="L35" s="20">
        <f t="shared" si="13"/>
        <v>0</v>
      </c>
      <c r="M35" s="20">
        <f t="shared" si="13"/>
        <v>0</v>
      </c>
      <c r="N35" s="20">
        <f t="shared" si="13"/>
        <v>0</v>
      </c>
      <c r="O35" s="20">
        <f t="shared" si="13"/>
        <v>0</v>
      </c>
      <c r="P35" s="20">
        <f t="shared" si="13"/>
        <v>0</v>
      </c>
      <c r="Q35" s="56">
        <f t="shared" si="13"/>
        <v>8.4</v>
      </c>
      <c r="R35" s="56">
        <f t="shared" si="13"/>
        <v>0</v>
      </c>
      <c r="S35" s="56">
        <f t="shared" si="13"/>
        <v>0</v>
      </c>
      <c r="T35" s="56">
        <f t="shared" si="13"/>
        <v>0</v>
      </c>
      <c r="U35" s="56">
        <f t="shared" si="13"/>
        <v>0</v>
      </c>
      <c r="V35" s="56">
        <f t="shared" si="13"/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s="61" customFormat="1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3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 s="22" customFormat="1" x14ac:dyDescent="0.25">
      <c r="A37" s="682" t="s">
        <v>42</v>
      </c>
      <c r="B37" s="683"/>
      <c r="C37" s="683"/>
      <c r="D37" s="683"/>
      <c r="E37" s="683"/>
      <c r="F37" s="683"/>
      <c r="G37" s="683"/>
      <c r="H37" s="683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4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s="22" customFormat="1" x14ac:dyDescent="0.25">
      <c r="A38" s="23" t="s">
        <v>13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3">
        <v>0</v>
      </c>
      <c r="O38" s="23">
        <v>0</v>
      </c>
      <c r="P38" s="23">
        <v>0</v>
      </c>
      <c r="Q38" s="23">
        <f>'tabel lanscape+Hitungan biogas '!Y23</f>
        <v>0</v>
      </c>
      <c r="R38" s="23">
        <f>'tabel lanscape+Hitungan biogas '!Z23</f>
        <v>0</v>
      </c>
      <c r="S38" s="23">
        <f>'tabel lanscape+Hitungan biogas '!AA23</f>
        <v>0</v>
      </c>
      <c r="T38" s="23">
        <f>'tabel lanscape+Hitungan biogas '!AB23</f>
        <v>0</v>
      </c>
      <c r="U38" s="23">
        <f>'tabel lanscape+Hitungan biogas '!AC23</f>
        <v>0</v>
      </c>
      <c r="V38" s="23">
        <f>'tabel lanscape+Hitungan biogas '!AD23</f>
        <v>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s="22" customFormat="1" x14ac:dyDescent="0.25">
      <c r="A39" s="23" t="s">
        <v>14</v>
      </c>
      <c r="B39" s="24">
        <f>B38</f>
        <v>0</v>
      </c>
      <c r="C39" s="24">
        <f t="shared" ref="C39:V39" si="14">C38</f>
        <v>0</v>
      </c>
      <c r="D39" s="24">
        <f t="shared" si="14"/>
        <v>0</v>
      </c>
      <c r="E39" s="24">
        <f t="shared" si="14"/>
        <v>0</v>
      </c>
      <c r="F39" s="24">
        <f t="shared" si="14"/>
        <v>0</v>
      </c>
      <c r="G39" s="24">
        <f t="shared" si="14"/>
        <v>0</v>
      </c>
      <c r="H39" s="24">
        <f t="shared" si="14"/>
        <v>0</v>
      </c>
      <c r="I39" s="24">
        <f t="shared" si="14"/>
        <v>0</v>
      </c>
      <c r="J39" s="24">
        <f t="shared" si="14"/>
        <v>0</v>
      </c>
      <c r="K39" s="24">
        <f t="shared" si="14"/>
        <v>0</v>
      </c>
      <c r="L39" s="24">
        <f t="shared" si="14"/>
        <v>0</v>
      </c>
      <c r="M39" s="24">
        <f t="shared" si="14"/>
        <v>0</v>
      </c>
      <c r="N39" s="24">
        <f t="shared" si="14"/>
        <v>0</v>
      </c>
      <c r="O39" s="24">
        <f t="shared" si="14"/>
        <v>0</v>
      </c>
      <c r="P39" s="24">
        <f t="shared" si="14"/>
        <v>0</v>
      </c>
      <c r="Q39" s="24">
        <f t="shared" si="14"/>
        <v>0</v>
      </c>
      <c r="R39" s="24">
        <f t="shared" si="14"/>
        <v>0</v>
      </c>
      <c r="S39" s="24">
        <f t="shared" si="14"/>
        <v>0</v>
      </c>
      <c r="T39" s="24">
        <f t="shared" si="14"/>
        <v>0</v>
      </c>
      <c r="U39" s="24">
        <f t="shared" si="14"/>
        <v>0</v>
      </c>
      <c r="V39" s="24">
        <f t="shared" si="14"/>
        <v>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s="22" customFormat="1" x14ac:dyDescent="0.25">
      <c r="A40" s="23" t="s">
        <v>15</v>
      </c>
      <c r="B40" s="23">
        <v>0.84</v>
      </c>
      <c r="C40" s="23">
        <v>0.84</v>
      </c>
      <c r="D40" s="23">
        <v>0.84</v>
      </c>
      <c r="E40" s="23">
        <v>0.84</v>
      </c>
      <c r="F40" s="23">
        <v>0.84</v>
      </c>
      <c r="G40" s="23">
        <v>0.84</v>
      </c>
      <c r="H40" s="23">
        <v>0.84</v>
      </c>
      <c r="I40" s="23">
        <v>0.84</v>
      </c>
      <c r="J40" s="23">
        <v>0.84</v>
      </c>
      <c r="K40" s="23">
        <v>0.84</v>
      </c>
      <c r="L40" s="23">
        <v>0.84</v>
      </c>
      <c r="M40" s="23">
        <v>0.84</v>
      </c>
      <c r="N40" s="23">
        <v>0.84</v>
      </c>
      <c r="O40" s="23">
        <v>0.84</v>
      </c>
      <c r="P40" s="23">
        <v>0.84</v>
      </c>
      <c r="Q40" s="23">
        <v>0.84</v>
      </c>
      <c r="R40" s="23">
        <v>0.84</v>
      </c>
      <c r="S40" s="23">
        <v>0.84</v>
      </c>
      <c r="T40" s="23">
        <v>0.84</v>
      </c>
      <c r="U40" s="23">
        <v>0.84</v>
      </c>
      <c r="V40" s="23">
        <v>0.84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s="27" customFormat="1" x14ac:dyDescent="0.25">
      <c r="A41" s="25" t="s">
        <v>16</v>
      </c>
      <c r="B41" s="25">
        <f>B40*B39</f>
        <v>0</v>
      </c>
      <c r="C41" s="25">
        <f t="shared" ref="C41:V41" si="15">C40*C39</f>
        <v>0</v>
      </c>
      <c r="D41" s="25">
        <f t="shared" si="15"/>
        <v>0</v>
      </c>
      <c r="E41" s="25">
        <f t="shared" si="15"/>
        <v>0</v>
      </c>
      <c r="F41" s="25">
        <f t="shared" si="15"/>
        <v>0</v>
      </c>
      <c r="G41" s="25">
        <f t="shared" si="15"/>
        <v>0</v>
      </c>
      <c r="H41" s="25">
        <f t="shared" si="15"/>
        <v>0</v>
      </c>
      <c r="I41" s="25">
        <f t="shared" si="15"/>
        <v>0</v>
      </c>
      <c r="J41" s="25">
        <f t="shared" si="15"/>
        <v>0</v>
      </c>
      <c r="K41" s="25">
        <f t="shared" si="15"/>
        <v>0</v>
      </c>
      <c r="L41" s="25">
        <f t="shared" si="15"/>
        <v>0</v>
      </c>
      <c r="M41" s="25">
        <f t="shared" si="15"/>
        <v>0</v>
      </c>
      <c r="N41" s="25">
        <f t="shared" si="15"/>
        <v>0</v>
      </c>
      <c r="O41" s="25">
        <f t="shared" si="15"/>
        <v>0</v>
      </c>
      <c r="P41" s="25">
        <f t="shared" si="15"/>
        <v>0</v>
      </c>
      <c r="Q41" s="25">
        <f t="shared" si="15"/>
        <v>0</v>
      </c>
      <c r="R41" s="25">
        <f t="shared" si="15"/>
        <v>0</v>
      </c>
      <c r="S41" s="25">
        <f t="shared" si="15"/>
        <v>0</v>
      </c>
      <c r="T41" s="25">
        <f t="shared" si="15"/>
        <v>0</v>
      </c>
      <c r="U41" s="25">
        <f t="shared" si="15"/>
        <v>0</v>
      </c>
      <c r="V41" s="25">
        <f t="shared" si="15"/>
        <v>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s="61" customForma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 s="17" customFormat="1" x14ac:dyDescent="0.25">
      <c r="A43" s="677" t="s">
        <v>44</v>
      </c>
      <c r="B43" s="678"/>
      <c r="C43" s="678"/>
      <c r="D43" s="678"/>
      <c r="E43" s="678"/>
      <c r="F43" s="678"/>
      <c r="G43" s="678"/>
      <c r="H43" s="678"/>
      <c r="I43" s="678"/>
      <c r="J43" s="678"/>
      <c r="K43" s="678"/>
      <c r="L43" s="678"/>
      <c r="M43" s="678"/>
      <c r="N43" s="678"/>
      <c r="O43" s="678"/>
      <c r="P43" s="678"/>
      <c r="Q43" s="678"/>
      <c r="R43" s="678"/>
      <c r="S43" s="678"/>
      <c r="T43" s="678"/>
      <c r="U43" s="678"/>
      <c r="V43" s="679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spans="1:44" s="17" customFormat="1" x14ac:dyDescent="0.25">
      <c r="A44" s="18" t="s">
        <v>13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8">
        <v>0</v>
      </c>
      <c r="N44" s="18">
        <v>0</v>
      </c>
      <c r="O44" s="18">
        <v>0</v>
      </c>
      <c r="P44" s="18">
        <v>0</v>
      </c>
      <c r="Q44" s="18" t="e">
        <f>'tabel lanscape+Hitungan biogas '!#REF!</f>
        <v>#REF!</v>
      </c>
      <c r="R44" s="18" t="e">
        <f>'tabel lanscape+Hitungan biogas '!#REF!</f>
        <v>#REF!</v>
      </c>
      <c r="S44" s="18" t="e">
        <f>'tabel lanscape+Hitungan biogas '!#REF!</f>
        <v>#REF!</v>
      </c>
      <c r="T44" s="18" t="e">
        <f>'tabel lanscape+Hitungan biogas '!#REF!</f>
        <v>#REF!</v>
      </c>
      <c r="U44" s="18" t="e">
        <f>'tabel lanscape+Hitungan biogas '!#REF!</f>
        <v>#REF!</v>
      </c>
      <c r="V44" s="18" t="e">
        <f>'tabel lanscape+Hitungan biogas '!#REF!</f>
        <v>#REF!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</row>
    <row r="45" spans="1:44" s="17" customFormat="1" x14ac:dyDescent="0.25">
      <c r="A45" s="18" t="s">
        <v>14</v>
      </c>
      <c r="B45" s="19">
        <f t="shared" ref="B45:Q45" si="16">B44</f>
        <v>0</v>
      </c>
      <c r="C45" s="19">
        <f t="shared" si="16"/>
        <v>0</v>
      </c>
      <c r="D45" s="19">
        <f t="shared" si="16"/>
        <v>0</v>
      </c>
      <c r="E45" s="19">
        <f t="shared" si="16"/>
        <v>0</v>
      </c>
      <c r="F45" s="19">
        <f t="shared" si="16"/>
        <v>0</v>
      </c>
      <c r="G45" s="19">
        <f t="shared" si="16"/>
        <v>0</v>
      </c>
      <c r="H45" s="19">
        <f t="shared" si="16"/>
        <v>0</v>
      </c>
      <c r="I45" s="19">
        <f t="shared" si="16"/>
        <v>0</v>
      </c>
      <c r="J45" s="19">
        <f t="shared" si="16"/>
        <v>0</v>
      </c>
      <c r="K45" s="19">
        <f t="shared" si="16"/>
        <v>0</v>
      </c>
      <c r="L45" s="19">
        <f t="shared" si="16"/>
        <v>0</v>
      </c>
      <c r="M45" s="19">
        <f t="shared" si="16"/>
        <v>0</v>
      </c>
      <c r="N45" s="19">
        <f t="shared" si="16"/>
        <v>0</v>
      </c>
      <c r="O45" s="19">
        <f t="shared" si="16"/>
        <v>0</v>
      </c>
      <c r="P45" s="19">
        <f t="shared" si="16"/>
        <v>0</v>
      </c>
      <c r="Q45" s="19" t="e">
        <f t="shared" si="16"/>
        <v>#REF!</v>
      </c>
      <c r="R45" s="19" t="e">
        <f t="shared" ref="R45:V45" si="17">R44</f>
        <v>#REF!</v>
      </c>
      <c r="S45" s="19" t="e">
        <f t="shared" si="17"/>
        <v>#REF!</v>
      </c>
      <c r="T45" s="19" t="e">
        <f t="shared" si="17"/>
        <v>#REF!</v>
      </c>
      <c r="U45" s="19" t="e">
        <f t="shared" si="17"/>
        <v>#REF!</v>
      </c>
      <c r="V45" s="19" t="e">
        <f t="shared" si="17"/>
        <v>#REF!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</row>
    <row r="46" spans="1:44" s="17" customFormat="1" x14ac:dyDescent="0.25">
      <c r="A46" s="18" t="s">
        <v>15</v>
      </c>
      <c r="B46" s="18">
        <v>0.84</v>
      </c>
      <c r="C46" s="18">
        <v>0.84</v>
      </c>
      <c r="D46" s="18">
        <v>0.84</v>
      </c>
      <c r="E46" s="18">
        <v>0.84</v>
      </c>
      <c r="F46" s="18">
        <v>0.84</v>
      </c>
      <c r="G46" s="18">
        <v>0.84</v>
      </c>
      <c r="H46" s="18">
        <v>0.84</v>
      </c>
      <c r="I46" s="18">
        <v>0.84</v>
      </c>
      <c r="J46" s="18">
        <v>0.84</v>
      </c>
      <c r="K46" s="18">
        <v>0.84</v>
      </c>
      <c r="L46" s="18">
        <v>0.84</v>
      </c>
      <c r="M46" s="18">
        <v>0.84</v>
      </c>
      <c r="N46" s="18">
        <v>0.84</v>
      </c>
      <c r="O46" s="18">
        <v>0.84</v>
      </c>
      <c r="P46" s="18">
        <v>0.84</v>
      </c>
      <c r="Q46" s="18">
        <v>0.84</v>
      </c>
      <c r="R46" s="18">
        <v>0.84</v>
      </c>
      <c r="S46" s="18">
        <v>0.84</v>
      </c>
      <c r="T46" s="18">
        <v>0.84</v>
      </c>
      <c r="U46" s="18">
        <v>0.84</v>
      </c>
      <c r="V46" s="18">
        <v>0.84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</row>
    <row r="47" spans="1:44" s="21" customFormat="1" x14ac:dyDescent="0.25">
      <c r="A47" s="20" t="s">
        <v>16</v>
      </c>
      <c r="B47" s="20">
        <f>B46*B45</f>
        <v>0</v>
      </c>
      <c r="C47" s="20">
        <f t="shared" ref="C47:V47" si="18">C46*C45</f>
        <v>0</v>
      </c>
      <c r="D47" s="20">
        <f t="shared" si="18"/>
        <v>0</v>
      </c>
      <c r="E47" s="20">
        <f t="shared" si="18"/>
        <v>0</v>
      </c>
      <c r="F47" s="20">
        <f t="shared" si="18"/>
        <v>0</v>
      </c>
      <c r="G47" s="20">
        <f t="shared" si="18"/>
        <v>0</v>
      </c>
      <c r="H47" s="20">
        <f t="shared" si="18"/>
        <v>0</v>
      </c>
      <c r="I47" s="20">
        <f t="shared" si="18"/>
        <v>0</v>
      </c>
      <c r="J47" s="20">
        <f t="shared" si="18"/>
        <v>0</v>
      </c>
      <c r="K47" s="20">
        <f t="shared" si="18"/>
        <v>0</v>
      </c>
      <c r="L47" s="20">
        <f t="shared" si="18"/>
        <v>0</v>
      </c>
      <c r="M47" s="20">
        <f t="shared" si="18"/>
        <v>0</v>
      </c>
      <c r="N47" s="20">
        <f t="shared" si="18"/>
        <v>0</v>
      </c>
      <c r="O47" s="20">
        <f t="shared" si="18"/>
        <v>0</v>
      </c>
      <c r="P47" s="20">
        <f t="shared" si="18"/>
        <v>0</v>
      </c>
      <c r="Q47" s="56" t="e">
        <f t="shared" si="18"/>
        <v>#REF!</v>
      </c>
      <c r="R47" s="56" t="e">
        <f t="shared" si="18"/>
        <v>#REF!</v>
      </c>
      <c r="S47" s="56" t="e">
        <f t="shared" si="18"/>
        <v>#REF!</v>
      </c>
      <c r="T47" s="56" t="e">
        <f t="shared" si="18"/>
        <v>#REF!</v>
      </c>
      <c r="U47" s="56" t="e">
        <f t="shared" si="18"/>
        <v>#REF!</v>
      </c>
      <c r="V47" s="56" t="e">
        <f t="shared" si="18"/>
        <v>#REF!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9" spans="1:44" s="22" customFormat="1" x14ac:dyDescent="0.25">
      <c r="A49" s="27" t="s">
        <v>46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22" customFormat="1" x14ac:dyDescent="0.25">
      <c r="A50" s="23" t="s">
        <v>17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220</v>
      </c>
      <c r="I50" s="24">
        <v>220</v>
      </c>
      <c r="J50" s="24">
        <v>220</v>
      </c>
      <c r="K50" s="24">
        <v>220</v>
      </c>
      <c r="L50" s="24">
        <v>220</v>
      </c>
      <c r="M50" s="24">
        <v>230</v>
      </c>
      <c r="N50" s="24">
        <v>230</v>
      </c>
      <c r="O50" s="24">
        <v>230</v>
      </c>
      <c r="P50" s="24">
        <v>230</v>
      </c>
      <c r="Q50" s="24">
        <v>230</v>
      </c>
      <c r="R50" s="24">
        <v>230</v>
      </c>
      <c r="S50" s="24">
        <v>230</v>
      </c>
      <c r="T50" s="24">
        <v>230</v>
      </c>
      <c r="U50" s="24">
        <v>230</v>
      </c>
      <c r="V50" s="24">
        <v>230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s="22" customFormat="1" x14ac:dyDescent="0.25">
      <c r="A51" s="25" t="s">
        <v>16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558.10788000000002</v>
      </c>
      <c r="I51" s="23">
        <v>558.10788000000002</v>
      </c>
      <c r="J51" s="23">
        <v>558.10788000000002</v>
      </c>
      <c r="K51" s="23">
        <v>558.10788000000002</v>
      </c>
      <c r="L51" s="23">
        <v>558.10788000000002</v>
      </c>
      <c r="M51" s="57">
        <v>583.47642000000008</v>
      </c>
      <c r="N51" s="57">
        <v>583.47642000000008</v>
      </c>
      <c r="O51" s="57">
        <v>583.47642000000008</v>
      </c>
      <c r="P51" s="57">
        <v>583.47642000000008</v>
      </c>
      <c r="Q51" s="57">
        <v>583.47642000000008</v>
      </c>
      <c r="R51" s="57">
        <v>583.47642000000008</v>
      </c>
      <c r="S51" s="57">
        <v>583.47642000000008</v>
      </c>
      <c r="T51" s="57">
        <v>583.47642000000008</v>
      </c>
      <c r="U51" s="57">
        <v>583.47642000000008</v>
      </c>
      <c r="V51" s="57">
        <v>583.47642000000008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3" spans="1:44" s="17" customFormat="1" x14ac:dyDescent="0.25">
      <c r="A53" s="167" t="s">
        <v>49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s="17" customFormat="1" x14ac:dyDescent="0.25">
      <c r="A54" s="169" t="s">
        <v>50</v>
      </c>
      <c r="B54" s="169">
        <v>0</v>
      </c>
      <c r="C54" s="169">
        <v>30</v>
      </c>
      <c r="D54" s="169">
        <v>60</v>
      </c>
      <c r="E54" s="169">
        <v>60</v>
      </c>
      <c r="F54" s="169">
        <v>60</v>
      </c>
      <c r="G54" s="169">
        <v>60</v>
      </c>
      <c r="H54" s="169">
        <v>60</v>
      </c>
      <c r="I54" s="169">
        <v>60</v>
      </c>
      <c r="J54" s="169">
        <v>60</v>
      </c>
      <c r="K54" s="169">
        <v>60</v>
      </c>
      <c r="L54" s="169">
        <v>60</v>
      </c>
      <c r="M54" s="169">
        <v>60</v>
      </c>
      <c r="N54" s="169">
        <v>60</v>
      </c>
      <c r="O54" s="169">
        <v>60</v>
      </c>
      <c r="P54" s="169">
        <v>60</v>
      </c>
      <c r="Q54" s="169">
        <v>60</v>
      </c>
      <c r="R54" s="169">
        <v>60</v>
      </c>
      <c r="S54" s="169">
        <v>60</v>
      </c>
      <c r="T54" s="169">
        <v>60</v>
      </c>
      <c r="U54" s="169">
        <v>60</v>
      </c>
      <c r="V54" s="169">
        <v>60</v>
      </c>
      <c r="W54" s="168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7" customFormat="1" x14ac:dyDescent="0.25">
      <c r="A55" s="169" t="s">
        <v>216</v>
      </c>
      <c r="B55" s="169"/>
      <c r="C55" s="169"/>
      <c r="D55" s="169">
        <f>D54*0.238*365</f>
        <v>5212.2</v>
      </c>
      <c r="E55" s="169">
        <f t="shared" ref="E55:V55" si="19">E54*0.238*365</f>
        <v>5212.2</v>
      </c>
      <c r="F55" s="169">
        <f t="shared" si="19"/>
        <v>5212.2</v>
      </c>
      <c r="G55" s="169">
        <f t="shared" si="19"/>
        <v>5212.2</v>
      </c>
      <c r="H55" s="169">
        <f t="shared" si="19"/>
        <v>5212.2</v>
      </c>
      <c r="I55" s="169">
        <f t="shared" si="19"/>
        <v>5212.2</v>
      </c>
      <c r="J55" s="169">
        <f t="shared" si="19"/>
        <v>5212.2</v>
      </c>
      <c r="K55" s="169">
        <f t="shared" si="19"/>
        <v>5212.2</v>
      </c>
      <c r="L55" s="169">
        <f t="shared" si="19"/>
        <v>5212.2</v>
      </c>
      <c r="M55" s="169">
        <f t="shared" si="19"/>
        <v>5212.2</v>
      </c>
      <c r="N55" s="169">
        <f t="shared" si="19"/>
        <v>5212.2</v>
      </c>
      <c r="O55" s="169">
        <f t="shared" si="19"/>
        <v>5212.2</v>
      </c>
      <c r="P55" s="169">
        <f t="shared" si="19"/>
        <v>5212.2</v>
      </c>
      <c r="Q55" s="169">
        <f t="shared" si="19"/>
        <v>5212.2</v>
      </c>
      <c r="R55" s="169">
        <f t="shared" si="19"/>
        <v>5212.2</v>
      </c>
      <c r="S55" s="169">
        <f t="shared" si="19"/>
        <v>5212.2</v>
      </c>
      <c r="T55" s="169">
        <f t="shared" si="19"/>
        <v>5212.2</v>
      </c>
      <c r="U55" s="169">
        <f t="shared" si="19"/>
        <v>5212.2</v>
      </c>
      <c r="V55" s="169">
        <f t="shared" si="19"/>
        <v>5212.2</v>
      </c>
      <c r="W55" s="168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spans="1:44" s="17" customFormat="1" ht="30" x14ac:dyDescent="0.25">
      <c r="A56" s="170" t="s">
        <v>217</v>
      </c>
      <c r="B56" s="169"/>
      <c r="C56" s="169"/>
      <c r="D56" s="169">
        <f>D55</f>
        <v>5212.2</v>
      </c>
      <c r="E56" s="169">
        <f t="shared" ref="E56:V56" si="20">E55</f>
        <v>5212.2</v>
      </c>
      <c r="F56" s="169">
        <f t="shared" si="20"/>
        <v>5212.2</v>
      </c>
      <c r="G56" s="169">
        <f t="shared" si="20"/>
        <v>5212.2</v>
      </c>
      <c r="H56" s="169">
        <f t="shared" si="20"/>
        <v>5212.2</v>
      </c>
      <c r="I56" s="169">
        <f t="shared" si="20"/>
        <v>5212.2</v>
      </c>
      <c r="J56" s="169">
        <f t="shared" si="20"/>
        <v>5212.2</v>
      </c>
      <c r="K56" s="169">
        <f t="shared" si="20"/>
        <v>5212.2</v>
      </c>
      <c r="L56" s="169">
        <f t="shared" si="20"/>
        <v>5212.2</v>
      </c>
      <c r="M56" s="169">
        <f t="shared" si="20"/>
        <v>5212.2</v>
      </c>
      <c r="N56" s="169">
        <f t="shared" si="20"/>
        <v>5212.2</v>
      </c>
      <c r="O56" s="169">
        <f t="shared" si="20"/>
        <v>5212.2</v>
      </c>
      <c r="P56" s="169">
        <f t="shared" si="20"/>
        <v>5212.2</v>
      </c>
      <c r="Q56" s="169">
        <f t="shared" si="20"/>
        <v>5212.2</v>
      </c>
      <c r="R56" s="169">
        <f t="shared" si="20"/>
        <v>5212.2</v>
      </c>
      <c r="S56" s="169">
        <f t="shared" si="20"/>
        <v>5212.2</v>
      </c>
      <c r="T56" s="169">
        <f t="shared" si="20"/>
        <v>5212.2</v>
      </c>
      <c r="U56" s="169">
        <f t="shared" si="20"/>
        <v>5212.2</v>
      </c>
      <c r="V56" s="169">
        <f t="shared" si="20"/>
        <v>5212.2</v>
      </c>
      <c r="W56" s="16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spans="1:44" s="17" customFormat="1" x14ac:dyDescent="0.25">
      <c r="A57" s="170" t="s">
        <v>51</v>
      </c>
      <c r="B57" s="169">
        <f>B55-B56</f>
        <v>0</v>
      </c>
      <c r="C57" s="169">
        <f>C55-C56</f>
        <v>0</v>
      </c>
      <c r="D57" s="169">
        <f>D55-D56</f>
        <v>0</v>
      </c>
      <c r="E57" s="169">
        <f t="shared" ref="E57:V57" si="21">E55-E56</f>
        <v>0</v>
      </c>
      <c r="F57" s="169">
        <f t="shared" si="21"/>
        <v>0</v>
      </c>
      <c r="G57" s="169">
        <f t="shared" si="21"/>
        <v>0</v>
      </c>
      <c r="H57" s="169">
        <f t="shared" si="21"/>
        <v>0</v>
      </c>
      <c r="I57" s="169">
        <f t="shared" si="21"/>
        <v>0</v>
      </c>
      <c r="J57" s="169">
        <f t="shared" si="21"/>
        <v>0</v>
      </c>
      <c r="K57" s="169">
        <f t="shared" si="21"/>
        <v>0</v>
      </c>
      <c r="L57" s="169">
        <f t="shared" si="21"/>
        <v>0</v>
      </c>
      <c r="M57" s="169">
        <f t="shared" si="21"/>
        <v>0</v>
      </c>
      <c r="N57" s="169">
        <f t="shared" si="21"/>
        <v>0</v>
      </c>
      <c r="O57" s="169">
        <f t="shared" si="21"/>
        <v>0</v>
      </c>
      <c r="P57" s="169">
        <f t="shared" si="21"/>
        <v>0</v>
      </c>
      <c r="Q57" s="169">
        <f t="shared" si="21"/>
        <v>0</v>
      </c>
      <c r="R57" s="169">
        <f t="shared" si="21"/>
        <v>0</v>
      </c>
      <c r="S57" s="169">
        <f t="shared" si="21"/>
        <v>0</v>
      </c>
      <c r="T57" s="169">
        <f t="shared" si="21"/>
        <v>0</v>
      </c>
      <c r="U57" s="169">
        <f t="shared" si="21"/>
        <v>0</v>
      </c>
      <c r="V57" s="169">
        <f t="shared" si="21"/>
        <v>0</v>
      </c>
      <c r="W57" s="168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s="17" customFormat="1" x14ac:dyDescent="0.25">
      <c r="A58" s="170" t="s">
        <v>53</v>
      </c>
      <c r="B58" s="169">
        <v>0.86199999999999999</v>
      </c>
      <c r="C58" s="169">
        <v>0.86199999999999999</v>
      </c>
      <c r="D58" s="169">
        <v>0.86199999999999999</v>
      </c>
      <c r="E58" s="169">
        <v>0.86199999999999999</v>
      </c>
      <c r="F58" s="169">
        <v>0.86199999999999999</v>
      </c>
      <c r="G58" s="169">
        <v>0.86199999999999999</v>
      </c>
      <c r="H58" s="169">
        <v>0.86199999999999999</v>
      </c>
      <c r="I58" s="169">
        <v>0.86199999999999999</v>
      </c>
      <c r="J58" s="169">
        <v>0.86199999999999999</v>
      </c>
      <c r="K58" s="169">
        <v>0.86199999999999999</v>
      </c>
      <c r="L58" s="169">
        <v>0.86199999999999999</v>
      </c>
      <c r="M58" s="169">
        <v>0.86199999999999999</v>
      </c>
      <c r="N58" s="169">
        <v>0.86199999999999999</v>
      </c>
      <c r="O58" s="169">
        <v>0.86199999999999999</v>
      </c>
      <c r="P58" s="169">
        <v>0.86199999999999999</v>
      </c>
      <c r="Q58" s="169">
        <v>0.86199999999999999</v>
      </c>
      <c r="R58" s="169">
        <v>0.86199999999999999</v>
      </c>
      <c r="S58" s="169">
        <v>0.86199999999999999</v>
      </c>
      <c r="T58" s="169">
        <v>0.86199999999999999</v>
      </c>
      <c r="U58" s="169">
        <v>0.86199999999999999</v>
      </c>
      <c r="V58" s="169">
        <v>0.86199999999999999</v>
      </c>
      <c r="W58" s="168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spans="1:44" s="21" customFormat="1" x14ac:dyDescent="0.25">
      <c r="A59" s="171" t="s">
        <v>28</v>
      </c>
      <c r="B59" s="172">
        <f>B57*B58</f>
        <v>0</v>
      </c>
      <c r="C59" s="172">
        <f t="shared" ref="C59:V59" si="22">C57*C58</f>
        <v>0</v>
      </c>
      <c r="D59" s="172">
        <f>D57*D58</f>
        <v>0</v>
      </c>
      <c r="E59" s="172">
        <f t="shared" si="22"/>
        <v>0</v>
      </c>
      <c r="F59" s="172">
        <f t="shared" si="22"/>
        <v>0</v>
      </c>
      <c r="G59" s="172">
        <f t="shared" si="22"/>
        <v>0</v>
      </c>
      <c r="H59" s="172">
        <f t="shared" si="22"/>
        <v>0</v>
      </c>
      <c r="I59" s="172">
        <f t="shared" si="22"/>
        <v>0</v>
      </c>
      <c r="J59" s="172">
        <f t="shared" si="22"/>
        <v>0</v>
      </c>
      <c r="K59" s="172">
        <f t="shared" si="22"/>
        <v>0</v>
      </c>
      <c r="L59" s="172">
        <f t="shared" si="22"/>
        <v>0</v>
      </c>
      <c r="M59" s="172">
        <f t="shared" si="22"/>
        <v>0</v>
      </c>
      <c r="N59" s="172">
        <f t="shared" si="22"/>
        <v>0</v>
      </c>
      <c r="O59" s="172">
        <f t="shared" si="22"/>
        <v>0</v>
      </c>
      <c r="P59" s="172">
        <f t="shared" si="22"/>
        <v>0</v>
      </c>
      <c r="Q59" s="172">
        <f t="shared" si="22"/>
        <v>0</v>
      </c>
      <c r="R59" s="172">
        <f t="shared" si="22"/>
        <v>0</v>
      </c>
      <c r="S59" s="172">
        <f t="shared" si="22"/>
        <v>0</v>
      </c>
      <c r="T59" s="172">
        <f t="shared" si="22"/>
        <v>0</v>
      </c>
      <c r="U59" s="172">
        <f t="shared" si="22"/>
        <v>0</v>
      </c>
      <c r="V59" s="172">
        <f t="shared" si="22"/>
        <v>0</v>
      </c>
      <c r="W59" s="173">
        <f>SUM(B59:G59)</f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2" spans="1:44" ht="15" customHeight="1" x14ac:dyDescent="0.25">
      <c r="A62" s="676" t="s">
        <v>18</v>
      </c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</row>
    <row r="63" spans="1:44" ht="90" x14ac:dyDescent="0.25">
      <c r="A63" s="3" t="s">
        <v>5</v>
      </c>
      <c r="B63" s="3" t="s">
        <v>19</v>
      </c>
      <c r="C63" s="3" t="s">
        <v>20</v>
      </c>
      <c r="D63" s="3" t="s">
        <v>21</v>
      </c>
      <c r="E63" s="10" t="s">
        <v>22</v>
      </c>
      <c r="F63" s="4" t="s">
        <v>23</v>
      </c>
      <c r="G63" s="9" t="s">
        <v>24</v>
      </c>
      <c r="H63" s="9" t="s">
        <v>236</v>
      </c>
      <c r="I63" s="8" t="s">
        <v>25</v>
      </c>
      <c r="J63" s="8" t="s">
        <v>26</v>
      </c>
      <c r="K63" s="10" t="s">
        <v>237</v>
      </c>
      <c r="L63" s="5" t="s">
        <v>27</v>
      </c>
      <c r="M63" s="10" t="s">
        <v>238</v>
      </c>
      <c r="N63" s="5" t="s">
        <v>28</v>
      </c>
    </row>
    <row r="64" spans="1:44" ht="15.75" customHeight="1" x14ac:dyDescent="0.25">
      <c r="A64" s="38">
        <v>2016</v>
      </c>
      <c r="B64" s="670" t="s">
        <v>29</v>
      </c>
      <c r="C64" s="670" t="s">
        <v>30</v>
      </c>
      <c r="D64" s="670" t="s">
        <v>31</v>
      </c>
      <c r="E64" s="6">
        <v>4</v>
      </c>
      <c r="F64" s="1">
        <v>220</v>
      </c>
      <c r="G64" s="7">
        <v>3</v>
      </c>
      <c r="H64" s="7">
        <v>1</v>
      </c>
      <c r="I64" s="7">
        <f t="shared" ref="I64:I69" si="23">H64*F64*365</f>
        <v>80300</v>
      </c>
      <c r="J64" s="7">
        <f>F64*G64*31</f>
        <v>20460</v>
      </c>
      <c r="K64" s="39">
        <v>0.62</v>
      </c>
      <c r="L64" s="39">
        <f t="shared" ref="L64:L69" si="24">(I64*K64)</f>
        <v>49786</v>
      </c>
      <c r="M64" s="39">
        <v>2.58</v>
      </c>
      <c r="N64" s="40">
        <f t="shared" ref="N64:N69" si="25">((L64*M64)+(J64*21))/1000</f>
        <v>558.10788000000002</v>
      </c>
    </row>
    <row r="65" spans="1:14" ht="15.75" x14ac:dyDescent="0.25">
      <c r="A65" s="38">
        <v>2017</v>
      </c>
      <c r="B65" s="670"/>
      <c r="C65" s="670"/>
      <c r="D65" s="670"/>
      <c r="E65" s="6">
        <v>4</v>
      </c>
      <c r="F65" s="1">
        <v>220</v>
      </c>
      <c r="G65" s="7">
        <v>3</v>
      </c>
      <c r="H65" s="7">
        <v>1</v>
      </c>
      <c r="I65" s="7">
        <f t="shared" si="23"/>
        <v>80300</v>
      </c>
      <c r="J65" s="7">
        <f t="shared" ref="J65:J69" si="26">F65*G65*31</f>
        <v>20460</v>
      </c>
      <c r="K65" s="39">
        <v>0.62</v>
      </c>
      <c r="L65" s="39">
        <f t="shared" si="24"/>
        <v>49786</v>
      </c>
      <c r="M65" s="39">
        <v>2.58</v>
      </c>
      <c r="N65" s="40">
        <f t="shared" si="25"/>
        <v>558.10788000000002</v>
      </c>
    </row>
    <row r="66" spans="1:14" ht="15.75" x14ac:dyDescent="0.25">
      <c r="A66" s="38">
        <v>2018</v>
      </c>
      <c r="B66" s="670"/>
      <c r="C66" s="670"/>
      <c r="D66" s="670"/>
      <c r="E66" s="6">
        <v>4</v>
      </c>
      <c r="F66" s="1">
        <v>220</v>
      </c>
      <c r="G66" s="7">
        <v>3</v>
      </c>
      <c r="H66" s="7">
        <v>1</v>
      </c>
      <c r="I66" s="7">
        <f t="shared" si="23"/>
        <v>80300</v>
      </c>
      <c r="J66" s="7">
        <f t="shared" si="26"/>
        <v>20460</v>
      </c>
      <c r="K66" s="39">
        <v>0.62</v>
      </c>
      <c r="L66" s="39">
        <f t="shared" si="24"/>
        <v>49786</v>
      </c>
      <c r="M66" s="39">
        <v>2.58</v>
      </c>
      <c r="N66" s="40">
        <f t="shared" si="25"/>
        <v>558.10788000000002</v>
      </c>
    </row>
    <row r="67" spans="1:14" ht="15.75" x14ac:dyDescent="0.25">
      <c r="A67" s="38">
        <v>2019</v>
      </c>
      <c r="B67" s="670"/>
      <c r="C67" s="670"/>
      <c r="D67" s="670"/>
      <c r="E67" s="6">
        <v>4</v>
      </c>
      <c r="F67" s="1">
        <v>220</v>
      </c>
      <c r="G67" s="7">
        <v>3</v>
      </c>
      <c r="H67" s="7">
        <v>1</v>
      </c>
      <c r="I67" s="7">
        <f t="shared" si="23"/>
        <v>80300</v>
      </c>
      <c r="J67" s="7">
        <f t="shared" si="26"/>
        <v>20460</v>
      </c>
      <c r="K67" s="39">
        <v>0.62</v>
      </c>
      <c r="L67" s="39">
        <f t="shared" si="24"/>
        <v>49786</v>
      </c>
      <c r="M67" s="39">
        <v>2.58</v>
      </c>
      <c r="N67" s="40">
        <f t="shared" si="25"/>
        <v>558.10788000000002</v>
      </c>
    </row>
    <row r="68" spans="1:14" ht="15.75" x14ac:dyDescent="0.25">
      <c r="A68" s="38">
        <v>2020</v>
      </c>
      <c r="B68" s="670"/>
      <c r="C68" s="670"/>
      <c r="D68" s="670"/>
      <c r="E68" s="6">
        <v>4</v>
      </c>
      <c r="F68" s="1">
        <v>220</v>
      </c>
      <c r="G68" s="7">
        <v>3</v>
      </c>
      <c r="H68" s="7">
        <v>1</v>
      </c>
      <c r="I68" s="7">
        <f t="shared" si="23"/>
        <v>80300</v>
      </c>
      <c r="J68" s="7">
        <f t="shared" si="26"/>
        <v>20460</v>
      </c>
      <c r="K68" s="39">
        <v>0.62</v>
      </c>
      <c r="L68" s="39">
        <f t="shared" si="24"/>
        <v>49786</v>
      </c>
      <c r="M68" s="39">
        <v>2.58</v>
      </c>
      <c r="N68" s="40">
        <f t="shared" si="25"/>
        <v>558.10788000000002</v>
      </c>
    </row>
    <row r="69" spans="1:14" ht="15.75" x14ac:dyDescent="0.25">
      <c r="A69" s="38">
        <v>2021</v>
      </c>
      <c r="B69" s="670"/>
      <c r="C69" s="670"/>
      <c r="D69" s="670"/>
      <c r="E69" s="6">
        <v>4</v>
      </c>
      <c r="F69" s="1">
        <v>230</v>
      </c>
      <c r="G69" s="7">
        <v>3</v>
      </c>
      <c r="H69" s="7">
        <v>1</v>
      </c>
      <c r="I69" s="7">
        <f t="shared" si="23"/>
        <v>83950</v>
      </c>
      <c r="J69" s="7">
        <f t="shared" si="26"/>
        <v>21390</v>
      </c>
      <c r="K69" s="39">
        <v>0.62</v>
      </c>
      <c r="L69" s="39">
        <f t="shared" si="24"/>
        <v>52049</v>
      </c>
      <c r="M69" s="39">
        <v>2.58</v>
      </c>
      <c r="N69" s="40">
        <f t="shared" si="25"/>
        <v>583.47642000000008</v>
      </c>
    </row>
    <row r="70" spans="1:14" ht="15.75" x14ac:dyDescent="0.25">
      <c r="A70" s="38">
        <v>2022</v>
      </c>
      <c r="B70" s="670"/>
      <c r="C70" s="670"/>
      <c r="D70" s="670"/>
      <c r="E70" s="6">
        <v>4</v>
      </c>
      <c r="F70" s="1">
        <v>230</v>
      </c>
      <c r="G70" s="7">
        <v>3</v>
      </c>
      <c r="H70" s="7">
        <v>1</v>
      </c>
      <c r="I70" s="7">
        <f t="shared" ref="I70:I78" si="27">H70*F70*365</f>
        <v>83950</v>
      </c>
      <c r="J70" s="7">
        <f t="shared" ref="J70:J78" si="28">F70*G70*31</f>
        <v>21390</v>
      </c>
      <c r="K70" s="39">
        <v>0.62</v>
      </c>
      <c r="L70" s="39">
        <f t="shared" ref="L70:L78" si="29">(I70*K70)</f>
        <v>52049</v>
      </c>
      <c r="M70" s="39">
        <v>2.58</v>
      </c>
      <c r="N70" s="40">
        <f t="shared" ref="N70:N78" si="30">((L70*M70)+(J70*21))/1000</f>
        <v>583.47642000000008</v>
      </c>
    </row>
    <row r="71" spans="1:14" ht="15.75" x14ac:dyDescent="0.25">
      <c r="A71" s="38">
        <v>2023</v>
      </c>
      <c r="B71" s="670"/>
      <c r="C71" s="670"/>
      <c r="D71" s="670"/>
      <c r="E71" s="6">
        <v>4</v>
      </c>
      <c r="F71" s="1">
        <v>230</v>
      </c>
      <c r="G71" s="7">
        <v>3</v>
      </c>
      <c r="H71" s="7">
        <v>1</v>
      </c>
      <c r="I71" s="7">
        <f t="shared" si="27"/>
        <v>83950</v>
      </c>
      <c r="J71" s="7">
        <f t="shared" si="28"/>
        <v>21390</v>
      </c>
      <c r="K71" s="39">
        <v>0.62</v>
      </c>
      <c r="L71" s="39">
        <f t="shared" si="29"/>
        <v>52049</v>
      </c>
      <c r="M71" s="39">
        <v>2.58</v>
      </c>
      <c r="N71" s="40">
        <f t="shared" si="30"/>
        <v>583.47642000000008</v>
      </c>
    </row>
    <row r="72" spans="1:14" ht="15.75" x14ac:dyDescent="0.25">
      <c r="A72" s="38">
        <v>2024</v>
      </c>
      <c r="B72" s="670"/>
      <c r="C72" s="670"/>
      <c r="D72" s="670"/>
      <c r="E72" s="6">
        <v>4</v>
      </c>
      <c r="F72" s="1">
        <v>230</v>
      </c>
      <c r="G72" s="7">
        <v>3</v>
      </c>
      <c r="H72" s="7">
        <v>1</v>
      </c>
      <c r="I72" s="7">
        <f t="shared" si="27"/>
        <v>83950</v>
      </c>
      <c r="J72" s="7">
        <f t="shared" si="28"/>
        <v>21390</v>
      </c>
      <c r="K72" s="39">
        <v>0.62</v>
      </c>
      <c r="L72" s="39">
        <f t="shared" si="29"/>
        <v>52049</v>
      </c>
      <c r="M72" s="39">
        <v>2.58</v>
      </c>
      <c r="N72" s="40">
        <f t="shared" si="30"/>
        <v>583.47642000000008</v>
      </c>
    </row>
    <row r="73" spans="1:14" ht="15.75" x14ac:dyDescent="0.25">
      <c r="A73" s="38">
        <v>2025</v>
      </c>
      <c r="B73" s="670"/>
      <c r="C73" s="670"/>
      <c r="D73" s="670"/>
      <c r="E73" s="6">
        <v>4</v>
      </c>
      <c r="F73" s="1">
        <v>230</v>
      </c>
      <c r="G73" s="7">
        <v>3</v>
      </c>
      <c r="H73" s="7">
        <v>1</v>
      </c>
      <c r="I73" s="7">
        <f t="shared" si="27"/>
        <v>83950</v>
      </c>
      <c r="J73" s="7">
        <f t="shared" si="28"/>
        <v>21390</v>
      </c>
      <c r="K73" s="39">
        <v>0.62</v>
      </c>
      <c r="L73" s="39">
        <f t="shared" si="29"/>
        <v>52049</v>
      </c>
      <c r="M73" s="39">
        <v>2.58</v>
      </c>
      <c r="N73" s="40">
        <f t="shared" si="30"/>
        <v>583.47642000000008</v>
      </c>
    </row>
    <row r="74" spans="1:14" ht="15.75" x14ac:dyDescent="0.25">
      <c r="A74" s="38">
        <v>2026</v>
      </c>
      <c r="B74" s="670"/>
      <c r="C74" s="670"/>
      <c r="D74" s="670"/>
      <c r="E74" s="6">
        <v>4</v>
      </c>
      <c r="F74" s="1">
        <v>230</v>
      </c>
      <c r="G74" s="7">
        <v>3</v>
      </c>
      <c r="H74" s="7">
        <v>1</v>
      </c>
      <c r="I74" s="7">
        <f t="shared" si="27"/>
        <v>83950</v>
      </c>
      <c r="J74" s="7">
        <f t="shared" si="28"/>
        <v>21390</v>
      </c>
      <c r="K74" s="39">
        <v>0.62</v>
      </c>
      <c r="L74" s="39">
        <f t="shared" si="29"/>
        <v>52049</v>
      </c>
      <c r="M74" s="39">
        <v>2.58</v>
      </c>
      <c r="N74" s="40">
        <f t="shared" si="30"/>
        <v>583.47642000000008</v>
      </c>
    </row>
    <row r="75" spans="1:14" ht="15.75" x14ac:dyDescent="0.25">
      <c r="A75" s="38">
        <v>2027</v>
      </c>
      <c r="B75" s="670"/>
      <c r="C75" s="670"/>
      <c r="D75" s="670"/>
      <c r="E75" s="6">
        <v>4</v>
      </c>
      <c r="F75" s="1">
        <v>230</v>
      </c>
      <c r="G75" s="7">
        <v>3</v>
      </c>
      <c r="H75" s="7">
        <v>1</v>
      </c>
      <c r="I75" s="7">
        <f t="shared" si="27"/>
        <v>83950</v>
      </c>
      <c r="J75" s="7">
        <f t="shared" si="28"/>
        <v>21390</v>
      </c>
      <c r="K75" s="39">
        <v>0.62</v>
      </c>
      <c r="L75" s="39">
        <f t="shared" si="29"/>
        <v>52049</v>
      </c>
      <c r="M75" s="39">
        <v>2.58</v>
      </c>
      <c r="N75" s="40">
        <f t="shared" si="30"/>
        <v>583.47642000000008</v>
      </c>
    </row>
    <row r="76" spans="1:14" ht="15.75" x14ac:dyDescent="0.25">
      <c r="A76" s="38">
        <v>2028</v>
      </c>
      <c r="B76" s="670"/>
      <c r="C76" s="670"/>
      <c r="D76" s="670"/>
      <c r="E76" s="6">
        <v>4</v>
      </c>
      <c r="F76" s="1">
        <v>230</v>
      </c>
      <c r="G76" s="7">
        <v>3</v>
      </c>
      <c r="H76" s="7">
        <v>1</v>
      </c>
      <c r="I76" s="7">
        <f t="shared" si="27"/>
        <v>83950</v>
      </c>
      <c r="J76" s="7">
        <f t="shared" si="28"/>
        <v>21390</v>
      </c>
      <c r="K76" s="39">
        <v>0.62</v>
      </c>
      <c r="L76" s="39">
        <f t="shared" si="29"/>
        <v>52049</v>
      </c>
      <c r="M76" s="39">
        <v>2.58</v>
      </c>
      <c r="N76" s="40">
        <f t="shared" si="30"/>
        <v>583.47642000000008</v>
      </c>
    </row>
    <row r="77" spans="1:14" ht="15.75" x14ac:dyDescent="0.25">
      <c r="A77" s="38">
        <v>2029</v>
      </c>
      <c r="B77" s="670"/>
      <c r="C77" s="670"/>
      <c r="D77" s="670"/>
      <c r="E77" s="6">
        <v>4</v>
      </c>
      <c r="F77" s="1">
        <v>230</v>
      </c>
      <c r="G77" s="7">
        <v>3</v>
      </c>
      <c r="H77" s="7">
        <v>1</v>
      </c>
      <c r="I77" s="7">
        <f t="shared" si="27"/>
        <v>83950</v>
      </c>
      <c r="J77" s="7">
        <f t="shared" si="28"/>
        <v>21390</v>
      </c>
      <c r="K77" s="39">
        <v>0.62</v>
      </c>
      <c r="L77" s="39">
        <f t="shared" si="29"/>
        <v>52049</v>
      </c>
      <c r="M77" s="39">
        <v>2.58</v>
      </c>
      <c r="N77" s="40">
        <f t="shared" si="30"/>
        <v>583.47642000000008</v>
      </c>
    </row>
    <row r="78" spans="1:14" ht="15.75" x14ac:dyDescent="0.25">
      <c r="A78" s="38">
        <v>2030</v>
      </c>
      <c r="B78" s="670"/>
      <c r="C78" s="670"/>
      <c r="D78" s="670"/>
      <c r="E78" s="6">
        <v>4</v>
      </c>
      <c r="F78" s="1">
        <v>230</v>
      </c>
      <c r="G78" s="7">
        <v>3</v>
      </c>
      <c r="H78" s="7">
        <v>1</v>
      </c>
      <c r="I78" s="7">
        <f t="shared" si="27"/>
        <v>83950</v>
      </c>
      <c r="J78" s="7">
        <f t="shared" si="28"/>
        <v>21390</v>
      </c>
      <c r="K78" s="39">
        <v>0.62</v>
      </c>
      <c r="L78" s="39">
        <f t="shared" si="29"/>
        <v>52049</v>
      </c>
      <c r="M78" s="39">
        <v>2.58</v>
      </c>
      <c r="N78" s="40">
        <f t="shared" si="30"/>
        <v>583.47642000000008</v>
      </c>
    </row>
    <row r="80" spans="1:14" ht="110.25" x14ac:dyDescent="0.25">
      <c r="A80" s="206" t="s">
        <v>107</v>
      </c>
      <c r="B80" s="207" t="s">
        <v>20</v>
      </c>
      <c r="C80" s="218" t="s">
        <v>21</v>
      </c>
      <c r="D80" s="206" t="s">
        <v>253</v>
      </c>
      <c r="E80" s="208" t="s">
        <v>241</v>
      </c>
      <c r="F80" s="209" t="s">
        <v>242</v>
      </c>
      <c r="G80" s="210" t="s">
        <v>243</v>
      </c>
      <c r="H80" s="209" t="s">
        <v>244</v>
      </c>
      <c r="I80" s="210" t="s">
        <v>28</v>
      </c>
    </row>
    <row r="81" spans="1:9" ht="45" customHeight="1" x14ac:dyDescent="0.25">
      <c r="A81" s="596">
        <v>2016</v>
      </c>
      <c r="B81" s="211" t="s">
        <v>245</v>
      </c>
      <c r="C81" s="219" t="s">
        <v>246</v>
      </c>
      <c r="D81" s="599">
        <v>220</v>
      </c>
      <c r="E81">
        <f>D81*4</f>
        <v>880</v>
      </c>
      <c r="F81" s="213">
        <f>0.62</f>
        <v>0.62</v>
      </c>
      <c r="G81" s="213">
        <f>E81*F81*0.3*365</f>
        <v>59743.200000000004</v>
      </c>
      <c r="H81" s="213">
        <v>2.58</v>
      </c>
      <c r="I81" s="602">
        <f>(G81*H81/1000)+(G83*H83/1000)</f>
        <v>8624.3549040000016</v>
      </c>
    </row>
    <row r="82" spans="1:9" ht="60" customHeight="1" x14ac:dyDescent="0.25">
      <c r="A82" s="597"/>
      <c r="B82" s="605" t="s">
        <v>247</v>
      </c>
      <c r="C82" s="219" t="s">
        <v>248</v>
      </c>
      <c r="D82" s="600"/>
      <c r="F82" s="216" t="s">
        <v>249</v>
      </c>
      <c r="G82" s="210" t="s">
        <v>250</v>
      </c>
      <c r="H82" s="216" t="s">
        <v>251</v>
      </c>
      <c r="I82" s="603"/>
    </row>
    <row r="83" spans="1:9" x14ac:dyDescent="0.25">
      <c r="A83" s="598"/>
      <c r="B83" s="605"/>
      <c r="C83" s="219"/>
      <c r="D83" s="601"/>
      <c r="F83" s="213">
        <v>1255.74</v>
      </c>
      <c r="G83" s="215">
        <f>E81*F83*365/1000</f>
        <v>403343.68800000002</v>
      </c>
      <c r="H83" s="215">
        <v>21</v>
      </c>
      <c r="I83" s="604"/>
    </row>
    <row r="84" spans="1:9" ht="45" customHeight="1" x14ac:dyDescent="0.25">
      <c r="A84" s="596">
        <v>2017</v>
      </c>
      <c r="B84" s="211" t="s">
        <v>245</v>
      </c>
      <c r="C84" s="219" t="s">
        <v>246</v>
      </c>
      <c r="D84" s="599">
        <v>221</v>
      </c>
      <c r="F84" s="213">
        <f>0.62</f>
        <v>0.62</v>
      </c>
      <c r="G84" s="213">
        <f>D84*F84*0.3*365</f>
        <v>15003.69</v>
      </c>
      <c r="H84" s="213">
        <v>2.58</v>
      </c>
      <c r="I84" s="602">
        <f>(G84*H84/1000)+(G86*H86/1000)</f>
        <v>2165.8891293000001</v>
      </c>
    </row>
    <row r="85" spans="1:9" ht="60" customHeight="1" x14ac:dyDescent="0.25">
      <c r="A85" s="597"/>
      <c r="B85" s="605" t="s">
        <v>247</v>
      </c>
      <c r="C85" s="219" t="s">
        <v>248</v>
      </c>
      <c r="D85" s="600"/>
      <c r="F85" s="216" t="s">
        <v>249</v>
      </c>
      <c r="G85" s="210" t="s">
        <v>250</v>
      </c>
      <c r="H85" s="216" t="s">
        <v>251</v>
      </c>
      <c r="I85" s="603"/>
    </row>
    <row r="86" spans="1:9" ht="15" customHeight="1" x14ac:dyDescent="0.25">
      <c r="A86" s="598"/>
      <c r="B86" s="605"/>
      <c r="C86" s="219"/>
      <c r="D86" s="601"/>
      <c r="F86" s="213">
        <v>1255.74</v>
      </c>
      <c r="G86" s="215">
        <f>D84*F86*365/1000</f>
        <v>101294.2671</v>
      </c>
      <c r="H86" s="215">
        <v>21</v>
      </c>
      <c r="I86" s="604"/>
    </row>
    <row r="87" spans="1:9" ht="45" customHeight="1" x14ac:dyDescent="0.25">
      <c r="A87" s="596">
        <v>2018</v>
      </c>
      <c r="B87" s="211" t="s">
        <v>245</v>
      </c>
      <c r="C87" s="219" t="s">
        <v>246</v>
      </c>
      <c r="D87" s="599">
        <v>222</v>
      </c>
      <c r="F87" s="213">
        <f>0.62</f>
        <v>0.62</v>
      </c>
      <c r="G87" s="213">
        <f>D87*F87*0.3*365</f>
        <v>15071.579999999998</v>
      </c>
      <c r="H87" s="213">
        <v>2.58</v>
      </c>
      <c r="I87" s="602">
        <f>(G87*H87/1000)+(G89*H89/1000)</f>
        <v>2175.6895326000003</v>
      </c>
    </row>
    <row r="88" spans="1:9" ht="60" customHeight="1" x14ac:dyDescent="0.25">
      <c r="A88" s="597"/>
      <c r="B88" s="605" t="s">
        <v>247</v>
      </c>
      <c r="C88" s="219" t="s">
        <v>248</v>
      </c>
      <c r="D88" s="600"/>
      <c r="F88" s="216" t="s">
        <v>249</v>
      </c>
      <c r="G88" s="210" t="s">
        <v>250</v>
      </c>
      <c r="H88" s="216" t="s">
        <v>251</v>
      </c>
      <c r="I88" s="603"/>
    </row>
    <row r="89" spans="1:9" ht="15" customHeight="1" x14ac:dyDescent="0.25">
      <c r="A89" s="598"/>
      <c r="B89" s="605"/>
      <c r="C89" s="219"/>
      <c r="D89" s="601"/>
      <c r="F89" s="213">
        <v>1255.74</v>
      </c>
      <c r="G89" s="215">
        <f>D87*F89*365/1000</f>
        <v>101752.6122</v>
      </c>
      <c r="H89" s="215">
        <v>21</v>
      </c>
      <c r="I89" s="604"/>
    </row>
    <row r="90" spans="1:9" ht="45" customHeight="1" x14ac:dyDescent="0.25">
      <c r="A90" s="596">
        <v>2019</v>
      </c>
      <c r="B90" s="211" t="s">
        <v>245</v>
      </c>
      <c r="C90" s="219" t="s">
        <v>246</v>
      </c>
      <c r="D90" s="599">
        <v>223</v>
      </c>
      <c r="F90" s="213">
        <f>0.62</f>
        <v>0.62</v>
      </c>
      <c r="G90" s="213">
        <f>D90*F90*0.3*365</f>
        <v>15139.469999999998</v>
      </c>
      <c r="H90" s="213">
        <v>2.58</v>
      </c>
      <c r="I90" s="602">
        <f>(G90*H90/1000)+(G92*H92/1000)</f>
        <v>2185.4899359000001</v>
      </c>
    </row>
    <row r="91" spans="1:9" ht="60" customHeight="1" x14ac:dyDescent="0.25">
      <c r="A91" s="597"/>
      <c r="B91" s="605" t="s">
        <v>247</v>
      </c>
      <c r="C91" s="219" t="s">
        <v>248</v>
      </c>
      <c r="D91" s="600"/>
      <c r="F91" s="216" t="s">
        <v>249</v>
      </c>
      <c r="G91" s="210" t="s">
        <v>250</v>
      </c>
      <c r="H91" s="216" t="s">
        <v>251</v>
      </c>
      <c r="I91" s="603"/>
    </row>
    <row r="92" spans="1:9" ht="15" customHeight="1" x14ac:dyDescent="0.25">
      <c r="A92" s="598"/>
      <c r="B92" s="605"/>
      <c r="C92" s="219"/>
      <c r="D92" s="601"/>
      <c r="F92" s="213">
        <v>1255.74</v>
      </c>
      <c r="G92" s="215">
        <f>D90*F92*365/1000</f>
        <v>102210.95730000001</v>
      </c>
      <c r="H92" s="215">
        <v>21</v>
      </c>
      <c r="I92" s="604"/>
    </row>
    <row r="93" spans="1:9" ht="45" customHeight="1" x14ac:dyDescent="0.25">
      <c r="A93" s="596">
        <v>2010</v>
      </c>
      <c r="B93" s="211" t="s">
        <v>245</v>
      </c>
      <c r="C93" s="219" t="s">
        <v>246</v>
      </c>
      <c r="D93" s="606">
        <f>D52</f>
        <v>0</v>
      </c>
      <c r="F93" s="213">
        <f>0.62</f>
        <v>0.62</v>
      </c>
      <c r="G93" s="213">
        <f>D93*F93*0.3*365</f>
        <v>0</v>
      </c>
      <c r="H93" s="213">
        <v>2.58</v>
      </c>
      <c r="I93" s="602">
        <f>(G93*H93/1000)+(G95*H95/1000)</f>
        <v>0</v>
      </c>
    </row>
    <row r="94" spans="1:9" ht="60" customHeight="1" x14ac:dyDescent="0.25">
      <c r="A94" s="597"/>
      <c r="B94" s="605" t="s">
        <v>247</v>
      </c>
      <c r="C94" s="219" t="s">
        <v>248</v>
      </c>
      <c r="D94" s="600"/>
      <c r="F94" s="216" t="s">
        <v>249</v>
      </c>
      <c r="G94" s="210" t="s">
        <v>250</v>
      </c>
      <c r="H94" s="216" t="s">
        <v>251</v>
      </c>
      <c r="I94" s="603"/>
    </row>
    <row r="95" spans="1:9" x14ac:dyDescent="0.25">
      <c r="A95" s="598"/>
      <c r="B95" s="605"/>
      <c r="C95" s="219"/>
      <c r="D95" s="601"/>
      <c r="F95" s="213">
        <v>1255.74</v>
      </c>
      <c r="G95" s="215">
        <f>D93*F95*365/1000</f>
        <v>0</v>
      </c>
      <c r="H95" s="215">
        <v>21</v>
      </c>
      <c r="I95" s="604"/>
    </row>
    <row r="96" spans="1:9" ht="45" customHeight="1" x14ac:dyDescent="0.25">
      <c r="A96" s="596">
        <v>2011</v>
      </c>
      <c r="B96" s="211" t="s">
        <v>245</v>
      </c>
      <c r="C96" s="219" t="s">
        <v>246</v>
      </c>
      <c r="D96" s="606">
        <f>E52</f>
        <v>0</v>
      </c>
      <c r="F96" s="213">
        <f>0.62</f>
        <v>0.62</v>
      </c>
      <c r="G96" s="213">
        <f>D96*F96*0.3*365</f>
        <v>0</v>
      </c>
      <c r="H96" s="213">
        <v>2.58</v>
      </c>
      <c r="I96" s="602">
        <f>(G96*H96/1000)+(G98*H98/1000)</f>
        <v>0</v>
      </c>
    </row>
    <row r="97" spans="1:9" ht="60" customHeight="1" x14ac:dyDescent="0.25">
      <c r="A97" s="597"/>
      <c r="B97" s="605" t="s">
        <v>247</v>
      </c>
      <c r="C97" s="219" t="s">
        <v>248</v>
      </c>
      <c r="D97" s="600"/>
      <c r="F97" s="216" t="s">
        <v>249</v>
      </c>
      <c r="G97" s="210" t="s">
        <v>250</v>
      </c>
      <c r="H97" s="216" t="s">
        <v>251</v>
      </c>
      <c r="I97" s="603"/>
    </row>
    <row r="98" spans="1:9" x14ac:dyDescent="0.25">
      <c r="A98" s="598"/>
      <c r="B98" s="605"/>
      <c r="C98" s="219"/>
      <c r="D98" s="601"/>
      <c r="F98" s="213">
        <v>1255.74</v>
      </c>
      <c r="G98" s="215">
        <f>D96*F98*365/1000</f>
        <v>0</v>
      </c>
      <c r="H98" s="215">
        <v>21</v>
      </c>
      <c r="I98" s="604"/>
    </row>
    <row r="99" spans="1:9" ht="45" customHeight="1" x14ac:dyDescent="0.25">
      <c r="A99" s="596">
        <v>2012</v>
      </c>
      <c r="B99" s="211" t="s">
        <v>245</v>
      </c>
      <c r="C99" s="219" t="s">
        <v>246</v>
      </c>
      <c r="D99" s="606">
        <f>F52</f>
        <v>0</v>
      </c>
      <c r="F99" s="213">
        <f>0.62</f>
        <v>0.62</v>
      </c>
      <c r="G99" s="213">
        <f>D99*F99*0.3*365</f>
        <v>0</v>
      </c>
      <c r="H99" s="213">
        <v>2.58</v>
      </c>
      <c r="I99" s="602">
        <f>(G99*H99/1000)+(G101*H101/1000)</f>
        <v>0</v>
      </c>
    </row>
    <row r="100" spans="1:9" ht="60" customHeight="1" x14ac:dyDescent="0.25">
      <c r="A100" s="597"/>
      <c r="B100" s="605" t="s">
        <v>247</v>
      </c>
      <c r="C100" s="219" t="s">
        <v>248</v>
      </c>
      <c r="D100" s="600"/>
      <c r="F100" s="216" t="s">
        <v>249</v>
      </c>
      <c r="G100" s="210" t="s">
        <v>250</v>
      </c>
      <c r="H100" s="216" t="s">
        <v>251</v>
      </c>
      <c r="I100" s="603"/>
    </row>
    <row r="101" spans="1:9" x14ac:dyDescent="0.25">
      <c r="A101" s="598"/>
      <c r="B101" s="605"/>
      <c r="C101" s="219"/>
      <c r="D101" s="601"/>
      <c r="F101" s="213">
        <v>1255.74</v>
      </c>
      <c r="G101" s="215">
        <f>D99*F101*365/1000</f>
        <v>0</v>
      </c>
      <c r="H101" s="215">
        <v>21</v>
      </c>
      <c r="I101" s="604"/>
    </row>
    <row r="102" spans="1:9" ht="45" customHeight="1" x14ac:dyDescent="0.25">
      <c r="A102" s="596">
        <v>2013</v>
      </c>
      <c r="B102" s="211" t="s">
        <v>245</v>
      </c>
      <c r="C102" s="219" t="s">
        <v>246</v>
      </c>
      <c r="D102" s="606">
        <f>G52</f>
        <v>0</v>
      </c>
      <c r="F102" s="213">
        <f>0.62</f>
        <v>0.62</v>
      </c>
      <c r="G102" s="213">
        <f>D102*F102*0.3*365</f>
        <v>0</v>
      </c>
      <c r="H102" s="213">
        <v>2.58</v>
      </c>
      <c r="I102" s="602">
        <f>(G102*H102/1000)+(G104*H104/1000)</f>
        <v>0</v>
      </c>
    </row>
    <row r="103" spans="1:9" ht="60" customHeight="1" x14ac:dyDescent="0.25">
      <c r="A103" s="597"/>
      <c r="B103" s="605" t="s">
        <v>247</v>
      </c>
      <c r="C103" s="219" t="s">
        <v>248</v>
      </c>
      <c r="D103" s="600"/>
      <c r="F103" s="216" t="s">
        <v>249</v>
      </c>
      <c r="G103" s="210" t="s">
        <v>250</v>
      </c>
      <c r="H103" s="216" t="s">
        <v>251</v>
      </c>
      <c r="I103" s="603"/>
    </row>
    <row r="104" spans="1:9" x14ac:dyDescent="0.25">
      <c r="A104" s="598"/>
      <c r="B104" s="605"/>
      <c r="C104" s="219"/>
      <c r="D104" s="601"/>
      <c r="F104" s="213">
        <v>1255.74</v>
      </c>
      <c r="G104" s="215">
        <f>D102*F104*365/1000</f>
        <v>0</v>
      </c>
      <c r="H104" s="215">
        <v>21</v>
      </c>
      <c r="I104" s="604"/>
    </row>
    <row r="105" spans="1:9" ht="45" customHeight="1" x14ac:dyDescent="0.25">
      <c r="A105" s="596">
        <v>2014</v>
      </c>
      <c r="B105" s="211" t="s">
        <v>245</v>
      </c>
      <c r="C105" s="219" t="s">
        <v>246</v>
      </c>
      <c r="D105" s="606">
        <f>H52</f>
        <v>0</v>
      </c>
      <c r="F105" s="213">
        <f>0.62</f>
        <v>0.62</v>
      </c>
      <c r="G105" s="213">
        <f>D105*F105*0.3*365</f>
        <v>0</v>
      </c>
      <c r="H105" s="213">
        <v>2.58</v>
      </c>
      <c r="I105" s="602">
        <f>(G105*H105/1000)+(G107*H107/1000)</f>
        <v>0</v>
      </c>
    </row>
    <row r="106" spans="1:9" ht="60" customHeight="1" x14ac:dyDescent="0.25">
      <c r="A106" s="597"/>
      <c r="B106" s="605" t="s">
        <v>247</v>
      </c>
      <c r="C106" s="219" t="s">
        <v>248</v>
      </c>
      <c r="D106" s="600"/>
      <c r="F106" s="216" t="s">
        <v>249</v>
      </c>
      <c r="G106" s="210" t="s">
        <v>250</v>
      </c>
      <c r="H106" s="216" t="s">
        <v>251</v>
      </c>
      <c r="I106" s="603"/>
    </row>
    <row r="107" spans="1:9" x14ac:dyDescent="0.25">
      <c r="A107" s="598"/>
      <c r="B107" s="605"/>
      <c r="C107" s="219"/>
      <c r="D107" s="601"/>
      <c r="F107" s="213">
        <v>1255.74</v>
      </c>
      <c r="G107" s="215">
        <f>D105*F107*365/1000</f>
        <v>0</v>
      </c>
      <c r="H107" s="215">
        <v>21</v>
      </c>
      <c r="I107" s="604"/>
    </row>
    <row r="108" spans="1:9" ht="45" customHeight="1" x14ac:dyDescent="0.25">
      <c r="A108" s="596">
        <v>2015</v>
      </c>
      <c r="B108" s="211" t="s">
        <v>245</v>
      </c>
      <c r="C108" s="219" t="s">
        <v>246</v>
      </c>
      <c r="D108" s="211"/>
      <c r="E108" s="606">
        <f>I52</f>
        <v>0</v>
      </c>
      <c r="F108" s="213">
        <f>0.62</f>
        <v>0.62</v>
      </c>
      <c r="G108" s="213">
        <f>E108*F108*0.3*365</f>
        <v>0</v>
      </c>
      <c r="H108" s="213">
        <v>2.58</v>
      </c>
      <c r="I108" s="602">
        <f>(G108*H108/1000)+(G110*H110/1000)</f>
        <v>0</v>
      </c>
    </row>
    <row r="109" spans="1:9" ht="60" customHeight="1" x14ac:dyDescent="0.25">
      <c r="A109" s="597"/>
      <c r="B109" s="605" t="s">
        <v>247</v>
      </c>
      <c r="C109" s="219" t="s">
        <v>248</v>
      </c>
      <c r="D109" s="211"/>
      <c r="E109" s="600"/>
      <c r="F109" s="216" t="s">
        <v>249</v>
      </c>
      <c r="G109" s="210" t="s">
        <v>250</v>
      </c>
      <c r="H109" s="216" t="s">
        <v>251</v>
      </c>
      <c r="I109" s="603"/>
    </row>
    <row r="110" spans="1:9" x14ac:dyDescent="0.25">
      <c r="A110" s="598"/>
      <c r="B110" s="605"/>
      <c r="C110" s="219"/>
      <c r="D110" s="211"/>
      <c r="E110" s="601"/>
      <c r="F110" s="213">
        <v>1255.74</v>
      </c>
      <c r="G110" s="215">
        <f>E108*F110*365/1000</f>
        <v>0</v>
      </c>
      <c r="H110" s="215">
        <v>21</v>
      </c>
      <c r="I110" s="604"/>
    </row>
  </sheetData>
  <mergeCells count="54">
    <mergeCell ref="A37:V37"/>
    <mergeCell ref="A43:V43"/>
    <mergeCell ref="A62:N62"/>
    <mergeCell ref="B64:B78"/>
    <mergeCell ref="C64:C78"/>
    <mergeCell ref="D64:D78"/>
    <mergeCell ref="A31:V31"/>
    <mergeCell ref="B3:V3"/>
    <mergeCell ref="Z3:AG3"/>
    <mergeCell ref="Y3:Y4"/>
    <mergeCell ref="A3:A4"/>
    <mergeCell ref="A6:V6"/>
    <mergeCell ref="A12:V12"/>
    <mergeCell ref="A25:V25"/>
    <mergeCell ref="A96:A98"/>
    <mergeCell ref="D96:D98"/>
    <mergeCell ref="I96:I98"/>
    <mergeCell ref="B97:B98"/>
    <mergeCell ref="A93:A95"/>
    <mergeCell ref="D93:D95"/>
    <mergeCell ref="I93:I95"/>
    <mergeCell ref="B94:B95"/>
    <mergeCell ref="A102:A104"/>
    <mergeCell ref="D102:D104"/>
    <mergeCell ref="I102:I104"/>
    <mergeCell ref="B103:B104"/>
    <mergeCell ref="A99:A101"/>
    <mergeCell ref="D99:D101"/>
    <mergeCell ref="I99:I101"/>
    <mergeCell ref="B100:B101"/>
    <mergeCell ref="A108:A110"/>
    <mergeCell ref="E108:E110"/>
    <mergeCell ref="I108:I110"/>
    <mergeCell ref="B109:B110"/>
    <mergeCell ref="A105:A107"/>
    <mergeCell ref="D105:D107"/>
    <mergeCell ref="I105:I107"/>
    <mergeCell ref="B106:B107"/>
    <mergeCell ref="A84:A86"/>
    <mergeCell ref="D84:D86"/>
    <mergeCell ref="I84:I86"/>
    <mergeCell ref="B85:B86"/>
    <mergeCell ref="A81:A83"/>
    <mergeCell ref="D81:D83"/>
    <mergeCell ref="I81:I83"/>
    <mergeCell ref="B82:B83"/>
    <mergeCell ref="A90:A92"/>
    <mergeCell ref="D90:D92"/>
    <mergeCell ref="I90:I92"/>
    <mergeCell ref="B91:B92"/>
    <mergeCell ref="A87:A89"/>
    <mergeCell ref="D87:D89"/>
    <mergeCell ref="I87:I89"/>
    <mergeCell ref="B88:B89"/>
  </mergeCells>
  <pageMargins left="0.7" right="0.7" top="0.75" bottom="0.75" header="0.3" footer="0.3"/>
  <pageSetup paperSize="9" orientation="portrait" r:id="rId1"/>
  <ignoredErrors>
    <ignoredError sqref="B35:V3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tabel lanscape+Hitungan biogas </vt:lpstr>
      <vt:lpstr>REKAP TOTAL </vt:lpstr>
      <vt:lpstr>HIT HIBRID ROOFTOP</vt:lpstr>
      <vt:lpstr>HITGN PLT PUMP STORAGE</vt:lpstr>
      <vt:lpstr>HIT PLTB</vt:lpstr>
      <vt:lpstr>DATA PLTM</vt:lpstr>
      <vt:lpstr>PENURUNAN EMISI GRK</vt:lpstr>
      <vt:lpstr>BIOGAS PAK AGI</vt:lpstr>
      <vt:lpstr>RUED</vt:lpstr>
      <vt:lpstr>PLTSa</vt:lpstr>
      <vt:lpstr>PJU LED</vt:lpstr>
      <vt:lpstr>PJU solar cell</vt:lpstr>
      <vt:lpstr>RUKD</vt:lpstr>
      <vt:lpstr>RENCANA AKSI TOTAL</vt:lpstr>
      <vt:lpstr>'tabel lanscape+Hitungan biogas 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cp:lastPrinted>2018-10-29T07:44:05Z</cp:lastPrinted>
  <dcterms:created xsi:type="dcterms:W3CDTF">2018-07-23T05:52:04Z</dcterms:created>
  <dcterms:modified xsi:type="dcterms:W3CDTF">2018-11-18T23:53:42Z</dcterms:modified>
</cp:coreProperties>
</file>