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525" yWindow="-30" windowWidth="11835" windowHeight="9150"/>
  </bookViews>
  <sheets>
    <sheet name="Energi  koreksi Cici" sheetId="14" r:id="rId1"/>
  </sheets>
  <externalReferences>
    <externalReference r:id="rId2"/>
    <externalReference r:id="rId3"/>
  </externalReferences>
  <definedNames>
    <definedName name="_xlnm.Print_Area" localSheetId="0">'Energi  koreksi Cici'!#REF!</definedName>
  </definedNames>
  <calcPr calcId="124519"/>
</workbook>
</file>

<file path=xl/calcChain.xml><?xml version="1.0" encoding="utf-8"?>
<calcChain xmlns="http://schemas.openxmlformats.org/spreadsheetml/2006/main">
  <c r="J150" i="14"/>
  <c r="J151"/>
  <c r="J152"/>
  <c r="J153"/>
  <c r="J154"/>
  <c r="J155"/>
  <c r="J156"/>
  <c r="J157"/>
  <c r="J158"/>
  <c r="J159"/>
  <c r="J160"/>
  <c r="J161"/>
  <c r="J162"/>
  <c r="J163"/>
  <c r="J164"/>
  <c r="J165"/>
  <c r="J166"/>
  <c r="J167"/>
  <c r="J168"/>
  <c r="J169"/>
  <c r="J149"/>
  <c r="I150"/>
  <c r="I151"/>
  <c r="I152"/>
  <c r="I153"/>
  <c r="I154"/>
  <c r="I155"/>
  <c r="I156"/>
  <c r="I157"/>
  <c r="I158"/>
  <c r="I159"/>
  <c r="I160"/>
  <c r="I161"/>
  <c r="I162"/>
  <c r="I163"/>
  <c r="I164"/>
  <c r="I165"/>
  <c r="I166"/>
  <c r="I167"/>
  <c r="I168"/>
  <c r="I169"/>
  <c r="I149"/>
  <c r="Q33"/>
  <c r="Y113"/>
  <c r="V112"/>
  <c r="U113"/>
  <c r="F55"/>
  <c r="O55"/>
  <c r="K55"/>
  <c r="P113"/>
  <c r="K113"/>
  <c r="F113"/>
  <c r="G26"/>
  <c r="M20"/>
  <c r="M25"/>
  <c r="B26" s="1"/>
  <c r="Q112"/>
  <c r="AA106"/>
  <c r="AA111"/>
  <c r="B33"/>
  <c r="AK43"/>
  <c r="AK42"/>
  <c r="AK41"/>
  <c r="AK40"/>
  <c r="AK39"/>
  <c r="AK38"/>
  <c r="AK37"/>
  <c r="Q48"/>
  <c r="Q53"/>
  <c r="B54" s="1"/>
  <c r="A169"/>
  <c r="A154"/>
  <c r="A159"/>
  <c r="A164"/>
  <c r="A149"/>
  <c r="H20"/>
  <c r="I20" s="1"/>
  <c r="H25"/>
  <c r="I25" s="1"/>
  <c r="C20"/>
  <c r="D20" s="1"/>
  <c r="C25"/>
  <c r="D25" s="1"/>
  <c r="G21"/>
  <c r="H21" s="1"/>
  <c r="I21" s="1"/>
  <c r="B21"/>
  <c r="B22" s="1"/>
  <c r="A6"/>
  <c r="A7" s="1"/>
  <c r="A8" s="1"/>
  <c r="A9" s="1"/>
  <c r="A21"/>
  <c r="A22" s="1"/>
  <c r="A23" s="1"/>
  <c r="A24" s="1"/>
  <c r="A16"/>
  <c r="A17" s="1"/>
  <c r="A18" s="1"/>
  <c r="A19" s="1"/>
  <c r="A11"/>
  <c r="A12" s="1"/>
  <c r="A13" s="1"/>
  <c r="A14" s="1"/>
  <c r="M53"/>
  <c r="N53" s="1"/>
  <c r="O53" s="1"/>
  <c r="M48"/>
  <c r="N48" s="1"/>
  <c r="O48" s="1"/>
  <c r="M43"/>
  <c r="N43" s="1"/>
  <c r="O43" s="1"/>
  <c r="M38"/>
  <c r="N38" s="1"/>
  <c r="O38" s="1"/>
  <c r="M33"/>
  <c r="N33" s="1"/>
  <c r="O33" s="1"/>
  <c r="W91"/>
  <c r="X91" s="1"/>
  <c r="Y91" s="1"/>
  <c r="L49"/>
  <c r="M49" s="1"/>
  <c r="N49" s="1"/>
  <c r="O49" s="1"/>
  <c r="L44"/>
  <c r="L45" s="1"/>
  <c r="L39"/>
  <c r="M39" s="1"/>
  <c r="N39" s="1"/>
  <c r="O39" s="1"/>
  <c r="L34"/>
  <c r="M34" s="1"/>
  <c r="N34" s="1"/>
  <c r="O34" s="1"/>
  <c r="H48"/>
  <c r="I48" s="1"/>
  <c r="H53"/>
  <c r="I53" s="1"/>
  <c r="G49"/>
  <c r="G50" s="1"/>
  <c r="C53"/>
  <c r="D53" s="1"/>
  <c r="A49"/>
  <c r="A50" s="1"/>
  <c r="A51" s="1"/>
  <c r="A52" s="1"/>
  <c r="A44"/>
  <c r="A45" s="1"/>
  <c r="A46" s="1"/>
  <c r="A47" s="1"/>
  <c r="A39"/>
  <c r="A40" s="1"/>
  <c r="A41" s="1"/>
  <c r="A42" s="1"/>
  <c r="A34"/>
  <c r="A35" s="1"/>
  <c r="A36" s="1"/>
  <c r="A37" s="1"/>
  <c r="M106"/>
  <c r="N106" s="1"/>
  <c r="M111"/>
  <c r="N111" s="1"/>
  <c r="V92"/>
  <c r="V93" s="1"/>
  <c r="V94" s="1"/>
  <c r="V95" s="1"/>
  <c r="W95" s="1"/>
  <c r="X95" s="1"/>
  <c r="Y95" s="1"/>
  <c r="V107"/>
  <c r="V108" s="1"/>
  <c r="R106"/>
  <c r="S106" s="1"/>
  <c r="T106" s="1"/>
  <c r="U106" s="1"/>
  <c r="R111"/>
  <c r="S111" s="1"/>
  <c r="Q107"/>
  <c r="Q108" s="1"/>
  <c r="L107"/>
  <c r="L108" s="1"/>
  <c r="H106"/>
  <c r="I106" s="1"/>
  <c r="J106" s="1"/>
  <c r="H111"/>
  <c r="I111" s="1"/>
  <c r="G107"/>
  <c r="G108" s="1"/>
  <c r="G96"/>
  <c r="H96" s="1"/>
  <c r="I96" s="1"/>
  <c r="C106"/>
  <c r="D106" s="1"/>
  <c r="C111"/>
  <c r="D111" s="1"/>
  <c r="B107"/>
  <c r="B108" s="1"/>
  <c r="AA108" s="1"/>
  <c r="A107"/>
  <c r="A108" s="1"/>
  <c r="A109" s="1"/>
  <c r="A110" s="1"/>
  <c r="A168" s="1"/>
  <c r="A102"/>
  <c r="A103" s="1"/>
  <c r="A104" s="1"/>
  <c r="A105" s="1"/>
  <c r="A163" s="1"/>
  <c r="A97"/>
  <c r="A98" s="1"/>
  <c r="A99" s="1"/>
  <c r="A100" s="1"/>
  <c r="A158" s="1"/>
  <c r="A92"/>
  <c r="A93" s="1"/>
  <c r="A94" s="1"/>
  <c r="A95" s="1"/>
  <c r="A153" s="1"/>
  <c r="W111"/>
  <c r="X111" s="1"/>
  <c r="Y111" s="1"/>
  <c r="W106"/>
  <c r="X106" s="1"/>
  <c r="Y106" s="1"/>
  <c r="W96"/>
  <c r="X96" s="1"/>
  <c r="Y96" s="1"/>
  <c r="E25" l="1"/>
  <c r="F25" s="1"/>
  <c r="T111"/>
  <c r="U111" s="1"/>
  <c r="L112"/>
  <c r="J21"/>
  <c r="G112"/>
  <c r="AA112"/>
  <c r="A161"/>
  <c r="L54"/>
  <c r="A157"/>
  <c r="A150"/>
  <c r="G54"/>
  <c r="Q54" s="1"/>
  <c r="E53"/>
  <c r="F53" s="1"/>
  <c r="G22"/>
  <c r="A151"/>
  <c r="AA107"/>
  <c r="B112"/>
  <c r="M21"/>
  <c r="A165"/>
  <c r="C21"/>
  <c r="D21" s="1"/>
  <c r="A167"/>
  <c r="A155"/>
  <c r="E111"/>
  <c r="J96"/>
  <c r="K96" s="1"/>
  <c r="A160"/>
  <c r="A156"/>
  <c r="A152"/>
  <c r="O106"/>
  <c r="P106" s="1"/>
  <c r="J20"/>
  <c r="K20" s="1"/>
  <c r="O111"/>
  <c r="P111" s="1"/>
  <c r="J25"/>
  <c r="K25" s="1"/>
  <c r="J48"/>
  <c r="K48" s="1"/>
  <c r="A166"/>
  <c r="A162"/>
  <c r="E106"/>
  <c r="F106" s="1"/>
  <c r="J111"/>
  <c r="K111" s="1"/>
  <c r="E20"/>
  <c r="F20" s="1"/>
  <c r="J26"/>
  <c r="K106"/>
  <c r="J53"/>
  <c r="K53" s="1"/>
  <c r="B23"/>
  <c r="C22"/>
  <c r="D22" s="1"/>
  <c r="K21"/>
  <c r="M44"/>
  <c r="N44" s="1"/>
  <c r="O44" s="1"/>
  <c r="H49"/>
  <c r="L46"/>
  <c r="M45"/>
  <c r="N45" s="1"/>
  <c r="O45" s="1"/>
  <c r="G51"/>
  <c r="H50"/>
  <c r="L40"/>
  <c r="L35"/>
  <c r="L50"/>
  <c r="H107"/>
  <c r="I107" s="1"/>
  <c r="J107" s="1"/>
  <c r="C107"/>
  <c r="D107" s="1"/>
  <c r="E107" s="1"/>
  <c r="M107"/>
  <c r="N107" s="1"/>
  <c r="R107"/>
  <c r="S107" s="1"/>
  <c r="G109"/>
  <c r="H108"/>
  <c r="I108" s="1"/>
  <c r="J108" s="1"/>
  <c r="L109"/>
  <c r="M108"/>
  <c r="N108" s="1"/>
  <c r="O108" s="1"/>
  <c r="B109"/>
  <c r="C108"/>
  <c r="D108" s="1"/>
  <c r="E108" s="1"/>
  <c r="Q109"/>
  <c r="R108"/>
  <c r="S108" s="1"/>
  <c r="W107"/>
  <c r="X107" s="1"/>
  <c r="Y107" s="1"/>
  <c r="W92"/>
  <c r="X92" s="1"/>
  <c r="Y92" s="1"/>
  <c r="V109"/>
  <c r="W108"/>
  <c r="X108" s="1"/>
  <c r="Y108" s="1"/>
  <c r="W93"/>
  <c r="X93" s="1"/>
  <c r="Y93" s="1"/>
  <c r="W94"/>
  <c r="X94" s="1"/>
  <c r="Y94" s="1"/>
  <c r="Q101"/>
  <c r="L101"/>
  <c r="G101"/>
  <c r="B101"/>
  <c r="Q96"/>
  <c r="L96"/>
  <c r="B96"/>
  <c r="Q91"/>
  <c r="R91" s="1"/>
  <c r="L91"/>
  <c r="M91" s="1"/>
  <c r="N91" s="1"/>
  <c r="O91" s="1"/>
  <c r="G91"/>
  <c r="B91"/>
  <c r="G43"/>
  <c r="B43"/>
  <c r="G38"/>
  <c r="B38"/>
  <c r="G33"/>
  <c r="H33" s="1"/>
  <c r="I33" s="1"/>
  <c r="C33"/>
  <c r="F111" l="1"/>
  <c r="Z106"/>
  <c r="D164" s="1"/>
  <c r="G23"/>
  <c r="M22"/>
  <c r="C91"/>
  <c r="AA91"/>
  <c r="L25"/>
  <c r="F169" s="1"/>
  <c r="P53"/>
  <c r="B169" s="1"/>
  <c r="M23"/>
  <c r="AA96"/>
  <c r="AA109"/>
  <c r="AA101"/>
  <c r="H22"/>
  <c r="I22" s="1"/>
  <c r="J22" s="1"/>
  <c r="K22" s="1"/>
  <c r="Z111"/>
  <c r="D169" s="1"/>
  <c r="L20"/>
  <c r="F164" s="1"/>
  <c r="E21"/>
  <c r="F21" s="1"/>
  <c r="L21" s="1"/>
  <c r="F165" s="1"/>
  <c r="E33"/>
  <c r="F33" s="1"/>
  <c r="D33"/>
  <c r="I50"/>
  <c r="J50" s="1"/>
  <c r="K50" s="1"/>
  <c r="I49"/>
  <c r="J49" s="1"/>
  <c r="K49" s="1"/>
  <c r="P108"/>
  <c r="E22"/>
  <c r="F22" s="1"/>
  <c r="K107"/>
  <c r="Q38"/>
  <c r="F108"/>
  <c r="K108"/>
  <c r="F107"/>
  <c r="J33"/>
  <c r="K33" s="1"/>
  <c r="Q43"/>
  <c r="O107"/>
  <c r="P107" s="1"/>
  <c r="T107"/>
  <c r="U107" s="1"/>
  <c r="T108"/>
  <c r="B24"/>
  <c r="C23"/>
  <c r="D23" s="1"/>
  <c r="L51"/>
  <c r="M50"/>
  <c r="N50" s="1"/>
  <c r="O50" s="1"/>
  <c r="G52"/>
  <c r="H52" s="1"/>
  <c r="H51"/>
  <c r="G34"/>
  <c r="H34" s="1"/>
  <c r="H38"/>
  <c r="C38"/>
  <c r="D38" s="1"/>
  <c r="E38" s="1"/>
  <c r="B34"/>
  <c r="L41"/>
  <c r="M40"/>
  <c r="N40" s="1"/>
  <c r="O40" s="1"/>
  <c r="L47"/>
  <c r="M47" s="1"/>
  <c r="N47" s="1"/>
  <c r="O47" s="1"/>
  <c r="M46"/>
  <c r="N46" s="1"/>
  <c r="O46" s="1"/>
  <c r="H43"/>
  <c r="G39"/>
  <c r="H39" s="1"/>
  <c r="G44"/>
  <c r="H44" s="1"/>
  <c r="L36"/>
  <c r="M35"/>
  <c r="N35" s="1"/>
  <c r="O35" s="1"/>
  <c r="C43"/>
  <c r="D43" s="1"/>
  <c r="E43" s="1"/>
  <c r="B39"/>
  <c r="B92"/>
  <c r="C101"/>
  <c r="D101" s="1"/>
  <c r="B102"/>
  <c r="Q110"/>
  <c r="R110" s="1"/>
  <c r="S110" s="1"/>
  <c r="R109"/>
  <c r="S109" s="1"/>
  <c r="L110"/>
  <c r="M110" s="1"/>
  <c r="N110" s="1"/>
  <c r="M109"/>
  <c r="N109" s="1"/>
  <c r="R96"/>
  <c r="S96" s="1"/>
  <c r="Q92"/>
  <c r="R92" s="1"/>
  <c r="S92" s="1"/>
  <c r="Q102"/>
  <c r="R102" s="1"/>
  <c r="S102" s="1"/>
  <c r="R101"/>
  <c r="S101" s="1"/>
  <c r="Q97"/>
  <c r="R97" s="1"/>
  <c r="S97" s="1"/>
  <c r="G92"/>
  <c r="H92" s="1"/>
  <c r="I92" s="1"/>
  <c r="M96"/>
  <c r="N96" s="1"/>
  <c r="L92"/>
  <c r="M92" s="1"/>
  <c r="N92" s="1"/>
  <c r="L97"/>
  <c r="M97" s="1"/>
  <c r="N97" s="1"/>
  <c r="M101"/>
  <c r="N101" s="1"/>
  <c r="L102"/>
  <c r="M102" s="1"/>
  <c r="N102" s="1"/>
  <c r="B110"/>
  <c r="C109"/>
  <c r="D109" s="1"/>
  <c r="G110"/>
  <c r="H110" s="1"/>
  <c r="I110" s="1"/>
  <c r="H109"/>
  <c r="I109" s="1"/>
  <c r="H101"/>
  <c r="I101" s="1"/>
  <c r="G97"/>
  <c r="H97" s="1"/>
  <c r="I97" s="1"/>
  <c r="G102"/>
  <c r="H102" s="1"/>
  <c r="I102" s="1"/>
  <c r="C96"/>
  <c r="V110"/>
  <c r="W110" s="1"/>
  <c r="X110" s="1"/>
  <c r="Y110" s="1"/>
  <c r="W109"/>
  <c r="X109" s="1"/>
  <c r="Y109" s="1"/>
  <c r="B97"/>
  <c r="H91"/>
  <c r="L22" l="1"/>
  <c r="F166" s="1"/>
  <c r="P33"/>
  <c r="B149" s="1"/>
  <c r="E169"/>
  <c r="G169" s="1"/>
  <c r="C97"/>
  <c r="D97" s="1"/>
  <c r="C110"/>
  <c r="D110" s="1"/>
  <c r="E110" s="1"/>
  <c r="F110" s="1"/>
  <c r="AA110"/>
  <c r="C102"/>
  <c r="D102" s="1"/>
  <c r="C24"/>
  <c r="D24" s="1"/>
  <c r="E24" s="1"/>
  <c r="F24" s="1"/>
  <c r="G24"/>
  <c r="H24" s="1"/>
  <c r="I24" s="1"/>
  <c r="J24" s="1"/>
  <c r="K24" s="1"/>
  <c r="H23"/>
  <c r="I23" s="1"/>
  <c r="J23" s="1"/>
  <c r="K23" s="1"/>
  <c r="Q39"/>
  <c r="Z107"/>
  <c r="D165" s="1"/>
  <c r="K27"/>
  <c r="F27"/>
  <c r="B93"/>
  <c r="AA92"/>
  <c r="D170"/>
  <c r="H169"/>
  <c r="F171" s="1"/>
  <c r="E109"/>
  <c r="F109" s="1"/>
  <c r="O97"/>
  <c r="P97" s="1"/>
  <c r="J44"/>
  <c r="K44" s="1"/>
  <c r="I44"/>
  <c r="E23"/>
  <c r="F23" s="1"/>
  <c r="E97"/>
  <c r="F97" s="1"/>
  <c r="J110"/>
  <c r="K110" s="1"/>
  <c r="J92"/>
  <c r="K92" s="1"/>
  <c r="I51"/>
  <c r="J51" s="1"/>
  <c r="K51" s="1"/>
  <c r="K109"/>
  <c r="J109"/>
  <c r="O102"/>
  <c r="P102" s="1"/>
  <c r="O96"/>
  <c r="P96" s="1"/>
  <c r="O110"/>
  <c r="P110" s="1"/>
  <c r="E101"/>
  <c r="F101" s="1"/>
  <c r="I43"/>
  <c r="J43" s="1"/>
  <c r="K43" s="1"/>
  <c r="I34"/>
  <c r="J34" s="1"/>
  <c r="K34" s="1"/>
  <c r="U108"/>
  <c r="Z108" s="1"/>
  <c r="J101"/>
  <c r="K101" s="1"/>
  <c r="O92"/>
  <c r="P92" s="1"/>
  <c r="O109"/>
  <c r="P109" s="1"/>
  <c r="E102"/>
  <c r="F102" s="1"/>
  <c r="I39"/>
  <c r="J39" s="1"/>
  <c r="K39" s="1"/>
  <c r="I38"/>
  <c r="J38" s="1"/>
  <c r="K38" s="1"/>
  <c r="J97"/>
  <c r="K97" s="1"/>
  <c r="J52"/>
  <c r="K52" s="1"/>
  <c r="I52"/>
  <c r="J102"/>
  <c r="K102" s="1"/>
  <c r="P101"/>
  <c r="O101"/>
  <c r="T109"/>
  <c r="U109" s="1"/>
  <c r="T101"/>
  <c r="U101" s="1"/>
  <c r="T92"/>
  <c r="U92" s="1"/>
  <c r="T102"/>
  <c r="U102" s="1"/>
  <c r="T97"/>
  <c r="U97" s="1"/>
  <c r="T96"/>
  <c r="U96" s="1"/>
  <c r="T110"/>
  <c r="U110" s="1"/>
  <c r="C34"/>
  <c r="D34" s="1"/>
  <c r="Q34"/>
  <c r="G35"/>
  <c r="G36" s="1"/>
  <c r="G45"/>
  <c r="H45" s="1"/>
  <c r="B35"/>
  <c r="C35" s="1"/>
  <c r="D35" s="1"/>
  <c r="Q103"/>
  <c r="R103" s="1"/>
  <c r="S103" s="1"/>
  <c r="G40"/>
  <c r="G41" s="1"/>
  <c r="L37"/>
  <c r="M37" s="1"/>
  <c r="N37" s="1"/>
  <c r="O37" s="1"/>
  <c r="M36"/>
  <c r="N36" s="1"/>
  <c r="O36" s="1"/>
  <c r="L52"/>
  <c r="M52" s="1"/>
  <c r="N52" s="1"/>
  <c r="O52" s="1"/>
  <c r="M51"/>
  <c r="N51" s="1"/>
  <c r="O51" s="1"/>
  <c r="B40"/>
  <c r="C39"/>
  <c r="L42"/>
  <c r="M42" s="1"/>
  <c r="N42" s="1"/>
  <c r="O42" s="1"/>
  <c r="M41"/>
  <c r="N41" s="1"/>
  <c r="O41" s="1"/>
  <c r="G93"/>
  <c r="H93" s="1"/>
  <c r="I93" s="1"/>
  <c r="Q93"/>
  <c r="R93" s="1"/>
  <c r="S93" s="1"/>
  <c r="L93"/>
  <c r="M93" s="1"/>
  <c r="N93" s="1"/>
  <c r="Q98"/>
  <c r="R98" s="1"/>
  <c r="S98" s="1"/>
  <c r="B103"/>
  <c r="Q94"/>
  <c r="C92"/>
  <c r="C93" s="1"/>
  <c r="C94" s="1"/>
  <c r="C95" s="1"/>
  <c r="G103"/>
  <c r="L103"/>
  <c r="G98"/>
  <c r="L98"/>
  <c r="B98"/>
  <c r="I91"/>
  <c r="J91" s="1"/>
  <c r="G15"/>
  <c r="B15"/>
  <c r="G10"/>
  <c r="B10"/>
  <c r="G5"/>
  <c r="H5" s="1"/>
  <c r="B5"/>
  <c r="L23" l="1"/>
  <c r="F167" s="1"/>
  <c r="E170"/>
  <c r="L24"/>
  <c r="F168" s="1"/>
  <c r="E171"/>
  <c r="H171" s="1"/>
  <c r="B170"/>
  <c r="M24"/>
  <c r="Z110"/>
  <c r="D168" s="1"/>
  <c r="C5"/>
  <c r="D5" s="1"/>
  <c r="M5"/>
  <c r="Z109"/>
  <c r="D167" s="1"/>
  <c r="C103"/>
  <c r="D103" s="1"/>
  <c r="E103" s="1"/>
  <c r="F103" s="1"/>
  <c r="M15"/>
  <c r="H35"/>
  <c r="I35" s="1"/>
  <c r="J35" s="1"/>
  <c r="K35" s="1"/>
  <c r="M10"/>
  <c r="B94"/>
  <c r="AA93"/>
  <c r="D166"/>
  <c r="J93"/>
  <c r="K93" s="1"/>
  <c r="E5"/>
  <c r="F5" s="1"/>
  <c r="O93"/>
  <c r="P93" s="1"/>
  <c r="I45"/>
  <c r="J45" s="1"/>
  <c r="K45" s="1"/>
  <c r="Q40"/>
  <c r="D39"/>
  <c r="E39" s="1"/>
  <c r="F39" s="1"/>
  <c r="P39" s="1"/>
  <c r="B155" s="1"/>
  <c r="T103"/>
  <c r="U103" s="1"/>
  <c r="T93"/>
  <c r="U93" s="1"/>
  <c r="T98"/>
  <c r="U98" s="1"/>
  <c r="F35"/>
  <c r="E35"/>
  <c r="E34"/>
  <c r="F34" s="1"/>
  <c r="P34" s="1"/>
  <c r="B150" s="1"/>
  <c r="B36"/>
  <c r="Q36" s="1"/>
  <c r="Q35"/>
  <c r="B11"/>
  <c r="C15"/>
  <c r="D15" s="1"/>
  <c r="B16"/>
  <c r="G16"/>
  <c r="H16" s="1"/>
  <c r="I16" s="1"/>
  <c r="H15"/>
  <c r="I15" s="1"/>
  <c r="G6"/>
  <c r="H6" s="1"/>
  <c r="I6" s="1"/>
  <c r="G12"/>
  <c r="G11"/>
  <c r="H11" s="1"/>
  <c r="I11" s="1"/>
  <c r="H10"/>
  <c r="I10" s="1"/>
  <c r="C10"/>
  <c r="B6"/>
  <c r="Q104"/>
  <c r="R104" s="1"/>
  <c r="S104" s="1"/>
  <c r="H40"/>
  <c r="G46"/>
  <c r="H46" s="1"/>
  <c r="B41"/>
  <c r="Q41" s="1"/>
  <c r="C40"/>
  <c r="G37"/>
  <c r="H37" s="1"/>
  <c r="H36"/>
  <c r="G42"/>
  <c r="H42" s="1"/>
  <c r="H41"/>
  <c r="L94"/>
  <c r="L95" s="1"/>
  <c r="M95" s="1"/>
  <c r="N95" s="1"/>
  <c r="Q99"/>
  <c r="R99" s="1"/>
  <c r="S99" s="1"/>
  <c r="B104"/>
  <c r="G94"/>
  <c r="G95" s="1"/>
  <c r="H95" s="1"/>
  <c r="I95" s="1"/>
  <c r="G99"/>
  <c r="H98"/>
  <c r="I98" s="1"/>
  <c r="G104"/>
  <c r="H103"/>
  <c r="I103" s="1"/>
  <c r="L99"/>
  <c r="M98"/>
  <c r="N98" s="1"/>
  <c r="L104"/>
  <c r="M103"/>
  <c r="N103" s="1"/>
  <c r="B99"/>
  <c r="C98"/>
  <c r="D98" s="1"/>
  <c r="Q95"/>
  <c r="R95" s="1"/>
  <c r="S95" s="1"/>
  <c r="R94"/>
  <c r="S94" s="1"/>
  <c r="B105" l="1"/>
  <c r="B95"/>
  <c r="AA95" s="1"/>
  <c r="AA94"/>
  <c r="M11"/>
  <c r="C6"/>
  <c r="D6" s="1"/>
  <c r="E6" s="1"/>
  <c r="F6" s="1"/>
  <c r="M6"/>
  <c r="C16"/>
  <c r="D16" s="1"/>
  <c r="E16" s="1"/>
  <c r="F16" s="1"/>
  <c r="M16"/>
  <c r="P35"/>
  <c r="B151" s="1"/>
  <c r="O98"/>
  <c r="P98" s="1"/>
  <c r="I42"/>
  <c r="J42" s="1"/>
  <c r="K42" s="1"/>
  <c r="D40"/>
  <c r="E40" s="1"/>
  <c r="F40" s="1"/>
  <c r="J11"/>
  <c r="K11" s="1"/>
  <c r="O103"/>
  <c r="P103" s="1"/>
  <c r="J103"/>
  <c r="K103" s="1"/>
  <c r="J95"/>
  <c r="K95" s="1"/>
  <c r="I41"/>
  <c r="J41" s="1"/>
  <c r="K41" s="1"/>
  <c r="I40"/>
  <c r="J40" s="1"/>
  <c r="K40" s="1"/>
  <c r="J10"/>
  <c r="K10" s="1"/>
  <c r="J15"/>
  <c r="K15" s="1"/>
  <c r="O95"/>
  <c r="P95" s="1"/>
  <c r="I37"/>
  <c r="J37" s="1"/>
  <c r="K37" s="1"/>
  <c r="I46"/>
  <c r="J46" s="1"/>
  <c r="K46" s="1"/>
  <c r="J6"/>
  <c r="K6" s="1"/>
  <c r="E15"/>
  <c r="F15" s="1"/>
  <c r="C36"/>
  <c r="D36" s="1"/>
  <c r="E36" s="1"/>
  <c r="F36" s="1"/>
  <c r="E98"/>
  <c r="F98" s="1"/>
  <c r="J98"/>
  <c r="K98" s="1"/>
  <c r="I36"/>
  <c r="J36" s="1"/>
  <c r="K36" s="1"/>
  <c r="J16"/>
  <c r="K16" s="1"/>
  <c r="T94"/>
  <c r="U94" s="1"/>
  <c r="T99"/>
  <c r="U99" s="1"/>
  <c r="T95"/>
  <c r="U95" s="1"/>
  <c r="T104"/>
  <c r="U104" s="1"/>
  <c r="B37"/>
  <c r="G13"/>
  <c r="H12"/>
  <c r="I12" s="1"/>
  <c r="B12"/>
  <c r="M12" s="1"/>
  <c r="C11"/>
  <c r="D11" s="1"/>
  <c r="G7"/>
  <c r="B7"/>
  <c r="G17"/>
  <c r="B17"/>
  <c r="M94"/>
  <c r="N94" s="1"/>
  <c r="Q105"/>
  <c r="R105" s="1"/>
  <c r="S105" s="1"/>
  <c r="H94"/>
  <c r="I94" s="1"/>
  <c r="G47"/>
  <c r="H47" s="1"/>
  <c r="C41"/>
  <c r="B42"/>
  <c r="Q100"/>
  <c r="R100" s="1"/>
  <c r="S100" s="1"/>
  <c r="C104"/>
  <c r="D104" s="1"/>
  <c r="L100"/>
  <c r="M100" s="1"/>
  <c r="N100" s="1"/>
  <c r="M99"/>
  <c r="N99" s="1"/>
  <c r="G100"/>
  <c r="H100" s="1"/>
  <c r="I100" s="1"/>
  <c r="H99"/>
  <c r="I99" s="1"/>
  <c r="B100"/>
  <c r="C99"/>
  <c r="D99" s="1"/>
  <c r="L105"/>
  <c r="M105" s="1"/>
  <c r="N105" s="1"/>
  <c r="M104"/>
  <c r="N104" s="1"/>
  <c r="G105"/>
  <c r="H105" s="1"/>
  <c r="I105" s="1"/>
  <c r="H104"/>
  <c r="I104" s="1"/>
  <c r="K91"/>
  <c r="P36" l="1"/>
  <c r="B152" s="1"/>
  <c r="C100"/>
  <c r="D100" s="1"/>
  <c r="C105"/>
  <c r="D105" s="1"/>
  <c r="E105" s="1"/>
  <c r="F105" s="1"/>
  <c r="L15"/>
  <c r="F159" s="1"/>
  <c r="M7"/>
  <c r="L6"/>
  <c r="F150" s="1"/>
  <c r="M17"/>
  <c r="P104"/>
  <c r="O104"/>
  <c r="J99"/>
  <c r="K99" s="1"/>
  <c r="E104"/>
  <c r="F104" s="1"/>
  <c r="I47"/>
  <c r="J47" s="1"/>
  <c r="K47" s="1"/>
  <c r="K12"/>
  <c r="J12"/>
  <c r="J105"/>
  <c r="K105" s="1"/>
  <c r="F100"/>
  <c r="E100"/>
  <c r="O100"/>
  <c r="P100" s="1"/>
  <c r="F41"/>
  <c r="P41" s="1"/>
  <c r="B157" s="1"/>
  <c r="D41"/>
  <c r="E41" s="1"/>
  <c r="O94"/>
  <c r="P94" s="1"/>
  <c r="L16"/>
  <c r="F160" s="1"/>
  <c r="J104"/>
  <c r="K104" s="1"/>
  <c r="E99"/>
  <c r="F99" s="1"/>
  <c r="O99"/>
  <c r="P99" s="1"/>
  <c r="C42"/>
  <c r="Q42"/>
  <c r="E11"/>
  <c r="F11" s="1"/>
  <c r="L11" s="1"/>
  <c r="F155" s="1"/>
  <c r="O105"/>
  <c r="P105" s="1"/>
  <c r="J100"/>
  <c r="K100" s="1"/>
  <c r="J94"/>
  <c r="K94" s="1"/>
  <c r="P40"/>
  <c r="B156" s="1"/>
  <c r="T105"/>
  <c r="U105" s="1"/>
  <c r="T100"/>
  <c r="U100" s="1"/>
  <c r="C37"/>
  <c r="D37" s="1"/>
  <c r="Q37"/>
  <c r="G18"/>
  <c r="H17"/>
  <c r="I17" s="1"/>
  <c r="J17" s="1"/>
  <c r="G14"/>
  <c r="H14" s="1"/>
  <c r="I14" s="1"/>
  <c r="H13"/>
  <c r="I13" s="1"/>
  <c r="B18"/>
  <c r="M18" s="1"/>
  <c r="C17"/>
  <c r="D17" s="1"/>
  <c r="G8"/>
  <c r="H7"/>
  <c r="I7" s="1"/>
  <c r="J7" s="1"/>
  <c r="B13"/>
  <c r="M13" s="1"/>
  <c r="C12"/>
  <c r="D12" s="1"/>
  <c r="B8"/>
  <c r="M8" s="1"/>
  <c r="C7"/>
  <c r="D7" s="1"/>
  <c r="F7" l="1"/>
  <c r="L7" s="1"/>
  <c r="F151" s="1"/>
  <c r="E7"/>
  <c r="K13"/>
  <c r="J13"/>
  <c r="K14"/>
  <c r="J14"/>
  <c r="F12"/>
  <c r="L12" s="1"/>
  <c r="F156" s="1"/>
  <c r="E12"/>
  <c r="F17"/>
  <c r="E17"/>
  <c r="F42"/>
  <c r="P42" s="1"/>
  <c r="B158" s="1"/>
  <c r="D42"/>
  <c r="E42" s="1"/>
  <c r="E37"/>
  <c r="F37" s="1"/>
  <c r="P37" s="1"/>
  <c r="B153" s="1"/>
  <c r="K7"/>
  <c r="B14"/>
  <c r="C13"/>
  <c r="D13" s="1"/>
  <c r="B19"/>
  <c r="C18"/>
  <c r="D18" s="1"/>
  <c r="G19"/>
  <c r="H19" s="1"/>
  <c r="I19" s="1"/>
  <c r="J19" s="1"/>
  <c r="H18"/>
  <c r="I18" s="1"/>
  <c r="K17"/>
  <c r="B9"/>
  <c r="C8"/>
  <c r="D8" s="1"/>
  <c r="G9"/>
  <c r="H9" s="1"/>
  <c r="I9" s="1"/>
  <c r="J9" s="1"/>
  <c r="H8"/>
  <c r="I8" s="1"/>
  <c r="C14" l="1"/>
  <c r="D14" s="1"/>
  <c r="E14" s="1"/>
  <c r="F14" s="1"/>
  <c r="L14" s="1"/>
  <c r="F158" s="1"/>
  <c r="M14"/>
  <c r="C19"/>
  <c r="D19" s="1"/>
  <c r="E19" s="1"/>
  <c r="F19" s="1"/>
  <c r="M19"/>
  <c r="C9"/>
  <c r="D9" s="1"/>
  <c r="E9" s="1"/>
  <c r="F9" s="1"/>
  <c r="L9" s="1"/>
  <c r="F153" s="1"/>
  <c r="M9"/>
  <c r="L17"/>
  <c r="F161" s="1"/>
  <c r="J8"/>
  <c r="K8" s="1"/>
  <c r="E18"/>
  <c r="F18" s="1"/>
  <c r="E8"/>
  <c r="F8" s="1"/>
  <c r="J18"/>
  <c r="K18" s="1"/>
  <c r="E13"/>
  <c r="F13" s="1"/>
  <c r="L13" s="1"/>
  <c r="F157" s="1"/>
  <c r="K9"/>
  <c r="K19"/>
  <c r="L8" l="1"/>
  <c r="F152" s="1"/>
  <c r="L19"/>
  <c r="F163" s="1"/>
  <c r="L18"/>
  <c r="F162" s="1"/>
  <c r="P91"/>
  <c r="F38"/>
  <c r="P38" s="1"/>
  <c r="B154" s="1"/>
  <c r="D91"/>
  <c r="S91"/>
  <c r="I5"/>
  <c r="J5" s="1"/>
  <c r="K5" s="1"/>
  <c r="L5" s="1"/>
  <c r="F149" s="1"/>
  <c r="F43"/>
  <c r="P43" s="1"/>
  <c r="B159" s="1"/>
  <c r="D10"/>
  <c r="D96"/>
  <c r="E96" s="1"/>
  <c r="F10" l="1"/>
  <c r="L10" s="1"/>
  <c r="F154" s="1"/>
  <c r="E10"/>
  <c r="E91"/>
  <c r="F91" s="1"/>
  <c r="T91"/>
  <c r="U91" s="1"/>
  <c r="D92"/>
  <c r="D149" l="1"/>
  <c r="E149" s="1"/>
  <c r="H149" s="1"/>
  <c r="Z91"/>
  <c r="D93"/>
  <c r="E92"/>
  <c r="F92" s="1"/>
  <c r="F96"/>
  <c r="Z96" s="1"/>
  <c r="G149" l="1"/>
  <c r="Z92"/>
  <c r="D150" s="1"/>
  <c r="E150" s="1"/>
  <c r="D94"/>
  <c r="E93"/>
  <c r="D154"/>
  <c r="E154" s="1"/>
  <c r="G150" l="1"/>
  <c r="H150"/>
  <c r="D95"/>
  <c r="E95" s="1"/>
  <c r="E94"/>
  <c r="H154"/>
  <c r="G154"/>
  <c r="F93"/>
  <c r="D151" l="1"/>
  <c r="E151" s="1"/>
  <c r="H151" s="1"/>
  <c r="Z93"/>
  <c r="G151"/>
  <c r="F94"/>
  <c r="F95"/>
  <c r="D152" l="1"/>
  <c r="E152" s="1"/>
  <c r="G152" s="1"/>
  <c r="Z94"/>
  <c r="Z95"/>
  <c r="D153" s="1"/>
  <c r="E153" s="1"/>
  <c r="G153" s="1"/>
  <c r="H152"/>
  <c r="V97"/>
  <c r="AA97" s="1"/>
  <c r="V102"/>
  <c r="AA102" s="1"/>
  <c r="W101"/>
  <c r="X101" s="1"/>
  <c r="Y101" s="1"/>
  <c r="H153" l="1"/>
  <c r="Z101"/>
  <c r="D159" s="1"/>
  <c r="E159" s="1"/>
  <c r="W102"/>
  <c r="X102" s="1"/>
  <c r="Y102" s="1"/>
  <c r="V103"/>
  <c r="AA103" s="1"/>
  <c r="V98"/>
  <c r="AA98" s="1"/>
  <c r="W97"/>
  <c r="X97" s="1"/>
  <c r="Y97" s="1"/>
  <c r="G159" l="1"/>
  <c r="H159"/>
  <c r="Z97"/>
  <c r="D155" s="1"/>
  <c r="E155" s="1"/>
  <c r="Z102"/>
  <c r="D160" s="1"/>
  <c r="V104"/>
  <c r="AA104" s="1"/>
  <c r="W103"/>
  <c r="X103" s="1"/>
  <c r="Y103" s="1"/>
  <c r="V99"/>
  <c r="AA99" s="1"/>
  <c r="W98"/>
  <c r="X98" s="1"/>
  <c r="Y98" s="1"/>
  <c r="G155" l="1"/>
  <c r="H155"/>
  <c r="D161"/>
  <c r="Z103"/>
  <c r="D156"/>
  <c r="E156" s="1"/>
  <c r="G156" s="1"/>
  <c r="Z98"/>
  <c r="V105"/>
  <c r="W104"/>
  <c r="X104" s="1"/>
  <c r="Y104" s="1"/>
  <c r="V100"/>
  <c r="W99"/>
  <c r="X99" s="1"/>
  <c r="Y99" s="1"/>
  <c r="H156" l="1"/>
  <c r="W100"/>
  <c r="X100" s="1"/>
  <c r="Y100" s="1"/>
  <c r="AA100"/>
  <c r="Z99"/>
  <c r="D157" s="1"/>
  <c r="E157" s="1"/>
  <c r="W105"/>
  <c r="X105" s="1"/>
  <c r="Y105" s="1"/>
  <c r="AA105"/>
  <c r="Z104"/>
  <c r="D162" s="1"/>
  <c r="G157" l="1"/>
  <c r="H157"/>
  <c r="D163"/>
  <c r="Z105"/>
  <c r="D158"/>
  <c r="E158" s="1"/>
  <c r="Z100"/>
  <c r="G158" l="1"/>
  <c r="H158"/>
  <c r="B44" l="1"/>
  <c r="B49"/>
  <c r="C49" s="1"/>
  <c r="C48"/>
  <c r="F49" l="1"/>
  <c r="P49" s="1"/>
  <c r="B165" s="1"/>
  <c r="E165" s="1"/>
  <c r="G165" s="1"/>
  <c r="D49"/>
  <c r="E49" s="1"/>
  <c r="B45"/>
  <c r="Q45" s="1"/>
  <c r="Q44"/>
  <c r="F48"/>
  <c r="P48" s="1"/>
  <c r="B164" s="1"/>
  <c r="E164" s="1"/>
  <c r="G164" s="1"/>
  <c r="D48"/>
  <c r="E48" s="1"/>
  <c r="B50"/>
  <c r="Q50" s="1"/>
  <c r="Q49"/>
  <c r="H165"/>
  <c r="B46"/>
  <c r="Q46" s="1"/>
  <c r="C45"/>
  <c r="C44"/>
  <c r="C50" l="1"/>
  <c r="D50" s="1"/>
  <c r="E50" s="1"/>
  <c r="F50" s="1"/>
  <c r="P50" s="1"/>
  <c r="B166" s="1"/>
  <c r="E166" s="1"/>
  <c r="G166" s="1"/>
  <c r="B51"/>
  <c r="Q51" s="1"/>
  <c r="D45"/>
  <c r="E45" s="1"/>
  <c r="F45" s="1"/>
  <c r="P45" s="1"/>
  <c r="B161" s="1"/>
  <c r="E161" s="1"/>
  <c r="F44"/>
  <c r="P44" s="1"/>
  <c r="B160" s="1"/>
  <c r="E160" s="1"/>
  <c r="G160" s="1"/>
  <c r="D44"/>
  <c r="E44" s="1"/>
  <c r="H164"/>
  <c r="B52"/>
  <c r="B47"/>
  <c r="C46"/>
  <c r="C51" l="1"/>
  <c r="D51" s="1"/>
  <c r="E51" s="1"/>
  <c r="F51" s="1"/>
  <c r="P51" s="1"/>
  <c r="B167" s="1"/>
  <c r="E167" s="1"/>
  <c r="G161"/>
  <c r="H161"/>
  <c r="H166"/>
  <c r="H160"/>
  <c r="C47"/>
  <c r="Q47"/>
  <c r="D46"/>
  <c r="E46" s="1"/>
  <c r="F46" s="1"/>
  <c r="P46" s="1"/>
  <c r="B162" s="1"/>
  <c r="E162" s="1"/>
  <c r="G162" s="1"/>
  <c r="C52"/>
  <c r="Q52"/>
  <c r="G167" l="1"/>
  <c r="H167"/>
  <c r="H162"/>
  <c r="D52"/>
  <c r="E52" s="1"/>
  <c r="F52" s="1"/>
  <c r="P52" s="1"/>
  <c r="B168" s="1"/>
  <c r="E168" s="1"/>
  <c r="F47"/>
  <c r="P47" s="1"/>
  <c r="B163" s="1"/>
  <c r="E163" s="1"/>
  <c r="D47"/>
  <c r="E47" s="1"/>
  <c r="G168" l="1"/>
  <c r="H168"/>
  <c r="G163"/>
  <c r="H163"/>
</calcChain>
</file>

<file path=xl/comments1.xml><?xml version="1.0" encoding="utf-8"?>
<comments xmlns="http://schemas.openxmlformats.org/spreadsheetml/2006/main">
  <authors>
    <author>GIGABYTE</author>
  </authors>
  <commentList>
    <comment ref="M32" authorId="0">
      <text>
        <r>
          <rPr>
            <b/>
            <sz val="9"/>
            <color indexed="81"/>
            <rFont val="Tahoma"/>
            <family val="2"/>
          </rPr>
          <t>GIGABYTE:</t>
        </r>
        <r>
          <rPr>
            <sz val="9"/>
            <color indexed="81"/>
            <rFont val="Tahoma"/>
            <family val="2"/>
          </rPr>
          <t xml:space="preserve">
1 SBM = 0,6130 MWH</t>
        </r>
      </text>
    </comment>
    <comment ref="N32" authorId="0">
      <text>
        <r>
          <rPr>
            <b/>
            <sz val="9"/>
            <color indexed="81"/>
            <rFont val="Tahoma"/>
            <family val="2"/>
          </rPr>
          <t>GIGABYTE:</t>
        </r>
        <r>
          <rPr>
            <sz val="9"/>
            <color indexed="81"/>
            <rFont val="Tahoma"/>
            <family val="2"/>
          </rPr>
          <t xml:space="preserve">
fe Ketenagalistrikan jawa madura bali 0,725 kg CO2/KWH</t>
        </r>
      </text>
    </comment>
    <comment ref="W90" authorId="0">
      <text>
        <r>
          <rPr>
            <b/>
            <sz val="9"/>
            <color indexed="81"/>
            <rFont val="Tahoma"/>
            <family val="2"/>
          </rPr>
          <t>GIGABYTE:</t>
        </r>
        <r>
          <rPr>
            <sz val="9"/>
            <color indexed="81"/>
            <rFont val="Tahoma"/>
            <family val="2"/>
          </rPr>
          <t xml:space="preserve">
1 SBM = 0,6130 MWH</t>
        </r>
      </text>
    </comment>
    <comment ref="X90" authorId="0">
      <text>
        <r>
          <rPr>
            <b/>
            <sz val="9"/>
            <color indexed="81"/>
            <rFont val="Tahoma"/>
            <family val="2"/>
          </rPr>
          <t>GIGABYTE:</t>
        </r>
        <r>
          <rPr>
            <sz val="9"/>
            <color indexed="81"/>
            <rFont val="Tahoma"/>
            <family val="2"/>
          </rPr>
          <t xml:space="preserve">
fe Ketenagalistrikan jawa madura bali 0,725 kg CO2/KWH</t>
        </r>
      </text>
    </comment>
    <comment ref="L112" authorId="0">
      <text>
        <r>
          <rPr>
            <b/>
            <sz val="9"/>
            <color indexed="81"/>
            <rFont val="Tahoma"/>
            <family val="2"/>
          </rPr>
          <t>GIGABYTE:</t>
        </r>
        <r>
          <rPr>
            <sz val="9"/>
            <color indexed="81"/>
            <rFont val="Tahoma"/>
            <family val="2"/>
          </rPr>
          <t xml:space="preserve">
</t>
        </r>
      </text>
    </comment>
  </commentList>
</comments>
</file>

<file path=xl/sharedStrings.xml><?xml version="1.0" encoding="utf-8"?>
<sst xmlns="http://schemas.openxmlformats.org/spreadsheetml/2006/main" count="217" uniqueCount="185">
  <si>
    <t>Tahun</t>
  </si>
  <si>
    <t>Kayu Bakar</t>
  </si>
  <si>
    <t xml:space="preserve">Perkiraan Konsumsi Energi Rumah Tangga (SBM) </t>
  </si>
  <si>
    <t>dan Jenis Bahan Bakar Untuk Memasak</t>
  </si>
  <si>
    <t>Solar</t>
  </si>
  <si>
    <t>Minyak Tanah</t>
  </si>
  <si>
    <t>Batubara</t>
  </si>
  <si>
    <t>Tabel 2. Faktor Emisi Produk Bahan Bakar</t>
  </si>
  <si>
    <t>No.</t>
  </si>
  <si>
    <t>Produk</t>
  </si>
  <si>
    <t>1.</t>
  </si>
  <si>
    <t>Bensin</t>
  </si>
  <si>
    <t>2.</t>
  </si>
  <si>
    <t>3.</t>
  </si>
  <si>
    <t>4.</t>
  </si>
  <si>
    <t>5.</t>
  </si>
  <si>
    <t>LPG</t>
  </si>
  <si>
    <t>6.</t>
  </si>
  <si>
    <t>Briket Batubara</t>
  </si>
  <si>
    <t>7.</t>
  </si>
  <si>
    <t>Arang Kayu</t>
  </si>
  <si>
    <t>8.</t>
  </si>
  <si>
    <t>Sumber : Pedoman Inventarisasi Gas Rumah Kaca, IPCC, 2006</t>
  </si>
  <si>
    <t>energy content</t>
  </si>
  <si>
    <t>MJ/l</t>
  </si>
  <si>
    <t>gas / LPG</t>
  </si>
  <si>
    <t>kayu bakar</t>
  </si>
  <si>
    <t xml:space="preserve">solar </t>
  </si>
  <si>
    <t>minyak tanah</t>
  </si>
  <si>
    <t>batubara</t>
  </si>
  <si>
    <t>Contoh perhitungan LPG:</t>
  </si>
  <si>
    <t>FUELa 2020=</t>
  </si>
  <si>
    <t>0,48 TJ</t>
  </si>
  <si>
    <t>EF 2020=</t>
  </si>
  <si>
    <t>484085 l x1 MJ/ l= 484085 MJ</t>
  </si>
  <si>
    <t>0,48 TJ x 63100 kg/TJ=</t>
  </si>
  <si>
    <t>30,55 ton</t>
  </si>
  <si>
    <t>30550 kg=</t>
  </si>
  <si>
    <t>Minyak tanah memiliki potensi emisi karbon 19,6 mg karbon (C) untuk</t>
  </si>
  <si>
    <t>setiap kg minyak tanah yang dibakar atau sekitar 15,68 mg C untuk setiap liter minyak tanah</t>
  </si>
  <si>
    <t>yang digunakan. Potensi emisi karbon dari elpiji hanya 17,2 mg C untuk setiap kg elpiji yang</t>
  </si>
  <si>
    <t>terbakar.</t>
  </si>
  <si>
    <t>1 ton = 1000 kg</t>
  </si>
  <si>
    <t xml:space="preserve">CATATAN </t>
  </si>
  <si>
    <t xml:space="preserve">KONVERSI </t>
  </si>
  <si>
    <t>Satuan Non-SI untuk Energi</t>
  </si>
  <si>
    <t>Simbol</t>
  </si>
  <si>
    <t>Faktor Konversi ke satuan SI</t>
  </si>
  <si>
    <t>Erg</t>
  </si>
  <si>
    <r>
      <t>10-</t>
    </r>
    <r>
      <rPr>
        <vertAlign val="superscript"/>
        <sz val="12"/>
        <color theme="1"/>
        <rFont val="Calibri"/>
        <family val="2"/>
      </rPr>
      <t>7</t>
    </r>
    <r>
      <rPr>
        <sz val="12"/>
        <color theme="1"/>
        <rFont val="Calibri"/>
        <family val="2"/>
      </rPr>
      <t xml:space="preserve"> J</t>
    </r>
  </si>
  <si>
    <t>foot pound gaya</t>
  </si>
  <si>
    <t>ft.lbf</t>
  </si>
  <si>
    <t>1.356 J</t>
  </si>
  <si>
    <t>Kalori</t>
  </si>
  <si>
    <t>kal</t>
  </si>
  <si>
    <t>4.187 J</t>
  </si>
  <si>
    <t>kilogramgaya meter</t>
  </si>
  <si>
    <t>kgf.m</t>
  </si>
  <si>
    <t>9.8 J</t>
  </si>
  <si>
    <t>British thermal unit</t>
  </si>
  <si>
    <t>Btu</t>
  </si>
  <si>
    <r>
      <t>1.055 x 10</t>
    </r>
    <r>
      <rPr>
        <vertAlign val="superscript"/>
        <sz val="12"/>
        <color theme="1"/>
        <rFont val="Calibri"/>
        <family val="2"/>
      </rPr>
      <t>3</t>
    </r>
    <r>
      <rPr>
        <sz val="12"/>
        <color theme="1"/>
        <rFont val="Calibri"/>
        <family val="2"/>
      </rPr>
      <t xml:space="preserve"> J</t>
    </r>
  </si>
  <si>
    <t>horsepower hour (metric)</t>
  </si>
  <si>
    <t>Hp.jam</t>
  </si>
  <si>
    <r>
      <t>2.646 x 10</t>
    </r>
    <r>
      <rPr>
        <vertAlign val="superscript"/>
        <sz val="12"/>
        <color theme="1"/>
        <rFont val="Calibri"/>
        <family val="2"/>
      </rPr>
      <t>6</t>
    </r>
    <r>
      <rPr>
        <sz val="12"/>
        <color theme="1"/>
        <rFont val="Calibri"/>
        <family val="2"/>
      </rPr>
      <t xml:space="preserve"> J</t>
    </r>
  </si>
  <si>
    <t>horsepower hour (GB)</t>
  </si>
  <si>
    <r>
      <t>2.686 x 10</t>
    </r>
    <r>
      <rPr>
        <vertAlign val="superscript"/>
        <sz val="12"/>
        <color theme="1"/>
        <rFont val="Calibri"/>
        <family val="2"/>
      </rPr>
      <t>6</t>
    </r>
    <r>
      <rPr>
        <sz val="12"/>
        <color theme="1"/>
        <rFont val="Calibri"/>
        <family val="2"/>
      </rPr>
      <t xml:space="preserve"> J</t>
    </r>
  </si>
  <si>
    <t>kilowatt jam</t>
  </si>
  <si>
    <t>kWh</t>
  </si>
  <si>
    <r>
      <t>3.60 x 10</t>
    </r>
    <r>
      <rPr>
        <vertAlign val="superscript"/>
        <sz val="12"/>
        <color theme="1"/>
        <rFont val="Calibri"/>
        <family val="2"/>
      </rPr>
      <t>6</t>
    </r>
    <r>
      <rPr>
        <sz val="12"/>
        <color theme="1"/>
        <rFont val="Calibri"/>
        <family val="2"/>
      </rPr>
      <t xml:space="preserve"> J</t>
    </r>
  </si>
  <si>
    <t>setara barrel minyak (sbm)</t>
  </si>
  <si>
    <t>b.o.e.</t>
  </si>
  <si>
    <r>
      <t>6.119 x 10</t>
    </r>
    <r>
      <rPr>
        <vertAlign val="superscript"/>
        <sz val="12"/>
        <color theme="1"/>
        <rFont val="Calibri"/>
        <family val="2"/>
      </rPr>
      <t>9</t>
    </r>
    <r>
      <rPr>
        <sz val="12"/>
        <color theme="1"/>
        <rFont val="Calibri"/>
        <family val="2"/>
      </rPr>
      <t xml:space="preserve"> J</t>
    </r>
  </si>
  <si>
    <t>setara ton kayu</t>
  </si>
  <si>
    <t>-</t>
  </si>
  <si>
    <r>
      <t>9.83 x 10</t>
    </r>
    <r>
      <rPr>
        <vertAlign val="superscript"/>
        <sz val="12"/>
        <color theme="1"/>
        <rFont val="Calibri"/>
        <family val="2"/>
      </rPr>
      <t>9</t>
    </r>
    <r>
      <rPr>
        <sz val="12"/>
        <color theme="1"/>
        <rFont val="Calibri"/>
        <family val="2"/>
      </rPr>
      <t xml:space="preserve"> J</t>
    </r>
  </si>
  <si>
    <t>setara ton batubara (stb)</t>
  </si>
  <si>
    <t>Tce</t>
  </si>
  <si>
    <r>
      <t>29.31 x 10</t>
    </r>
    <r>
      <rPr>
        <vertAlign val="superscript"/>
        <sz val="12"/>
        <color theme="1"/>
        <rFont val="Calibri"/>
        <family val="2"/>
      </rPr>
      <t>9</t>
    </r>
    <r>
      <rPr>
        <sz val="12"/>
        <color theme="1"/>
        <rFont val="Calibri"/>
        <family val="2"/>
      </rPr>
      <t xml:space="preserve"> J</t>
    </r>
  </si>
  <si>
    <t>setara ton minyak (stm)</t>
  </si>
  <si>
    <t>Toe</t>
  </si>
  <si>
    <r>
      <t>41.87 x 10</t>
    </r>
    <r>
      <rPr>
        <vertAlign val="superscript"/>
        <sz val="12"/>
        <color theme="1"/>
        <rFont val="Calibri"/>
        <family val="2"/>
      </rPr>
      <t>9</t>
    </r>
    <r>
      <rPr>
        <sz val="12"/>
        <color theme="1"/>
        <rFont val="Calibri"/>
        <family val="2"/>
      </rPr>
      <t xml:space="preserve"> J</t>
    </r>
  </si>
  <si>
    <t>quad (PBtu)</t>
  </si>
  <si>
    <r>
      <t>1.055 x 10</t>
    </r>
    <r>
      <rPr>
        <vertAlign val="superscript"/>
        <sz val="12"/>
        <color theme="1"/>
        <rFont val="Calibri"/>
        <family val="2"/>
      </rPr>
      <t>18</t>
    </r>
    <r>
      <rPr>
        <sz val="12"/>
        <color theme="1"/>
        <rFont val="Calibri"/>
        <family val="2"/>
      </rPr>
      <t xml:space="preserve"> J</t>
    </r>
  </si>
  <si>
    <t>tera watt year</t>
  </si>
  <si>
    <t>TWy</t>
  </si>
  <si>
    <r>
      <t>31.5 x 10</t>
    </r>
    <r>
      <rPr>
        <vertAlign val="superscript"/>
        <sz val="12"/>
        <color theme="1"/>
        <rFont val="Calibri"/>
        <family val="2"/>
      </rPr>
      <t>18</t>
    </r>
    <r>
      <rPr>
        <sz val="12"/>
        <color theme="1"/>
        <rFont val="Calibri"/>
        <family val="2"/>
      </rPr>
      <t xml:space="preserve"> J</t>
    </r>
  </si>
  <si>
    <t>Satuan Non-SI untuk Daya</t>
  </si>
  <si>
    <t>foot pound per jam</t>
  </si>
  <si>
    <t>ft.lb/jam</t>
  </si>
  <si>
    <r>
      <t>0.377 x 10</t>
    </r>
    <r>
      <rPr>
        <vertAlign val="superscript"/>
        <sz val="12"/>
        <color theme="1"/>
        <rFont val="Calibri"/>
        <family val="2"/>
      </rPr>
      <t>-3</t>
    </r>
    <r>
      <rPr>
        <sz val="12"/>
        <color theme="1"/>
        <rFont val="Calibri"/>
        <family val="2"/>
      </rPr>
      <t xml:space="preserve"> W</t>
    </r>
  </si>
  <si>
    <t>calorie per minute</t>
  </si>
  <si>
    <t>cal/min</t>
  </si>
  <si>
    <r>
      <t>69.8 x 10</t>
    </r>
    <r>
      <rPr>
        <vertAlign val="superscript"/>
        <sz val="12"/>
        <color theme="1"/>
        <rFont val="Calibri"/>
        <family val="2"/>
      </rPr>
      <t>-3</t>
    </r>
    <r>
      <rPr>
        <sz val="12"/>
        <color theme="1"/>
        <rFont val="Calibri"/>
        <family val="2"/>
      </rPr>
      <t xml:space="preserve"> W</t>
    </r>
  </si>
  <si>
    <t>British thermal unit per jam</t>
  </si>
  <si>
    <t>Btu/jam</t>
  </si>
  <si>
    <t>0.293 W</t>
  </si>
  <si>
    <t>British thermal unit per sekon</t>
  </si>
  <si>
    <t>Btu/s</t>
  </si>
  <si>
    <r>
      <t>1.06 x 10</t>
    </r>
    <r>
      <rPr>
        <vertAlign val="superscript"/>
        <sz val="12"/>
        <color theme="1"/>
        <rFont val="Calibri"/>
        <family val="2"/>
      </rPr>
      <t>3</t>
    </r>
    <r>
      <rPr>
        <sz val="12"/>
        <color theme="1"/>
        <rFont val="Calibri"/>
        <family val="2"/>
      </rPr>
      <t xml:space="preserve"> W</t>
    </r>
  </si>
  <si>
    <t>kilokalori per jam</t>
  </si>
  <si>
    <t>kcal/jam</t>
  </si>
  <si>
    <t>1.163 W</t>
  </si>
  <si>
    <t>foot poundgaya per sekon</t>
  </si>
  <si>
    <t>ft.lbf/s</t>
  </si>
  <si>
    <t>1.356 W</t>
  </si>
  <si>
    <t>calorie per sekon</t>
  </si>
  <si>
    <t>cal/s</t>
  </si>
  <si>
    <t>4.19 W</t>
  </si>
  <si>
    <t>kilogramgaya meter per sekon</t>
  </si>
  <si>
    <t>kgf.m/s</t>
  </si>
  <si>
    <t>9.8 W</t>
  </si>
  <si>
    <t>horsepower (metric)</t>
  </si>
  <si>
    <t>hp</t>
  </si>
  <si>
    <t>735.49 W</t>
  </si>
  <si>
    <t>horsepower (Internasional)</t>
  </si>
  <si>
    <t>746 W</t>
  </si>
  <si>
    <t>EMISI CO2(kg)</t>
  </si>
  <si>
    <t>konversi SBM ke JOULE (j)</t>
  </si>
  <si>
    <t xml:space="preserve">GAS </t>
  </si>
  <si>
    <t>konsumsi minyak tanah (SBM)</t>
  </si>
  <si>
    <t>konsumsi Gas/LPG (SBM)</t>
  </si>
  <si>
    <t>1 SBM (1 BOE) = 6,119 x 10^9 Joule</t>
  </si>
  <si>
    <t>SOLAR</t>
  </si>
  <si>
    <t>MINYAK TANAH</t>
  </si>
  <si>
    <t>BATU BARA</t>
  </si>
  <si>
    <t>Konsumsi Solar (SBM)</t>
  </si>
  <si>
    <t>Konsuksi Minyak Tanah (SBM)</t>
  </si>
  <si>
    <t>Konsumsi Batubara (SBM)</t>
  </si>
  <si>
    <t>Minyak tanah</t>
  </si>
  <si>
    <t>faktor emisi belum ketemu, diasumsikan = minyak tanah dulu</t>
  </si>
  <si>
    <t>faktor emisi belum ketemu, diasumsikan = LPG dulu</t>
  </si>
  <si>
    <t>Konsumsi LPG (SBM)</t>
  </si>
  <si>
    <t>faktor emisi belum ketemu, diasumsikan = minyak tanah  dulu</t>
  </si>
  <si>
    <t xml:space="preserve">Sumber data : </t>
  </si>
  <si>
    <t xml:space="preserve"> LAPORAN AKHIR PERENCANAAN ENERGI DAERAH, Pusat Data an Informasi Dept ESDM dan PT Daya Makara UI, 2009 </t>
  </si>
  <si>
    <t>Perkiraan Konsumsi Energi Kendaraan Bermotor</t>
  </si>
  <si>
    <t>Konsumsi Energi Komersial (ribu SBM) dan Jenis Bahan Bakar 2003-2005</t>
  </si>
  <si>
    <t>total</t>
  </si>
  <si>
    <t>Komersial</t>
  </si>
  <si>
    <t>Listrik</t>
  </si>
  <si>
    <t>Konsumsi Listrik (SBM)</t>
  </si>
  <si>
    <t>1 SBM =</t>
  </si>
  <si>
    <t>LISTRIK</t>
  </si>
  <si>
    <t>EMISI CO2 (Ribu ton)</t>
  </si>
  <si>
    <t>konversi SBM ke MWH</t>
  </si>
  <si>
    <t xml:space="preserve">Konversi SBM ke KE TERA JOLUE (TJ) </t>
  </si>
  <si>
    <t>EMISI CO2dari konsumsi bensin (ribu ton)</t>
  </si>
  <si>
    <t>EMISI CO2dari konsumsi solar (ribu ton)</t>
  </si>
  <si>
    <t>EMISI CO2dari konsumsi solar (kg)</t>
  </si>
  <si>
    <t>EMISI CO2dari konsumsi bensin (kg)</t>
  </si>
  <si>
    <t xml:space="preserve">konversi SBM KE TERA JOLUE (TJ) </t>
  </si>
  <si>
    <t>REKAPITULASI</t>
  </si>
  <si>
    <t>TAHUN</t>
  </si>
  <si>
    <t>rumah tangga</t>
  </si>
  <si>
    <t>komersial</t>
  </si>
  <si>
    <t>TOTAL</t>
  </si>
  <si>
    <t>EMISI GAS RUMAH KACA (Ribu ton CO2e) </t>
  </si>
  <si>
    <t>Transportasi</t>
  </si>
  <si>
    <t>Gabungan sektor Pengadaan &amp; Penggunan Energi (RT &amp; komersial)</t>
  </si>
  <si>
    <t>total kebutuhan energi (SBM)</t>
  </si>
  <si>
    <t>CH4</t>
  </si>
  <si>
    <t>N2O</t>
  </si>
  <si>
    <t>Faktor Emisi (Kg/TJ)</t>
  </si>
  <si>
    <t xml:space="preserve">CO2 </t>
  </si>
  <si>
    <t>EMISI CO2 eq dari konsumsi gas RT(kg)</t>
  </si>
  <si>
    <t>EMISI CO2 eq  dari konsumsi gas RT(ribu ton)</t>
  </si>
  <si>
    <t>EMISI CO2 eq  dari konsumsi minyak tanah RT(ribu ton)</t>
  </si>
  <si>
    <t>EMISI CO2 eq konsumsi minyak tanah RT(kg)</t>
  </si>
  <si>
    <t>EMISI CO2 eq  dari konsumsi listrik(Ribu ton)</t>
  </si>
  <si>
    <t>Total Emisi CO2 eq Rumah Tangga (Ribu ton)</t>
  </si>
  <si>
    <t>EMISI CO2 eq(kg)</t>
  </si>
  <si>
    <t>EMISI CO2 eq (Ribu ton)</t>
  </si>
  <si>
    <t>EMISI CO2qe (kg)</t>
  </si>
  <si>
    <t>EMISI CO2qe (Ribu ton)</t>
  </si>
  <si>
    <t>EMISI CO2eq (Ribu ton)</t>
  </si>
  <si>
    <t>Total emisi CO2 eq dari Energi  komersial (Ribu ton)</t>
  </si>
  <si>
    <t>Gabungan sektor Pengadaan &amp; Penggunan Energi (RT &amp; komersial) dan Transportasi</t>
  </si>
  <si>
    <t>Total Konsumsi Energi  komersial (SBM)</t>
  </si>
  <si>
    <t>konsumsi Bensin  (SBM)</t>
  </si>
  <si>
    <t>konsumsi Solar (SBM)</t>
  </si>
  <si>
    <t>Total Emisi CO2 eq  Kendaraan(ribu ton)</t>
  </si>
  <si>
    <t>Total Kebutuhan energi utk Kendaraan(SBM)</t>
  </si>
  <si>
    <t>Emisi Gabungan sektor Pengadaan &amp; Penggunan Energi (RT &amp; komersial)-satuan ton</t>
  </si>
  <si>
    <t>Emisi  Transportasi (satuan ton)</t>
  </si>
</sst>
</file>

<file path=xl/styles.xml><?xml version="1.0" encoding="utf-8"?>
<styleSheet xmlns="http://schemas.openxmlformats.org/spreadsheetml/2006/main">
  <fonts count="43">
    <font>
      <sz val="11"/>
      <color theme="1"/>
      <name val="Calibri"/>
      <family val="2"/>
      <charset val="1"/>
      <scheme val="minor"/>
    </font>
    <font>
      <sz val="11"/>
      <color theme="1"/>
      <name val="Calibri"/>
      <family val="2"/>
      <scheme val="minor"/>
    </font>
    <font>
      <b/>
      <sz val="11"/>
      <color theme="1"/>
      <name val="Calibri"/>
      <family val="2"/>
      <scheme val="minor"/>
    </font>
    <font>
      <sz val="8"/>
      <color theme="1"/>
      <name val="Calibri"/>
      <family val="2"/>
      <scheme val="minor"/>
    </font>
    <font>
      <b/>
      <sz val="12"/>
      <color theme="1"/>
      <name val="Cambria"/>
      <family val="1"/>
    </font>
    <font>
      <sz val="11"/>
      <color rgb="FFFF0000"/>
      <name val="Calibri"/>
      <family val="2"/>
      <scheme val="minor"/>
    </font>
    <font>
      <sz val="11"/>
      <name val="Calibri"/>
      <family val="2"/>
      <scheme val="minor"/>
    </font>
    <font>
      <b/>
      <sz val="11"/>
      <name val="Calibri"/>
      <family val="2"/>
      <scheme val="minor"/>
    </font>
    <font>
      <b/>
      <sz val="11"/>
      <color rgb="FFFF0000"/>
      <name val="Calibri"/>
      <family val="2"/>
      <scheme val="minor"/>
    </font>
    <font>
      <sz val="11"/>
      <color rgb="FFFF0000"/>
      <name val="Calibri"/>
      <family val="2"/>
      <charset val="1"/>
      <scheme val="minor"/>
    </font>
    <font>
      <sz val="9"/>
      <color indexed="81"/>
      <name val="Tahoma"/>
      <family val="2"/>
    </font>
    <font>
      <b/>
      <sz val="9"/>
      <color indexed="81"/>
      <name val="Tahoma"/>
      <family val="2"/>
    </font>
    <font>
      <b/>
      <sz val="11"/>
      <color theme="3"/>
      <name val="Calibri"/>
      <family val="2"/>
      <scheme val="minor"/>
    </font>
    <font>
      <sz val="11"/>
      <color theme="3"/>
      <name val="Calibri"/>
      <family val="2"/>
      <scheme val="minor"/>
    </font>
    <font>
      <b/>
      <sz val="12"/>
      <color theme="1"/>
      <name val="Calibri"/>
      <family val="2"/>
    </font>
    <font>
      <sz val="12"/>
      <color theme="1"/>
      <name val="Calibri"/>
      <family val="2"/>
    </font>
    <font>
      <vertAlign val="superscript"/>
      <sz val="12"/>
      <color theme="1"/>
      <name val="Calibri"/>
      <family val="2"/>
    </font>
    <font>
      <sz val="7"/>
      <color rgb="FFFF0000"/>
      <name val="Calibri"/>
      <family val="2"/>
      <scheme val="minor"/>
    </font>
    <font>
      <sz val="11"/>
      <color rgb="FF000000"/>
      <name val="Calibri"/>
      <family val="2"/>
      <scheme val="minor"/>
    </font>
    <font>
      <sz val="11"/>
      <name val="Calibri"/>
      <family val="2"/>
      <charset val="1"/>
      <scheme val="minor"/>
    </font>
    <font>
      <b/>
      <sz val="12"/>
      <color theme="1"/>
      <name val="Calibri"/>
      <family val="2"/>
      <scheme val="minor"/>
    </font>
    <font>
      <sz val="10"/>
      <color rgb="FF000000"/>
      <name val="Calibri"/>
      <family val="2"/>
      <scheme val="minor"/>
    </font>
    <font>
      <b/>
      <sz val="11"/>
      <color theme="3" tint="-0.249977111117893"/>
      <name val="Calibri"/>
      <family val="2"/>
      <scheme val="minor"/>
    </font>
    <font>
      <sz val="11"/>
      <color theme="3" tint="-0.249977111117893"/>
      <name val="Calibri"/>
      <family val="2"/>
      <scheme val="minor"/>
    </font>
    <font>
      <b/>
      <sz val="11"/>
      <color theme="0"/>
      <name val="Calibri"/>
      <family val="2"/>
      <charset val="1"/>
      <scheme val="minor"/>
    </font>
    <font>
      <sz val="11"/>
      <color theme="0"/>
      <name val="Calibri"/>
      <family val="2"/>
      <charset val="1"/>
      <scheme val="minor"/>
    </font>
    <font>
      <sz val="12"/>
      <color theme="3" tint="-0.249977111117893"/>
      <name val="Cambria"/>
      <family val="1"/>
    </font>
    <font>
      <sz val="11"/>
      <color theme="3" tint="-0.249977111117893"/>
      <name val="Calibri"/>
      <family val="2"/>
      <charset val="1"/>
      <scheme val="minor"/>
    </font>
    <font>
      <b/>
      <sz val="20"/>
      <color theme="1"/>
      <name val="Cambria"/>
      <family val="1"/>
    </font>
    <font>
      <b/>
      <sz val="16"/>
      <color theme="1"/>
      <name val="Calibri"/>
      <family val="2"/>
      <scheme val="minor"/>
    </font>
    <font>
      <b/>
      <sz val="11"/>
      <color rgb="FF000000"/>
      <name val="Calibri"/>
      <family val="2"/>
      <scheme val="minor"/>
    </font>
    <font>
      <sz val="8"/>
      <color theme="0"/>
      <name val="Calibri"/>
      <family val="2"/>
      <scheme val="minor"/>
    </font>
    <font>
      <sz val="11"/>
      <color theme="0"/>
      <name val="Calibri"/>
      <family val="2"/>
      <scheme val="minor"/>
    </font>
    <font>
      <sz val="10"/>
      <color theme="0"/>
      <name val="Calibri"/>
      <family val="2"/>
      <scheme val="minor"/>
    </font>
    <font>
      <sz val="11"/>
      <color theme="9" tint="-0.249977111117893"/>
      <name val="Calibri"/>
      <family val="2"/>
      <charset val="1"/>
      <scheme val="minor"/>
    </font>
    <font>
      <b/>
      <sz val="11"/>
      <name val="Calibri"/>
      <family val="2"/>
      <charset val="1"/>
      <scheme val="minor"/>
    </font>
    <font>
      <sz val="12"/>
      <color theme="0"/>
      <name val="Calibri"/>
      <family val="2"/>
      <scheme val="minor"/>
    </font>
    <font>
      <b/>
      <sz val="12"/>
      <color theme="0"/>
      <name val="Calibri"/>
      <family val="2"/>
      <scheme val="minor"/>
    </font>
    <font>
      <sz val="12"/>
      <color theme="3"/>
      <name val="Calibri"/>
      <family val="2"/>
      <scheme val="minor"/>
    </font>
    <font>
      <b/>
      <sz val="12"/>
      <color rgb="FFFF0000"/>
      <name val="Calibri"/>
      <family val="2"/>
      <scheme val="minor"/>
    </font>
    <font>
      <sz val="12"/>
      <name val="Calibri"/>
      <family val="2"/>
      <scheme val="minor"/>
    </font>
    <font>
      <sz val="12"/>
      <color theme="1"/>
      <name val="Calibri"/>
      <family val="2"/>
      <scheme val="minor"/>
    </font>
    <font>
      <b/>
      <sz val="11"/>
      <color theme="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BFBFBF"/>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rgb="FFDAEEF3"/>
        <bgColor indexed="64"/>
      </patternFill>
    </fill>
    <fill>
      <patternFill patternType="solid">
        <fgColor theme="3" tint="-0.249977111117893"/>
        <bgColor indexed="64"/>
      </patternFill>
    </fill>
    <fill>
      <patternFill patternType="solid">
        <fgColor rgb="FF002060"/>
        <bgColor indexed="64"/>
      </patternFill>
    </fill>
    <fill>
      <patternFill patternType="solid">
        <fgColor rgb="FF7030A0"/>
        <bgColor indexed="64"/>
      </patternFill>
    </fill>
    <fill>
      <patternFill patternType="solid">
        <fgColor theme="9" tint="-0.49998474074526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double">
        <color rgb="FF808080"/>
      </left>
      <right style="double">
        <color rgb="FF808080"/>
      </right>
      <top style="double">
        <color rgb="FF808080"/>
      </top>
      <bottom style="double">
        <color rgb="FF808080"/>
      </bottom>
      <diagonal/>
    </border>
    <border>
      <left/>
      <right style="double">
        <color rgb="FF808080"/>
      </right>
      <top style="double">
        <color rgb="FF808080"/>
      </top>
      <bottom style="double">
        <color rgb="FF808080"/>
      </bottom>
      <diagonal/>
    </border>
    <border>
      <left style="double">
        <color rgb="FF808080"/>
      </left>
      <right style="double">
        <color rgb="FF808080"/>
      </right>
      <top/>
      <bottom style="double">
        <color rgb="FF808080"/>
      </bottom>
      <diagonal/>
    </border>
    <border>
      <left/>
      <right style="double">
        <color rgb="FF808080"/>
      </right>
      <top/>
      <bottom style="double">
        <color rgb="FF808080"/>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indexed="64"/>
      </left>
      <right/>
      <top/>
      <bottom style="thin">
        <color indexed="64"/>
      </bottom>
      <diagonal/>
    </border>
  </borders>
  <cellStyleXfs count="1">
    <xf numFmtId="0" fontId="0" fillId="0" borderId="0"/>
  </cellStyleXfs>
  <cellXfs count="206">
    <xf numFmtId="0" fontId="0" fillId="0" borderId="0" xfId="0"/>
    <xf numFmtId="0" fontId="4" fillId="0" borderId="0" xfId="0" applyFont="1" applyAlignment="1">
      <alignment horizontal="left"/>
    </xf>
    <xf numFmtId="0" fontId="0" fillId="0" borderId="0" xfId="0" applyAlignment="1">
      <alignment horizontal="left"/>
    </xf>
    <xf numFmtId="0" fontId="0" fillId="0" borderId="1" xfId="0" applyBorder="1"/>
    <xf numFmtId="0" fontId="0" fillId="0" borderId="0" xfId="0" applyBorder="1"/>
    <xf numFmtId="0" fontId="0" fillId="0" borderId="0" xfId="0" applyFill="1" applyBorder="1"/>
    <xf numFmtId="0" fontId="1" fillId="0" borderId="0"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3" fontId="0" fillId="0" borderId="1" xfId="0" applyNumberFormat="1" applyBorder="1"/>
    <xf numFmtId="0" fontId="2" fillId="0" borderId="1" xfId="0" applyFont="1" applyBorder="1" applyAlignment="1">
      <alignment horizontal="center" vertical="center" wrapText="1"/>
    </xf>
    <xf numFmtId="0" fontId="0" fillId="0" borderId="0" xfId="0" applyBorder="1" applyAlignment="1">
      <alignment horizontal="left"/>
    </xf>
    <xf numFmtId="0" fontId="7" fillId="0" borderId="0" xfId="0" applyFont="1" applyBorder="1" applyAlignment="1">
      <alignment horizontal="center" vertical="center" wrapText="1"/>
    </xf>
    <xf numFmtId="1" fontId="0" fillId="0" borderId="1" xfId="0" applyNumberFormat="1" applyBorder="1"/>
    <xf numFmtId="3" fontId="1" fillId="0" borderId="0" xfId="0" applyNumberFormat="1" applyFont="1" applyBorder="1" applyAlignment="1">
      <alignment vertical="top" wrapText="1"/>
    </xf>
    <xf numFmtId="1" fontId="0" fillId="0" borderId="0" xfId="0" applyNumberFormat="1" applyBorder="1"/>
    <xf numFmtId="1" fontId="2" fillId="0" borderId="1" xfId="0" applyNumberFormat="1" applyFont="1" applyBorder="1" applyAlignment="1">
      <alignment horizontal="center" vertical="center"/>
    </xf>
    <xf numFmtId="2" fontId="0" fillId="0" borderId="1" xfId="0" applyNumberFormat="1" applyBorder="1"/>
    <xf numFmtId="0" fontId="2" fillId="2" borderId="0" xfId="0" applyFont="1" applyFill="1"/>
    <xf numFmtId="0" fontId="2" fillId="2" borderId="0" xfId="0" applyFont="1" applyFill="1" applyBorder="1"/>
    <xf numFmtId="2" fontId="0" fillId="0" borderId="0" xfId="0" applyNumberFormat="1" applyBorder="1"/>
    <xf numFmtId="0" fontId="14" fillId="3" borderId="9" xfId="0" applyFont="1" applyFill="1" applyBorder="1" applyAlignment="1">
      <alignment horizontal="center" wrapText="1"/>
    </xf>
    <xf numFmtId="0" fontId="14" fillId="3" borderId="10" xfId="0" applyFont="1" applyFill="1" applyBorder="1" applyAlignment="1">
      <alignment horizontal="center" wrapText="1"/>
    </xf>
    <xf numFmtId="0" fontId="15" fillId="0" borderId="11" xfId="0" applyFont="1" applyBorder="1" applyAlignment="1">
      <alignment horizontal="left" vertical="top" wrapText="1" indent="1"/>
    </xf>
    <xf numFmtId="0" fontId="15" fillId="0" borderId="12" xfId="0" applyFont="1" applyBorder="1" applyAlignment="1">
      <alignment horizontal="left" vertical="top" wrapText="1" indent="1"/>
    </xf>
    <xf numFmtId="0" fontId="14" fillId="3" borderId="11" xfId="0" applyFont="1" applyFill="1" applyBorder="1" applyAlignment="1">
      <alignment horizontal="center" wrapText="1"/>
    </xf>
    <xf numFmtId="0" fontId="14" fillId="3" borderId="12" xfId="0" applyFont="1" applyFill="1" applyBorder="1" applyAlignment="1">
      <alignment horizontal="center" wrapText="1"/>
    </xf>
    <xf numFmtId="0" fontId="15" fillId="2" borderId="11" xfId="0" applyFont="1" applyFill="1" applyBorder="1" applyAlignment="1">
      <alignment horizontal="left" vertical="top" wrapText="1" indent="1"/>
    </xf>
    <xf numFmtId="0" fontId="15" fillId="2" borderId="12" xfId="0" applyFont="1" applyFill="1" applyBorder="1" applyAlignment="1">
      <alignment horizontal="left" vertical="top" wrapText="1" indent="1"/>
    </xf>
    <xf numFmtId="0" fontId="4" fillId="0" borderId="1" xfId="0" applyFont="1" applyBorder="1" applyAlignment="1">
      <alignment horizontal="left"/>
    </xf>
    <xf numFmtId="2" fontId="8" fillId="0" borderId="0" xfId="0" applyNumberFormat="1" applyFont="1" applyBorder="1" applyAlignment="1">
      <alignment horizontal="center" vertical="center" wrapText="1"/>
    </xf>
    <xf numFmtId="0" fontId="0" fillId="0" borderId="14" xfId="0" applyBorder="1"/>
    <xf numFmtId="0" fontId="0" fillId="0" borderId="13" xfId="0" applyBorder="1"/>
    <xf numFmtId="0" fontId="0" fillId="0" borderId="15" xfId="0" applyBorder="1"/>
    <xf numFmtId="1" fontId="6" fillId="0" borderId="0" xfId="0" applyNumberFormat="1" applyFont="1" applyBorder="1" applyAlignment="1">
      <alignment horizontal="right" wrapText="1"/>
    </xf>
    <xf numFmtId="3" fontId="3" fillId="0" borderId="0" xfId="0" applyNumberFormat="1" applyFont="1" applyBorder="1" applyAlignment="1">
      <alignment vertical="top" wrapText="1"/>
    </xf>
    <xf numFmtId="0" fontId="3" fillId="0" borderId="0" xfId="0" applyFont="1"/>
    <xf numFmtId="1" fontId="3" fillId="0" borderId="0" xfId="0" applyNumberFormat="1" applyFont="1" applyBorder="1"/>
    <xf numFmtId="3" fontId="3" fillId="0" borderId="1" xfId="0" applyNumberFormat="1" applyFont="1" applyBorder="1"/>
    <xf numFmtId="3" fontId="13" fillId="0" borderId="0" xfId="0" applyNumberFormat="1" applyFont="1" applyBorder="1" applyAlignment="1">
      <alignment vertical="top" wrapText="1"/>
    </xf>
    <xf numFmtId="2" fontId="17" fillId="0" borderId="0" xfId="0" applyNumberFormat="1" applyFont="1" applyBorder="1" applyAlignment="1">
      <alignment horizontal="left" vertical="top" wrapText="1"/>
    </xf>
    <xf numFmtId="3" fontId="6" fillId="0" borderId="1" xfId="0" applyNumberFormat="1" applyFont="1" applyBorder="1" applyAlignment="1">
      <alignment horizontal="center" vertical="top" wrapText="1"/>
    </xf>
    <xf numFmtId="3" fontId="6" fillId="0" borderId="1" xfId="0" applyNumberFormat="1" applyFont="1" applyBorder="1" applyAlignment="1">
      <alignment horizontal="center" vertical="center" wrapText="1"/>
    </xf>
    <xf numFmtId="4" fontId="8" fillId="0" borderId="1" xfId="0" applyNumberFormat="1" applyFont="1" applyBorder="1" applyAlignment="1">
      <alignment horizontal="center" vertical="center" wrapText="1"/>
    </xf>
    <xf numFmtId="2" fontId="5" fillId="0" borderId="0" xfId="0" applyNumberFormat="1" applyFont="1" applyBorder="1" applyAlignment="1">
      <alignment horizontal="left" vertical="top" wrapText="1"/>
    </xf>
    <xf numFmtId="0" fontId="20" fillId="0" borderId="0" xfId="0" applyFont="1" applyAlignment="1"/>
    <xf numFmtId="0" fontId="0" fillId="0" borderId="0" xfId="0" applyBorder="1" applyAlignment="1">
      <alignment horizontal="center"/>
    </xf>
    <xf numFmtId="0" fontId="0" fillId="0" borderId="0" xfId="0" applyFill="1"/>
    <xf numFmtId="4" fontId="8" fillId="0" borderId="0" xfId="0" applyNumberFormat="1" applyFont="1" applyBorder="1" applyAlignment="1">
      <alignment horizontal="center" vertical="center" wrapText="1"/>
    </xf>
    <xf numFmtId="9" fontId="0" fillId="0" borderId="0" xfId="0" applyNumberFormat="1"/>
    <xf numFmtId="0" fontId="7" fillId="0" borderId="5" xfId="0" applyFont="1" applyBorder="1" applyAlignment="1">
      <alignment horizontal="center" vertical="center" wrapText="1"/>
    </xf>
    <xf numFmtId="0" fontId="8" fillId="0" borderId="5" xfId="0" applyFont="1" applyBorder="1" applyAlignment="1">
      <alignment horizontal="center" vertical="center" wrapText="1"/>
    </xf>
    <xf numFmtId="0" fontId="8" fillId="0" borderId="5" xfId="0" applyFont="1" applyBorder="1" applyAlignment="1">
      <alignment horizontal="center" vertical="center" wrapText="1"/>
    </xf>
    <xf numFmtId="0" fontId="0" fillId="0" borderId="1" xfId="0" applyFill="1" applyBorder="1" applyAlignment="1">
      <alignment horizontal="center"/>
    </xf>
    <xf numFmtId="0" fontId="0" fillId="0" borderId="1" xfId="0" applyBorder="1" applyAlignment="1">
      <alignment horizontal="center"/>
    </xf>
    <xf numFmtId="0" fontId="7" fillId="0" borderId="4" xfId="0" applyFont="1" applyBorder="1" applyAlignment="1">
      <alignment horizontal="center" vertical="center" wrapText="1"/>
    </xf>
    <xf numFmtId="4" fontId="7" fillId="0" borderId="0" xfId="0" applyNumberFormat="1" applyFont="1" applyBorder="1" applyAlignment="1">
      <alignment horizontal="center" vertical="center" wrapText="1"/>
    </xf>
    <xf numFmtId="4" fontId="5" fillId="0" borderId="0" xfId="0" applyNumberFormat="1" applyFont="1" applyBorder="1" applyAlignment="1">
      <alignment vertical="top" wrapText="1"/>
    </xf>
    <xf numFmtId="4" fontId="5" fillId="0" borderId="0" xfId="0" applyNumberFormat="1" applyFont="1" applyBorder="1" applyAlignment="1">
      <alignment horizontal="center" vertical="center" wrapText="1"/>
    </xf>
    <xf numFmtId="4" fontId="6" fillId="0" borderId="0" xfId="0" applyNumberFormat="1" applyFont="1" applyBorder="1" applyAlignment="1">
      <alignment horizontal="center" vertical="center" wrapText="1"/>
    </xf>
    <xf numFmtId="0" fontId="0" fillId="0" borderId="0" xfId="0" applyAlignment="1">
      <alignment horizontal="center"/>
    </xf>
    <xf numFmtId="0" fontId="12" fillId="0" borderId="5" xfId="0" applyFont="1" applyBorder="1" applyAlignment="1">
      <alignment horizontal="center" vertical="center" wrapText="1"/>
    </xf>
    <xf numFmtId="4" fontId="6" fillId="0" borderId="5" xfId="0" applyNumberFormat="1" applyFont="1" applyBorder="1" applyAlignment="1">
      <alignment horizontal="center" vertical="center" wrapText="1"/>
    </xf>
    <xf numFmtId="4" fontId="8" fillId="0" borderId="5" xfId="0" applyNumberFormat="1" applyFont="1" applyBorder="1" applyAlignment="1">
      <alignment horizontal="center" vertical="center" wrapText="1"/>
    </xf>
    <xf numFmtId="0" fontId="18" fillId="0" borderId="1" xfId="0" applyFont="1" applyBorder="1" applyAlignment="1">
      <alignment horizontal="center" wrapText="1"/>
    </xf>
    <xf numFmtId="0" fontId="1" fillId="0" borderId="1" xfId="0" applyFont="1" applyBorder="1" applyAlignment="1">
      <alignment horizontal="center" vertical="top" wrapText="1"/>
    </xf>
    <xf numFmtId="4" fontId="22" fillId="0" borderId="1" xfId="0" applyNumberFormat="1" applyFont="1" applyBorder="1" applyAlignment="1">
      <alignment horizontal="center" vertical="center" wrapText="1"/>
    </xf>
    <xf numFmtId="3" fontId="5" fillId="0" borderId="1" xfId="0" applyNumberFormat="1" applyFont="1" applyBorder="1" applyAlignment="1">
      <alignment vertical="top" wrapText="1"/>
    </xf>
    <xf numFmtId="3" fontId="5" fillId="0" borderId="1" xfId="0" applyNumberFormat="1" applyFont="1" applyBorder="1" applyAlignment="1">
      <alignment horizontal="center" vertical="center" wrapText="1"/>
    </xf>
    <xf numFmtId="3" fontId="23" fillId="0" borderId="1" xfId="0" applyNumberFormat="1" applyFont="1" applyBorder="1" applyAlignment="1">
      <alignment horizontal="center" vertical="center" wrapText="1"/>
    </xf>
    <xf numFmtId="4" fontId="7" fillId="6" borderId="5" xfId="0" applyNumberFormat="1" applyFont="1" applyFill="1" applyBorder="1" applyAlignment="1">
      <alignment horizontal="center" vertical="center" wrapText="1"/>
    </xf>
    <xf numFmtId="4" fontId="7" fillId="7" borderId="5" xfId="0" applyNumberFormat="1" applyFont="1" applyFill="1" applyBorder="1" applyAlignment="1">
      <alignment horizontal="center" vertical="center" wrapText="1"/>
    </xf>
    <xf numFmtId="0" fontId="7" fillId="6" borderId="5" xfId="0" applyFont="1" applyFill="1" applyBorder="1" applyAlignment="1">
      <alignment horizontal="center" vertical="center" wrapText="1"/>
    </xf>
    <xf numFmtId="3" fontId="18" fillId="6" borderId="1" xfId="0" applyNumberFormat="1" applyFont="1" applyFill="1" applyBorder="1" applyAlignment="1">
      <alignment horizontal="center"/>
    </xf>
    <xf numFmtId="0" fontId="7" fillId="7" borderId="5" xfId="0" applyFont="1" applyFill="1" applyBorder="1" applyAlignment="1">
      <alignment horizontal="center" vertical="center" wrapText="1"/>
    </xf>
    <xf numFmtId="3" fontId="18" fillId="7" borderId="1" xfId="0" applyNumberFormat="1" applyFont="1" applyFill="1" applyBorder="1" applyAlignment="1">
      <alignment horizontal="center"/>
    </xf>
    <xf numFmtId="4" fontId="7" fillId="5" borderId="5" xfId="0" applyNumberFormat="1" applyFont="1" applyFill="1" applyBorder="1" applyAlignment="1">
      <alignment horizontal="center" vertical="center" wrapText="1"/>
    </xf>
    <xf numFmtId="0" fontId="7" fillId="8" borderId="5" xfId="0" applyFont="1" applyFill="1" applyBorder="1" applyAlignment="1">
      <alignment horizontal="center" vertical="center" wrapText="1"/>
    </xf>
    <xf numFmtId="3" fontId="18" fillId="8" borderId="16" xfId="0" applyNumberFormat="1" applyFont="1" applyFill="1" applyBorder="1" applyAlignment="1">
      <alignment horizontal="center"/>
    </xf>
    <xf numFmtId="4" fontId="7" fillId="8" borderId="5" xfId="0" applyNumberFormat="1" applyFont="1" applyFill="1" applyBorder="1" applyAlignment="1">
      <alignment horizontal="center" vertical="center" wrapText="1"/>
    </xf>
    <xf numFmtId="0" fontId="7" fillId="4" borderId="5" xfId="0" applyFont="1" applyFill="1" applyBorder="1" applyAlignment="1">
      <alignment horizontal="center" vertical="center" wrapText="1"/>
    </xf>
    <xf numFmtId="3" fontId="18" fillId="5" borderId="1" xfId="0" applyNumberFormat="1" applyFont="1" applyFill="1" applyBorder="1" applyAlignment="1">
      <alignment horizontal="center" wrapText="1"/>
    </xf>
    <xf numFmtId="3" fontId="0" fillId="7" borderId="1" xfId="0" applyNumberFormat="1" applyFill="1" applyBorder="1" applyAlignment="1">
      <alignment horizontal="center"/>
    </xf>
    <xf numFmtId="3" fontId="7" fillId="7" borderId="1" xfId="0" applyNumberFormat="1" applyFont="1" applyFill="1" applyBorder="1" applyAlignment="1">
      <alignment horizontal="center" vertical="center" wrapText="1"/>
    </xf>
    <xf numFmtId="3" fontId="0" fillId="6" borderId="1" xfId="0" applyNumberFormat="1" applyFill="1" applyBorder="1" applyAlignment="1">
      <alignment horizontal="center"/>
    </xf>
    <xf numFmtId="3" fontId="7" fillId="6" borderId="1" xfId="0" applyNumberFormat="1" applyFont="1" applyFill="1" applyBorder="1" applyAlignment="1">
      <alignment horizontal="center" vertical="center" wrapText="1"/>
    </xf>
    <xf numFmtId="3" fontId="0" fillId="8" borderId="1" xfId="0" applyNumberFormat="1" applyFill="1" applyBorder="1" applyAlignment="1">
      <alignment horizontal="center"/>
    </xf>
    <xf numFmtId="3" fontId="7" fillId="8" borderId="1" xfId="0" applyNumberFormat="1" applyFont="1" applyFill="1" applyBorder="1" applyAlignment="1">
      <alignment horizontal="center" vertical="center" wrapText="1"/>
    </xf>
    <xf numFmtId="3" fontId="0" fillId="4" borderId="1" xfId="0" applyNumberFormat="1" applyFill="1" applyBorder="1" applyAlignment="1">
      <alignment horizontal="center"/>
    </xf>
    <xf numFmtId="3" fontId="21" fillId="5" borderId="1" xfId="0" applyNumberFormat="1" applyFont="1" applyFill="1" applyBorder="1" applyAlignment="1">
      <alignment horizontal="center" wrapText="1"/>
    </xf>
    <xf numFmtId="3" fontId="5" fillId="0" borderId="1" xfId="0" applyNumberFormat="1" applyFont="1" applyBorder="1" applyAlignment="1">
      <alignment horizontal="center" vertical="top" wrapText="1"/>
    </xf>
    <xf numFmtId="3" fontId="1" fillId="7" borderId="1" xfId="0" applyNumberFormat="1" applyFont="1" applyFill="1" applyBorder="1" applyAlignment="1">
      <alignment horizontal="center" vertical="top" wrapText="1"/>
    </xf>
    <xf numFmtId="3" fontId="1" fillId="0" borderId="1" xfId="0" applyNumberFormat="1" applyFont="1" applyBorder="1" applyAlignment="1">
      <alignment horizontal="center" vertical="top" wrapText="1"/>
    </xf>
    <xf numFmtId="3" fontId="1" fillId="6" borderId="1" xfId="0" applyNumberFormat="1" applyFont="1" applyFill="1" applyBorder="1" applyAlignment="1">
      <alignment horizontal="center" vertical="top" wrapText="1"/>
    </xf>
    <xf numFmtId="3" fontId="1" fillId="8" borderId="1" xfId="0" applyNumberFormat="1" applyFont="1" applyFill="1" applyBorder="1" applyAlignment="1">
      <alignment horizontal="center" vertical="top" wrapText="1"/>
    </xf>
    <xf numFmtId="3" fontId="1" fillId="4" borderId="1" xfId="0" applyNumberFormat="1" applyFont="1" applyFill="1" applyBorder="1" applyAlignment="1">
      <alignment horizontal="center" vertical="top" wrapText="1"/>
    </xf>
    <xf numFmtId="3" fontId="1" fillId="5" borderId="1" xfId="0" applyNumberFormat="1" applyFont="1" applyFill="1" applyBorder="1" applyAlignment="1">
      <alignment horizontal="center" vertical="top" wrapText="1"/>
    </xf>
    <xf numFmtId="3" fontId="6" fillId="5" borderId="1" xfId="0" applyNumberFormat="1" applyFont="1" applyFill="1" applyBorder="1" applyAlignment="1">
      <alignment horizontal="center" vertical="center" wrapText="1"/>
    </xf>
    <xf numFmtId="3" fontId="6" fillId="4" borderId="1" xfId="0" applyNumberFormat="1" applyFont="1" applyFill="1" applyBorder="1" applyAlignment="1">
      <alignment horizontal="center" vertical="center" wrapText="1"/>
    </xf>
    <xf numFmtId="4" fontId="7" fillId="0" borderId="5" xfId="0" applyNumberFormat="1" applyFont="1" applyFill="1" applyBorder="1" applyAlignment="1">
      <alignment horizontal="center" vertical="center" wrapText="1"/>
    </xf>
    <xf numFmtId="3" fontId="7" fillId="0" borderId="1" xfId="0" applyNumberFormat="1" applyFont="1" applyFill="1" applyBorder="1" applyAlignment="1">
      <alignment horizontal="center" vertical="center" wrapText="1"/>
    </xf>
    <xf numFmtId="4" fontId="7" fillId="6" borderId="1" xfId="0" applyNumberFormat="1" applyFont="1" applyFill="1" applyBorder="1" applyAlignment="1">
      <alignment horizontal="center" vertical="center" wrapText="1"/>
    </xf>
    <xf numFmtId="3" fontId="6" fillId="6" borderId="1" xfId="0" applyNumberFormat="1" applyFont="1" applyFill="1" applyBorder="1" applyAlignment="1">
      <alignment horizontal="center" vertical="top" wrapText="1"/>
    </xf>
    <xf numFmtId="3" fontId="18" fillId="6" borderId="18" xfId="0" applyNumberFormat="1" applyFont="1" applyFill="1" applyBorder="1" applyAlignment="1">
      <alignment horizontal="center" wrapText="1"/>
    </xf>
    <xf numFmtId="3" fontId="18" fillId="6" borderId="19" xfId="0" applyNumberFormat="1" applyFont="1" applyFill="1" applyBorder="1" applyAlignment="1">
      <alignment horizontal="center" wrapText="1"/>
    </xf>
    <xf numFmtId="4" fontId="22" fillId="6" borderId="1" xfId="0" applyNumberFormat="1" applyFont="1" applyFill="1" applyBorder="1" applyAlignment="1">
      <alignment horizontal="center" vertical="center" wrapText="1"/>
    </xf>
    <xf numFmtId="3" fontId="23" fillId="6" borderId="1" xfId="0" applyNumberFormat="1" applyFont="1" applyFill="1" applyBorder="1" applyAlignment="1">
      <alignment horizontal="center" vertical="center" wrapText="1"/>
    </xf>
    <xf numFmtId="0" fontId="0" fillId="6" borderId="1" xfId="0" applyFill="1" applyBorder="1" applyAlignment="1">
      <alignment horizontal="left"/>
    </xf>
    <xf numFmtId="4" fontId="13" fillId="0" borderId="0" xfId="0" applyNumberFormat="1" applyFont="1" applyBorder="1" applyAlignment="1">
      <alignment vertical="top" wrapText="1"/>
    </xf>
    <xf numFmtId="0" fontId="2" fillId="0" borderId="0" xfId="0" applyFont="1" applyBorder="1" applyAlignment="1">
      <alignment horizontal="center" vertical="center" wrapText="1"/>
    </xf>
    <xf numFmtId="4" fontId="13" fillId="0" borderId="0" xfId="0" applyNumberFormat="1" applyFont="1" applyBorder="1" applyAlignment="1">
      <alignment horizontal="center" vertical="center" wrapText="1"/>
    </xf>
    <xf numFmtId="0" fontId="23" fillId="0" borderId="1" xfId="0" applyFont="1" applyBorder="1" applyAlignment="1">
      <alignment horizontal="center" vertical="center" wrapText="1"/>
    </xf>
    <xf numFmtId="4" fontId="23" fillId="0" borderId="1" xfId="0" applyNumberFormat="1" applyFont="1" applyBorder="1" applyAlignment="1">
      <alignment horizontal="center" vertical="center" wrapText="1"/>
    </xf>
    <xf numFmtId="0" fontId="23" fillId="0" borderId="1" xfId="0" applyFont="1" applyBorder="1" applyAlignment="1">
      <alignment horizontal="center" vertical="top" wrapText="1"/>
    </xf>
    <xf numFmtId="0" fontId="23" fillId="0" borderId="1" xfId="0" applyFont="1" applyBorder="1" applyAlignment="1">
      <alignment horizontal="center" wrapText="1"/>
    </xf>
    <xf numFmtId="0" fontId="26" fillId="0" borderId="1" xfId="0" applyFont="1" applyBorder="1" applyAlignment="1">
      <alignment horizontal="center"/>
    </xf>
    <xf numFmtId="3" fontId="23" fillId="0" borderId="1" xfId="0" applyNumberFormat="1" applyFont="1" applyBorder="1" applyAlignment="1">
      <alignment horizontal="center" vertical="top" wrapText="1"/>
    </xf>
    <xf numFmtId="0" fontId="28" fillId="0" borderId="0" xfId="0" applyFont="1" applyAlignment="1">
      <alignment horizontal="left"/>
    </xf>
    <xf numFmtId="0" fontId="29" fillId="0" borderId="0" xfId="0" applyFont="1"/>
    <xf numFmtId="0" fontId="30" fillId="10" borderId="17" xfId="0" applyFont="1" applyFill="1" applyBorder="1" applyAlignment="1">
      <alignment horizontal="center"/>
    </xf>
    <xf numFmtId="0" fontId="18" fillId="0" borderId="1" xfId="0" applyFont="1" applyBorder="1" applyAlignment="1">
      <alignment horizontal="center" vertical="top" wrapText="1"/>
    </xf>
    <xf numFmtId="0" fontId="18" fillId="0" borderId="3" xfId="0" applyFont="1" applyBorder="1" applyAlignment="1">
      <alignment horizontal="center" vertical="top" wrapText="1"/>
    </xf>
    <xf numFmtId="3" fontId="18" fillId="0" borderId="1" xfId="0" applyNumberFormat="1" applyFont="1" applyBorder="1" applyAlignment="1">
      <alignment horizontal="center" wrapText="1"/>
    </xf>
    <xf numFmtId="0" fontId="30" fillId="10" borderId="1" xfId="0" applyFont="1" applyFill="1" applyBorder="1" applyAlignment="1">
      <alignment horizontal="center" wrapText="1"/>
    </xf>
    <xf numFmtId="9" fontId="0" fillId="6" borderId="6" xfId="0" applyNumberFormat="1" applyFill="1" applyBorder="1"/>
    <xf numFmtId="9" fontId="18" fillId="6" borderId="3" xfId="0" applyNumberFormat="1" applyFont="1" applyFill="1" applyBorder="1" applyAlignment="1">
      <alignment horizontal="center" wrapText="1"/>
    </xf>
    <xf numFmtId="9" fontId="18" fillId="0" borderId="1" xfId="0" applyNumberFormat="1" applyFont="1" applyBorder="1" applyAlignment="1">
      <alignment horizontal="center" wrapText="1"/>
    </xf>
    <xf numFmtId="3" fontId="6" fillId="7" borderId="1" xfId="0" applyNumberFormat="1" applyFont="1" applyFill="1" applyBorder="1" applyAlignment="1">
      <alignment vertical="top" wrapText="1"/>
    </xf>
    <xf numFmtId="3" fontId="18" fillId="7" borderId="19" xfId="0" applyNumberFormat="1" applyFont="1" applyFill="1" applyBorder="1" applyAlignment="1">
      <alignment horizontal="center" wrapText="1"/>
    </xf>
    <xf numFmtId="4" fontId="7" fillId="7" borderId="1" xfId="0" applyNumberFormat="1" applyFont="1" applyFill="1" applyBorder="1" applyAlignment="1">
      <alignment horizontal="center" vertical="center" wrapText="1"/>
    </xf>
    <xf numFmtId="3" fontId="21" fillId="5" borderId="18" xfId="0" applyNumberFormat="1" applyFont="1" applyFill="1" applyBorder="1" applyAlignment="1">
      <alignment horizontal="center" wrapText="1"/>
    </xf>
    <xf numFmtId="3" fontId="21" fillId="5" borderId="19" xfId="0" applyNumberFormat="1" applyFont="1" applyFill="1" applyBorder="1" applyAlignment="1">
      <alignment horizontal="center" wrapText="1"/>
    </xf>
    <xf numFmtId="3" fontId="18" fillId="5" borderId="19" xfId="0" applyNumberFormat="1" applyFont="1" applyFill="1" applyBorder="1" applyAlignment="1">
      <alignment horizontal="center" wrapText="1"/>
    </xf>
    <xf numFmtId="9" fontId="33" fillId="11" borderId="0" xfId="0" applyNumberFormat="1" applyFont="1" applyFill="1"/>
    <xf numFmtId="9" fontId="33" fillId="11" borderId="0" xfId="0" applyNumberFormat="1" applyFont="1" applyFill="1" applyBorder="1" applyAlignment="1">
      <alignment horizontal="left" vertical="top" wrapText="1"/>
    </xf>
    <xf numFmtId="9" fontId="33" fillId="11" borderId="0" xfId="0" applyNumberFormat="1" applyFont="1" applyFill="1" applyBorder="1"/>
    <xf numFmtId="9" fontId="33" fillId="11" borderId="0" xfId="0" applyNumberFormat="1" applyFont="1" applyFill="1" applyBorder="1" applyAlignment="1">
      <alignment vertical="top" wrapText="1"/>
    </xf>
    <xf numFmtId="3" fontId="33" fillId="11" borderId="0" xfId="0" applyNumberFormat="1" applyFont="1" applyFill="1" applyBorder="1" applyAlignment="1">
      <alignment vertical="top" wrapText="1"/>
    </xf>
    <xf numFmtId="3" fontId="0" fillId="9" borderId="4" xfId="0" applyNumberFormat="1" applyFill="1" applyBorder="1" applyAlignment="1">
      <alignment horizontal="center"/>
    </xf>
    <xf numFmtId="0" fontId="25" fillId="11" borderId="1" xfId="0" applyFont="1" applyFill="1" applyBorder="1" applyAlignment="1">
      <alignment wrapText="1"/>
    </xf>
    <xf numFmtId="3" fontId="25" fillId="11" borderId="1" xfId="0" applyNumberFormat="1" applyFont="1" applyFill="1" applyBorder="1"/>
    <xf numFmtId="0" fontId="19" fillId="6" borderId="1" xfId="0" applyFont="1" applyFill="1" applyBorder="1" applyAlignment="1">
      <alignment horizontal="center"/>
    </xf>
    <xf numFmtId="3" fontId="19" fillId="6" borderId="1" xfId="0" applyNumberFormat="1" applyFont="1" applyFill="1" applyBorder="1" applyAlignment="1">
      <alignment horizontal="center"/>
    </xf>
    <xf numFmtId="0" fontId="19" fillId="0" borderId="0" xfId="0" applyFont="1"/>
    <xf numFmtId="0" fontId="35" fillId="6" borderId="1" xfId="0" applyFont="1" applyFill="1" applyBorder="1" applyAlignment="1">
      <alignment horizontal="center" vertical="center"/>
    </xf>
    <xf numFmtId="0" fontId="19" fillId="6" borderId="1" xfId="0" applyFont="1" applyFill="1" applyBorder="1"/>
    <xf numFmtId="3" fontId="0" fillId="0" borderId="1" xfId="0" applyNumberFormat="1" applyFill="1" applyBorder="1" applyAlignment="1">
      <alignment horizontal="center"/>
    </xf>
    <xf numFmtId="3" fontId="34" fillId="0" borderId="1" xfId="0" applyNumberFormat="1" applyFont="1" applyFill="1" applyBorder="1"/>
    <xf numFmtId="0" fontId="19" fillId="0" borderId="0" xfId="0" applyFont="1" applyAlignment="1">
      <alignment horizontal="center"/>
    </xf>
    <xf numFmtId="0" fontId="9" fillId="0" borderId="0" xfId="0" applyFont="1" applyBorder="1" applyAlignment="1">
      <alignment horizontal="center"/>
    </xf>
    <xf numFmtId="3" fontId="25" fillId="12" borderId="1" xfId="0" applyNumberFormat="1" applyFont="1" applyFill="1" applyBorder="1" applyAlignment="1">
      <alignment horizontal="center" vertical="top" wrapText="1"/>
    </xf>
    <xf numFmtId="9" fontId="25" fillId="12" borderId="0" xfId="0" applyNumberFormat="1" applyFont="1" applyFill="1" applyBorder="1"/>
    <xf numFmtId="9" fontId="25" fillId="12" borderId="0" xfId="0" applyNumberFormat="1" applyFont="1" applyFill="1" applyBorder="1" applyAlignment="1">
      <alignment vertical="top" wrapText="1"/>
    </xf>
    <xf numFmtId="9" fontId="24" fillId="12" borderId="0" xfId="0" applyNumberFormat="1" applyFont="1" applyFill="1" applyBorder="1" applyAlignment="1">
      <alignment horizontal="center" vertical="center" wrapText="1"/>
    </xf>
    <xf numFmtId="9" fontId="25" fillId="12" borderId="0" xfId="0" applyNumberFormat="1" applyFont="1" applyFill="1" applyBorder="1" applyAlignment="1">
      <alignment horizontal="left"/>
    </xf>
    <xf numFmtId="9" fontId="25" fillId="12" borderId="0" xfId="0" applyNumberFormat="1" applyFont="1" applyFill="1"/>
    <xf numFmtId="9" fontId="0" fillId="0" borderId="0" xfId="0" applyNumberFormat="1" applyBorder="1"/>
    <xf numFmtId="0" fontId="23" fillId="0" borderId="5" xfId="0" applyFont="1" applyBorder="1" applyAlignment="1">
      <alignment horizontal="center" wrapText="1"/>
    </xf>
    <xf numFmtId="3" fontId="23" fillId="0" borderId="5" xfId="0" applyNumberFormat="1" applyFont="1" applyBorder="1" applyAlignment="1">
      <alignment horizontal="center" vertical="top" wrapText="1"/>
    </xf>
    <xf numFmtId="3" fontId="23" fillId="0" borderId="5" xfId="0" applyNumberFormat="1" applyFont="1" applyBorder="1" applyAlignment="1">
      <alignment horizontal="center" vertical="center" wrapText="1"/>
    </xf>
    <xf numFmtId="4" fontId="32" fillId="12" borderId="1" xfId="0" applyNumberFormat="1" applyFont="1" applyFill="1" applyBorder="1" applyAlignment="1">
      <alignment vertical="top" wrapText="1"/>
    </xf>
    <xf numFmtId="9" fontId="36" fillId="12" borderId="1" xfId="0" applyNumberFormat="1" applyFont="1" applyFill="1" applyBorder="1" applyAlignment="1">
      <alignment vertical="top" wrapText="1"/>
    </xf>
    <xf numFmtId="9" fontId="37" fillId="12" borderId="1" xfId="0" applyNumberFormat="1" applyFont="1" applyFill="1" applyBorder="1" applyAlignment="1">
      <alignment horizontal="center" vertical="center" wrapText="1"/>
    </xf>
    <xf numFmtId="9" fontId="36" fillId="12" borderId="1" xfId="0" applyNumberFormat="1" applyFont="1" applyFill="1" applyBorder="1" applyAlignment="1">
      <alignment horizontal="center" vertical="center" wrapText="1"/>
    </xf>
    <xf numFmtId="4" fontId="38" fillId="0" borderId="0" xfId="0" applyNumberFormat="1" applyFont="1" applyBorder="1" applyAlignment="1">
      <alignment vertical="top" wrapText="1"/>
    </xf>
    <xf numFmtId="4" fontId="39" fillId="0" borderId="0" xfId="0" applyNumberFormat="1" applyFont="1" applyBorder="1" applyAlignment="1">
      <alignment horizontal="center" vertical="center" wrapText="1"/>
    </xf>
    <xf numFmtId="4" fontId="40" fillId="0" borderId="0" xfId="0" applyNumberFormat="1" applyFont="1" applyBorder="1" applyAlignment="1">
      <alignment horizontal="center" vertical="center" wrapText="1"/>
    </xf>
    <xf numFmtId="0" fontId="41" fillId="0" borderId="0" xfId="0" applyFont="1"/>
    <xf numFmtId="1" fontId="41" fillId="0" borderId="0" xfId="0" applyNumberFormat="1" applyFont="1" applyBorder="1"/>
    <xf numFmtId="0" fontId="41" fillId="0" borderId="0" xfId="0" applyFont="1" applyFill="1" applyBorder="1"/>
    <xf numFmtId="3" fontId="41" fillId="0" borderId="0" xfId="0" applyNumberFormat="1" applyFont="1" applyBorder="1" applyAlignment="1">
      <alignment vertical="top" wrapText="1"/>
    </xf>
    <xf numFmtId="0" fontId="41" fillId="0" borderId="0" xfId="0" applyFont="1" applyBorder="1" applyAlignment="1">
      <alignment vertical="top" wrapText="1"/>
    </xf>
    <xf numFmtId="0" fontId="32" fillId="12" borderId="0" xfId="0" applyFont="1" applyFill="1" applyBorder="1" applyAlignment="1">
      <alignment vertical="top" wrapText="1"/>
    </xf>
    <xf numFmtId="3" fontId="31" fillId="12" borderId="0" xfId="0" applyNumberFormat="1" applyFont="1" applyFill="1" applyBorder="1" applyAlignment="1">
      <alignment vertical="top" wrapText="1"/>
    </xf>
    <xf numFmtId="3" fontId="31" fillId="12" borderId="0" xfId="0" applyNumberFormat="1" applyFont="1" applyFill="1" applyBorder="1" applyAlignment="1">
      <alignment horizontal="left" vertical="top" wrapText="1"/>
    </xf>
    <xf numFmtId="3" fontId="32" fillId="12" borderId="0" xfId="0" applyNumberFormat="1" applyFont="1" applyFill="1" applyBorder="1" applyAlignment="1">
      <alignment vertical="top" wrapText="1"/>
    </xf>
    <xf numFmtId="10" fontId="25" fillId="12" borderId="0" xfId="0" applyNumberFormat="1" applyFont="1" applyFill="1" applyBorder="1"/>
    <xf numFmtId="0" fontId="42" fillId="13" borderId="1" xfId="0" applyFont="1" applyFill="1" applyBorder="1" applyAlignment="1">
      <alignment horizontal="center" wrapText="1"/>
    </xf>
    <xf numFmtId="3" fontId="32" fillId="13" borderId="1" xfId="0" applyNumberFormat="1" applyFont="1" applyFill="1" applyBorder="1"/>
    <xf numFmtId="9" fontId="32" fillId="13" borderId="6" xfId="0" applyNumberFormat="1" applyFont="1" applyFill="1" applyBorder="1"/>
    <xf numFmtId="9" fontId="32" fillId="13" borderId="0" xfId="0" applyNumberFormat="1" applyFont="1" applyFill="1"/>
    <xf numFmtId="0" fontId="27" fillId="0" borderId="1" xfId="0" applyFont="1" applyBorder="1" applyAlignment="1">
      <alignment horizontal="center"/>
    </xf>
    <xf numFmtId="0" fontId="23"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32" fillId="12" borderId="1" xfId="0" applyFont="1" applyFill="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3" fontId="1" fillId="0" borderId="0" xfId="0" applyNumberFormat="1" applyFont="1" applyBorder="1" applyAlignment="1">
      <alignment horizontal="left" vertical="top" wrapText="1"/>
    </xf>
    <xf numFmtId="0" fontId="7" fillId="0" borderId="1" xfId="0" applyFont="1" applyBorder="1" applyAlignment="1">
      <alignment horizontal="center"/>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0" fontId="30" fillId="10" borderId="20" xfId="0" applyFont="1" applyFill="1" applyBorder="1" applyAlignment="1">
      <alignment horizontal="center"/>
    </xf>
    <xf numFmtId="0" fontId="30" fillId="10" borderId="2" xfId="0" applyFont="1" applyFill="1" applyBorder="1" applyAlignment="1">
      <alignment horizontal="center"/>
    </xf>
    <xf numFmtId="1" fontId="0" fillId="9" borderId="5" xfId="0" applyNumberFormat="1" applyFill="1" applyBorder="1" applyAlignment="1">
      <alignment horizontal="center" wrapText="1"/>
    </xf>
    <xf numFmtId="1" fontId="0" fillId="9" borderId="3" xfId="0" applyNumberFormat="1" applyFill="1" applyBorder="1" applyAlignment="1">
      <alignment horizontal="center" wrapText="1"/>
    </xf>
    <xf numFmtId="0" fontId="0" fillId="0" borderId="4"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1" fontId="25" fillId="12" borderId="5" xfId="0" applyNumberFormat="1" applyFont="1" applyFill="1" applyBorder="1" applyAlignment="1">
      <alignment horizontal="center" wrapText="1"/>
    </xf>
    <xf numFmtId="1" fontId="25" fillId="12" borderId="3" xfId="0" applyNumberFormat="1" applyFont="1" applyFill="1" applyBorder="1" applyAlignment="1">
      <alignment horizontal="center" wrapText="1"/>
    </xf>
    <xf numFmtId="0" fontId="0" fillId="0" borderId="1" xfId="0" applyBorder="1" applyAlignment="1">
      <alignment horizontal="center"/>
    </xf>
    <xf numFmtId="0" fontId="42" fillId="14" borderId="6" xfId="0" applyFont="1" applyFill="1" applyBorder="1" applyAlignment="1">
      <alignment horizontal="center" wrapText="1"/>
    </xf>
    <xf numFmtId="0" fontId="0" fillId="0" borderId="0" xfId="0" applyAlignment="1">
      <alignment wrapText="1"/>
    </xf>
    <xf numFmtId="4" fontId="0" fillId="0" borderId="0" xfId="0" applyNumberFormat="1"/>
  </cellXfs>
  <cellStyles count="1">
    <cellStyle name="Normal" xfId="0" builtinId="0"/>
  </cellStyles>
  <dxfs count="0"/>
  <tableStyles count="0" defaultTableStyle="TableStyleMedium9" defaultPivotStyle="PivotStyleLight16"/>
  <colors>
    <mruColors>
      <color rgb="FFFFFF66"/>
      <color rgb="FFFF6699"/>
      <color rgb="FF33CCCC"/>
      <color rgb="FF00FF00"/>
      <color rgb="FF99CCFF"/>
      <color rgb="FFFF66FF"/>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en-US"/>
              <a:t>Konsumsi Gas Rumah Tangga</a:t>
            </a:r>
          </a:p>
        </c:rich>
      </c:tx>
      <c:layout/>
    </c:title>
    <c:plotArea>
      <c:layout/>
      <c:lineChart>
        <c:grouping val="standard"/>
        <c:ser>
          <c:idx val="0"/>
          <c:order val="0"/>
          <c:tx>
            <c:v>Grafik Proyek Metode Eksponensial</c:v>
          </c:tx>
          <c:cat>
            <c:numRef>
              <c:f>[1]Eksponensial!$B$40:$B$53</c:f>
              <c:numCache>
                <c:formatCode>General</c:formatCode>
                <c:ptCount val="14"/>
                <c:pt idx="0">
                  <c:v>2001</c:v>
                </c:pt>
                <c:pt idx="1">
                  <c:v>2004</c:v>
                </c:pt>
                <c:pt idx="2">
                  <c:v>2007</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[1]Eksponensial!$C$40:$C$53</c:f>
              <c:numCache>
                <c:formatCode>General</c:formatCode>
                <c:ptCount val="14"/>
                <c:pt idx="0">
                  <c:v>1113896</c:v>
                </c:pt>
                <c:pt idx="1">
                  <c:v>1210143</c:v>
                </c:pt>
                <c:pt idx="2">
                  <c:v>1691260</c:v>
                </c:pt>
                <c:pt idx="3">
                  <c:v>1998310.5047271668</c:v>
                </c:pt>
                <c:pt idx="4">
                  <c:v>2142350.837198453</c:v>
                </c:pt>
                <c:pt idx="5">
                  <c:v>2296773.7490183888</c:v>
                </c:pt>
                <c:pt idx="6">
                  <c:v>2462327.627475881</c:v>
                </c:pt>
                <c:pt idx="7">
                  <c:v>2639814.8044065177</c:v>
                </c:pt>
                <c:pt idx="8">
                  <c:v>2830095.4445722229</c:v>
                </c:pt>
                <c:pt idx="9">
                  <c:v>3034091.7143198443</c:v>
                </c:pt>
                <c:pt idx="10">
                  <c:v>3252792.250720554</c:v>
                </c:pt>
                <c:pt idx="11">
                  <c:v>3487256.9528504084</c:v>
                </c:pt>
                <c:pt idx="12">
                  <c:v>3738622.1184305982</c:v>
                </c:pt>
                <c:pt idx="13">
                  <c:v>4008105.9507227172</c:v>
                </c:pt>
              </c:numCache>
            </c:numRef>
          </c:val>
        </c:ser>
        <c:hiLowLines/>
        <c:marker val="1"/>
        <c:axId val="131725184"/>
        <c:axId val="134310528"/>
      </c:lineChart>
      <c:catAx>
        <c:axId val="131725184"/>
        <c:scaling>
          <c:orientation val="minMax"/>
        </c:scaling>
        <c:axPos val="b"/>
        <c:title>
          <c:tx>
            <c:rich>
              <a:bodyPr/>
              <a:lstStyle/>
              <a:p>
                <a:pPr>
                  <a:defRPr lang="en-US"/>
                </a:pPr>
                <a:r>
                  <a:rPr lang="en-US"/>
                  <a:t>tahun</a:t>
                </a:r>
              </a:p>
            </c:rich>
          </c:tx>
          <c:layout/>
        </c:title>
        <c:numFmt formatCode="General" sourceLinked="1"/>
        <c:majorTickMark val="none"/>
        <c:tickLblPos val="nextTo"/>
        <c:txPr>
          <a:bodyPr rot="-5400000" vert="horz"/>
          <a:lstStyle/>
          <a:p>
            <a:pPr>
              <a:defRPr lang="en-US" sz="1000" b="0" i="0" u="none" strike="noStrike" baseline="0">
                <a:solidFill>
                  <a:srgbClr val="000000"/>
                </a:solidFill>
                <a:latin typeface="Calibri"/>
                <a:ea typeface="Calibri"/>
                <a:cs typeface="Calibri"/>
              </a:defRPr>
            </a:pPr>
            <a:endParaRPr lang="id-ID"/>
          </a:p>
        </c:txPr>
        <c:crossAx val="134310528"/>
        <c:crosses val="autoZero"/>
        <c:auto val="1"/>
        <c:lblAlgn val="ctr"/>
        <c:lblOffset val="100"/>
      </c:catAx>
      <c:valAx>
        <c:axId val="134310528"/>
        <c:scaling>
          <c:orientation val="minMax"/>
        </c:scaling>
        <c:axPos val="l"/>
        <c:majorGridlines/>
        <c:title>
          <c:tx>
            <c:rich>
              <a:bodyPr/>
              <a:lstStyle/>
              <a:p>
                <a:pPr>
                  <a:defRPr lang="en-US"/>
                </a:pPr>
                <a:r>
                  <a:rPr lang="en-US"/>
                  <a:t>konsumsi gas (SBM)</a:t>
                </a:r>
              </a:p>
            </c:rich>
          </c:tx>
          <c:layout/>
        </c:title>
        <c:numFmt formatCode="General" sourceLinked="1"/>
        <c:tickLblPos val="nextTo"/>
        <c:txPr>
          <a:bodyPr rot="0" vert="horz"/>
          <a:lstStyle/>
          <a:p>
            <a:pPr>
              <a:defRPr lang="en-US" sz="1000" b="0" i="0" u="none" strike="noStrike" baseline="0">
                <a:solidFill>
                  <a:srgbClr val="000000"/>
                </a:solidFill>
                <a:latin typeface="Calibri"/>
                <a:ea typeface="Calibri"/>
                <a:cs typeface="Calibri"/>
              </a:defRPr>
            </a:pPr>
            <a:endParaRPr lang="id-ID"/>
          </a:p>
        </c:txPr>
        <c:crossAx val="131725184"/>
        <c:crosses val="autoZero"/>
        <c:crossBetween val="between"/>
      </c:valAx>
    </c:plotArea>
    <c:plotVisOnly val="1"/>
    <c:dispBlanksAs val="gap"/>
  </c:chart>
  <c:txPr>
    <a:bodyPr/>
    <a:lstStyle/>
    <a:p>
      <a:pPr>
        <a:defRPr sz="1000" b="0" i="0" u="none" strike="noStrike" baseline="0">
          <a:solidFill>
            <a:srgbClr val="000000"/>
          </a:solidFill>
          <a:latin typeface="Calibri"/>
          <a:ea typeface="Calibri"/>
          <a:cs typeface="Calibri"/>
        </a:defRPr>
      </a:pPr>
      <a:endParaRPr lang="id-ID"/>
    </a:p>
  </c:tx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sz="1100"/>
            </a:pPr>
            <a:r>
              <a:rPr lang="id-ID" sz="1100" b="1" i="0" baseline="0"/>
              <a:t>Konsumsi Bahan Bakar Minyak dari sektor  Transportasi</a:t>
            </a:r>
          </a:p>
        </c:rich>
      </c:tx>
      <c:layout/>
    </c:title>
    <c:plotArea>
      <c:layout/>
      <c:barChart>
        <c:barDir val="col"/>
        <c:grouping val="stacked"/>
        <c:ser>
          <c:idx val="1"/>
          <c:order val="0"/>
          <c:tx>
            <c:strRef>
              <c:f>'Energi  koreksi Cici'!$G$4</c:f>
              <c:strCache>
                <c:ptCount val="1"/>
                <c:pt idx="0">
                  <c:v>konsumsi Solar (SBM)</c:v>
                </c:pt>
              </c:strCache>
            </c:strRef>
          </c:tx>
          <c:cat>
            <c:numRef>
              <c:f>'Energi  koreksi Cici'!$A$5:$A$25</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Cici'!$G$5:$G$25</c:f>
              <c:numCache>
                <c:formatCode>#,##0</c:formatCode>
                <c:ptCount val="21"/>
                <c:pt idx="0">
                  <c:v>7700000</c:v>
                </c:pt>
                <c:pt idx="1">
                  <c:v>8260000</c:v>
                </c:pt>
                <c:pt idx="2">
                  <c:v>8820000</c:v>
                </c:pt>
                <c:pt idx="3">
                  <c:v>9380000</c:v>
                </c:pt>
                <c:pt idx="4">
                  <c:v>9940000</c:v>
                </c:pt>
                <c:pt idx="5">
                  <c:v>10500000</c:v>
                </c:pt>
                <c:pt idx="6">
                  <c:v>12320000</c:v>
                </c:pt>
                <c:pt idx="7">
                  <c:v>14140000</c:v>
                </c:pt>
                <c:pt idx="8">
                  <c:v>15960000</c:v>
                </c:pt>
                <c:pt idx="9">
                  <c:v>17780000</c:v>
                </c:pt>
                <c:pt idx="10">
                  <c:v>14400000</c:v>
                </c:pt>
                <c:pt idx="11">
                  <c:v>15440000</c:v>
                </c:pt>
                <c:pt idx="12">
                  <c:v>16480000</c:v>
                </c:pt>
                <c:pt idx="13">
                  <c:v>17520000</c:v>
                </c:pt>
                <c:pt idx="14">
                  <c:v>18560000</c:v>
                </c:pt>
                <c:pt idx="15">
                  <c:v>19600000</c:v>
                </c:pt>
                <c:pt idx="16">
                  <c:v>21020000</c:v>
                </c:pt>
                <c:pt idx="17">
                  <c:v>22440000</c:v>
                </c:pt>
                <c:pt idx="18">
                  <c:v>23860000</c:v>
                </c:pt>
                <c:pt idx="19">
                  <c:v>25280000</c:v>
                </c:pt>
                <c:pt idx="20">
                  <c:v>26700000</c:v>
                </c:pt>
              </c:numCache>
            </c:numRef>
          </c:val>
        </c:ser>
        <c:ser>
          <c:idx val="0"/>
          <c:order val="1"/>
          <c:tx>
            <c:strRef>
              <c:f>'Energi  koreksi Cici'!$B$4</c:f>
              <c:strCache>
                <c:ptCount val="1"/>
                <c:pt idx="0">
                  <c:v>konsumsi Bensin  (SBM)</c:v>
                </c:pt>
              </c:strCache>
            </c:strRef>
          </c:tx>
          <c:cat>
            <c:numRef>
              <c:f>'Energi  koreksi Cici'!$A$5:$A$25</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Cici'!$B$5:$B$25</c:f>
              <c:numCache>
                <c:formatCode>#,##0</c:formatCode>
                <c:ptCount val="21"/>
                <c:pt idx="0">
                  <c:v>19800000</c:v>
                </c:pt>
                <c:pt idx="1">
                  <c:v>21240000</c:v>
                </c:pt>
                <c:pt idx="2">
                  <c:v>22680000</c:v>
                </c:pt>
                <c:pt idx="3">
                  <c:v>24120000</c:v>
                </c:pt>
                <c:pt idx="4">
                  <c:v>25560000</c:v>
                </c:pt>
                <c:pt idx="5">
                  <c:v>27000000</c:v>
                </c:pt>
                <c:pt idx="6">
                  <c:v>28960000</c:v>
                </c:pt>
                <c:pt idx="7">
                  <c:v>28960001</c:v>
                </c:pt>
                <c:pt idx="8">
                  <c:v>28960002</c:v>
                </c:pt>
                <c:pt idx="9">
                  <c:v>28960003</c:v>
                </c:pt>
                <c:pt idx="10">
                  <c:v>36800000</c:v>
                </c:pt>
                <c:pt idx="11">
                  <c:v>39480000</c:v>
                </c:pt>
                <c:pt idx="12">
                  <c:v>42160000</c:v>
                </c:pt>
                <c:pt idx="13">
                  <c:v>44840000</c:v>
                </c:pt>
                <c:pt idx="14">
                  <c:v>47520000</c:v>
                </c:pt>
                <c:pt idx="15">
                  <c:v>50200000</c:v>
                </c:pt>
                <c:pt idx="16">
                  <c:v>53860000</c:v>
                </c:pt>
                <c:pt idx="17">
                  <c:v>57520000</c:v>
                </c:pt>
                <c:pt idx="18">
                  <c:v>61180000</c:v>
                </c:pt>
                <c:pt idx="19">
                  <c:v>64840000</c:v>
                </c:pt>
                <c:pt idx="20">
                  <c:v>68500000</c:v>
                </c:pt>
              </c:numCache>
            </c:numRef>
          </c:val>
        </c:ser>
        <c:gapWidth val="95"/>
        <c:overlap val="100"/>
        <c:axId val="131256320"/>
        <c:axId val="131257856"/>
      </c:barChart>
      <c:catAx>
        <c:axId val="131256320"/>
        <c:scaling>
          <c:orientation val="minMax"/>
        </c:scaling>
        <c:axPos val="b"/>
        <c:numFmt formatCode="General" sourceLinked="1"/>
        <c:majorTickMark val="none"/>
        <c:tickLblPos val="nextTo"/>
        <c:txPr>
          <a:bodyPr/>
          <a:lstStyle/>
          <a:p>
            <a:pPr>
              <a:defRPr lang="en-US"/>
            </a:pPr>
            <a:endParaRPr lang="id-ID"/>
          </a:p>
        </c:txPr>
        <c:crossAx val="131257856"/>
        <c:crosses val="autoZero"/>
        <c:auto val="1"/>
        <c:lblAlgn val="ctr"/>
        <c:lblOffset val="100"/>
        <c:tickLblSkip val="10"/>
        <c:tickMarkSkip val="10"/>
      </c:catAx>
      <c:valAx>
        <c:axId val="131257856"/>
        <c:scaling>
          <c:orientation val="minMax"/>
        </c:scaling>
        <c:axPos val="l"/>
        <c:majorGridlines/>
        <c:title>
          <c:tx>
            <c:rich>
              <a:bodyPr/>
              <a:lstStyle/>
              <a:p>
                <a:pPr>
                  <a:defRPr lang="en-US" sz="1100"/>
                </a:pPr>
                <a:r>
                  <a:rPr lang="id-ID" sz="1100" b="1" i="0" baseline="0"/>
                  <a:t>Konsumsi bahan bakar </a:t>
                </a:r>
                <a:r>
                  <a:rPr lang="en-US" sz="1100" b="1" i="0" baseline="0"/>
                  <a:t>(</a:t>
                </a:r>
                <a:r>
                  <a:rPr lang="id-ID" sz="1100" b="1" i="0" baseline="0"/>
                  <a:t>SBM</a:t>
                </a:r>
                <a:r>
                  <a:rPr lang="en-US" sz="1100" b="1" i="0" baseline="0"/>
                  <a:t>)</a:t>
                </a:r>
                <a:endParaRPr lang="id-ID" sz="1100"/>
              </a:p>
            </c:rich>
          </c:tx>
          <c:layout>
            <c:manualLayout>
              <c:xMode val="edge"/>
              <c:yMode val="edge"/>
              <c:x val="4.4941351998403198E-2"/>
              <c:y val="5.5100952915630351E-2"/>
            </c:manualLayout>
          </c:layout>
        </c:title>
        <c:numFmt formatCode="#,##0" sourceLinked="1"/>
        <c:majorTickMark val="none"/>
        <c:tickLblPos val="nextTo"/>
        <c:txPr>
          <a:bodyPr/>
          <a:lstStyle/>
          <a:p>
            <a:pPr>
              <a:defRPr lang="en-US"/>
            </a:pPr>
            <a:endParaRPr lang="id-ID"/>
          </a:p>
        </c:txPr>
        <c:crossAx val="131256320"/>
        <c:crosses val="autoZero"/>
        <c:crossBetween val="between"/>
      </c:valAx>
      <c:dTable>
        <c:showHorzBorder val="1"/>
        <c:showVertBorder val="1"/>
        <c:showOutline val="1"/>
        <c:showKeys val="1"/>
        <c:txPr>
          <a:bodyPr/>
          <a:lstStyle/>
          <a:p>
            <a:pPr rtl="0">
              <a:defRPr sz="800"/>
            </a:pPr>
            <a:endParaRPr lang="id-ID"/>
          </a:p>
        </c:txPr>
      </c:dTable>
    </c:plotArea>
    <c:plotVisOnly val="1"/>
  </c:chart>
  <c:printSettings>
    <c:headerFooter/>
    <c:pageMargins b="0.75000000000000389" l="0.70000000000000062" r="0.70000000000000062" t="0.750000000000003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sz="1800" b="1" i="0" u="none" strike="noStrike" baseline="0">
                <a:solidFill>
                  <a:srgbClr val="000000"/>
                </a:solidFill>
                <a:latin typeface="Calibri"/>
                <a:ea typeface="Calibri"/>
                <a:cs typeface="Calibri"/>
              </a:defRPr>
            </a:pPr>
            <a:r>
              <a:rPr lang="en-US"/>
              <a:t>Konsumsi Minyak Tanah Rumah Tangga</a:t>
            </a:r>
          </a:p>
        </c:rich>
      </c:tx>
      <c:layout/>
    </c:title>
    <c:plotArea>
      <c:layout>
        <c:manualLayout>
          <c:layoutTarget val="inner"/>
          <c:xMode val="edge"/>
          <c:yMode val="edge"/>
          <c:x val="0.25989518596079131"/>
          <c:y val="0.29687080781569042"/>
          <c:w val="0.72439260561202168"/>
          <c:h val="0.23082648002333056"/>
        </c:manualLayout>
      </c:layout>
      <c:lineChart>
        <c:grouping val="standard"/>
        <c:ser>
          <c:idx val="0"/>
          <c:order val="0"/>
          <c:tx>
            <c:v>Grafik Proyek Metode Eksponensial</c:v>
          </c:tx>
          <c:cat>
            <c:numRef>
              <c:f>[2]Eksponensial!$B$40:$B$59</c:f>
              <c:numCache>
                <c:formatCode>General</c:formatCod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numCache>
            </c:numRef>
          </c:cat>
          <c:val>
            <c:numRef>
              <c:f>[2]Eksponensial!$C$40:$C$59</c:f>
              <c:numCache>
                <c:formatCode>General</c:formatCode>
                <c:ptCount val="20"/>
                <c:pt idx="0">
                  <c:v>16373870</c:v>
                </c:pt>
                <c:pt idx="3">
                  <c:v>11343673</c:v>
                </c:pt>
                <c:pt idx="6">
                  <c:v>12400904</c:v>
                </c:pt>
                <c:pt idx="9">
                  <c:v>10002029.586948004</c:v>
                </c:pt>
                <c:pt idx="10">
                  <c:v>9549305.8377928324</c:v>
                </c:pt>
                <c:pt idx="11">
                  <c:v>9117073.8089698888</c:v>
                </c:pt>
                <c:pt idx="12">
                  <c:v>8704405.9798817411</c:v>
                </c:pt>
                <c:pt idx="13">
                  <c:v>8310416.8124709688</c:v>
                </c:pt>
                <c:pt idx="14">
                  <c:v>7934260.8509555571</c:v>
                </c:pt>
                <c:pt idx="15">
                  <c:v>7575130.9075782672</c:v>
                </c:pt>
                <c:pt idx="16">
                  <c:v>7232256.3304729126</c:v>
                </c:pt>
                <c:pt idx="17">
                  <c:v>6904901.349934306</c:v>
                </c:pt>
                <c:pt idx="18">
                  <c:v>6592363.4995396128</c:v>
                </c:pt>
                <c:pt idx="19">
                  <c:v>6293972.1087363912</c:v>
                </c:pt>
              </c:numCache>
            </c:numRef>
          </c:val>
        </c:ser>
        <c:hiLowLines/>
        <c:marker val="1"/>
        <c:axId val="134777088"/>
        <c:axId val="135744512"/>
      </c:lineChart>
      <c:catAx>
        <c:axId val="134777088"/>
        <c:scaling>
          <c:orientation val="minMax"/>
        </c:scaling>
        <c:axPos val="b"/>
        <c:title>
          <c:tx>
            <c:rich>
              <a:bodyPr/>
              <a:lstStyle/>
              <a:p>
                <a:pPr>
                  <a:defRPr lang="en-US"/>
                </a:pPr>
                <a:r>
                  <a:rPr lang="en-US"/>
                  <a:t>tahun</a:t>
                </a:r>
              </a:p>
            </c:rich>
          </c:tx>
          <c:layout/>
        </c:title>
        <c:numFmt formatCode="General" sourceLinked="1"/>
        <c:majorTickMark val="none"/>
        <c:tickLblPos val="nextTo"/>
        <c:txPr>
          <a:bodyPr rot="-5400000" vert="horz"/>
          <a:lstStyle/>
          <a:p>
            <a:pPr>
              <a:defRPr lang="en-US" sz="1000" b="0" i="0" u="none" strike="noStrike" baseline="0">
                <a:solidFill>
                  <a:srgbClr val="000000"/>
                </a:solidFill>
                <a:latin typeface="Calibri"/>
                <a:ea typeface="Calibri"/>
                <a:cs typeface="Calibri"/>
              </a:defRPr>
            </a:pPr>
            <a:endParaRPr lang="id-ID"/>
          </a:p>
        </c:txPr>
        <c:crossAx val="135744512"/>
        <c:crosses val="autoZero"/>
        <c:auto val="1"/>
        <c:lblAlgn val="ctr"/>
        <c:lblOffset val="100"/>
      </c:catAx>
      <c:valAx>
        <c:axId val="135744512"/>
        <c:scaling>
          <c:orientation val="minMax"/>
        </c:scaling>
        <c:axPos val="l"/>
        <c:majorGridlines/>
        <c:title>
          <c:tx>
            <c:rich>
              <a:bodyPr/>
              <a:lstStyle/>
              <a:p>
                <a:pPr>
                  <a:defRPr lang="en-US"/>
                </a:pPr>
                <a:r>
                  <a:rPr lang="en-US"/>
                  <a:t>konsumsi minyak</a:t>
                </a:r>
                <a:r>
                  <a:rPr lang="en-US" baseline="0"/>
                  <a:t> tanah (SBM)</a:t>
                </a:r>
                <a:endParaRPr lang="en-US"/>
              </a:p>
            </c:rich>
          </c:tx>
          <c:layout/>
        </c:title>
        <c:numFmt formatCode="General" sourceLinked="1"/>
        <c:tickLblPos val="nextTo"/>
        <c:txPr>
          <a:bodyPr rot="0" vert="horz"/>
          <a:lstStyle/>
          <a:p>
            <a:pPr>
              <a:defRPr lang="en-US" sz="1000" b="0" i="0" u="none" strike="noStrike" baseline="0">
                <a:solidFill>
                  <a:srgbClr val="000000"/>
                </a:solidFill>
                <a:latin typeface="Calibri"/>
                <a:ea typeface="Calibri"/>
                <a:cs typeface="Calibri"/>
              </a:defRPr>
            </a:pPr>
            <a:endParaRPr lang="id-ID"/>
          </a:p>
        </c:txPr>
        <c:crossAx val="134777088"/>
        <c:crosses val="autoZero"/>
        <c:crossBetween val="between"/>
      </c:valAx>
    </c:plotArea>
    <c:plotVisOnly val="1"/>
    <c:dispBlanksAs val="gap"/>
  </c:chart>
  <c:txPr>
    <a:bodyPr/>
    <a:lstStyle/>
    <a:p>
      <a:pPr>
        <a:defRPr sz="1000" b="0" i="0" u="none" strike="noStrike" baseline="0">
          <a:solidFill>
            <a:srgbClr val="000000"/>
          </a:solidFill>
          <a:latin typeface="Calibri"/>
          <a:ea typeface="Calibri"/>
          <a:cs typeface="Calibri"/>
        </a:defRPr>
      </a:pPr>
      <a:endParaRPr lang="id-ID"/>
    </a:p>
  </c:txPr>
  <c:printSettings>
    <c:headerFooter/>
    <c:pageMargins b="0.750000000000005" l="0.70000000000000062" r="0.70000000000000062" t="0.75000000000000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chart>
    <c:autoTitleDeleted val="1"/>
    <c:plotArea>
      <c:layout/>
      <c:barChart>
        <c:barDir val="col"/>
        <c:grouping val="stacked"/>
        <c:ser>
          <c:idx val="0"/>
          <c:order val="0"/>
          <c:tx>
            <c:strRef>
              <c:f>'Energi  koreksi Cici'!$B$32</c:f>
              <c:strCache>
                <c:ptCount val="1"/>
                <c:pt idx="0">
                  <c:v>konsumsi Gas/LPG (SBM)</c:v>
                </c:pt>
              </c:strCache>
            </c:strRef>
          </c:tx>
          <c:cat>
            <c:numRef>
              <c:f>'Energi  koreksi Cici'!$A$33:$A$53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Cici'!$B$33:$B$53</c:f>
              <c:numCache>
                <c:formatCode>#,##0</c:formatCode>
                <c:ptCount val="21"/>
                <c:pt idx="0">
                  <c:v>7900000</c:v>
                </c:pt>
                <c:pt idx="1">
                  <c:v>9040000</c:v>
                </c:pt>
                <c:pt idx="2">
                  <c:v>10180000</c:v>
                </c:pt>
                <c:pt idx="3">
                  <c:v>11320000</c:v>
                </c:pt>
                <c:pt idx="4">
                  <c:v>12460000</c:v>
                </c:pt>
                <c:pt idx="5">
                  <c:v>13600000</c:v>
                </c:pt>
                <c:pt idx="6">
                  <c:v>13880000</c:v>
                </c:pt>
                <c:pt idx="7">
                  <c:v>14160000</c:v>
                </c:pt>
                <c:pt idx="8">
                  <c:v>14440000</c:v>
                </c:pt>
                <c:pt idx="9">
                  <c:v>14720000</c:v>
                </c:pt>
                <c:pt idx="10">
                  <c:v>15000000</c:v>
                </c:pt>
                <c:pt idx="11">
                  <c:v>15600000</c:v>
                </c:pt>
                <c:pt idx="12">
                  <c:v>15920000</c:v>
                </c:pt>
                <c:pt idx="13">
                  <c:v>16240000</c:v>
                </c:pt>
                <c:pt idx="14">
                  <c:v>16560000</c:v>
                </c:pt>
                <c:pt idx="15">
                  <c:v>16600000</c:v>
                </c:pt>
                <c:pt idx="16">
                  <c:v>16940000</c:v>
                </c:pt>
                <c:pt idx="17">
                  <c:v>17280000</c:v>
                </c:pt>
                <c:pt idx="18">
                  <c:v>17620000</c:v>
                </c:pt>
                <c:pt idx="19">
                  <c:v>17960000</c:v>
                </c:pt>
                <c:pt idx="20">
                  <c:v>18300000</c:v>
                </c:pt>
              </c:numCache>
            </c:numRef>
          </c:val>
        </c:ser>
        <c:ser>
          <c:idx val="1"/>
          <c:order val="1"/>
          <c:tx>
            <c:strRef>
              <c:f>'Energi  koreksi Cici'!$G$32</c:f>
              <c:strCache>
                <c:ptCount val="1"/>
                <c:pt idx="0">
                  <c:v>konsumsi minyak tanah (SBM)</c:v>
                </c:pt>
              </c:strCache>
            </c:strRef>
          </c:tx>
          <c:cat>
            <c:numRef>
              <c:f>'Energi  koreksi Cici'!$A$33:$A$53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Cici'!$G$33:$G$53</c:f>
              <c:numCache>
                <c:formatCode>#,##0</c:formatCode>
                <c:ptCount val="21"/>
                <c:pt idx="0">
                  <c:v>3500000</c:v>
                </c:pt>
                <c:pt idx="1">
                  <c:v>3100000</c:v>
                </c:pt>
                <c:pt idx="2">
                  <c:v>2700000</c:v>
                </c:pt>
                <c:pt idx="3">
                  <c:v>2300000</c:v>
                </c:pt>
                <c:pt idx="4">
                  <c:v>1900000</c:v>
                </c:pt>
                <c:pt idx="5">
                  <c:v>1500000</c:v>
                </c:pt>
                <c:pt idx="6">
                  <c:v>1550000</c:v>
                </c:pt>
                <c:pt idx="7">
                  <c:v>1600000</c:v>
                </c:pt>
                <c:pt idx="8">
                  <c:v>1650000</c:v>
                </c:pt>
                <c:pt idx="9">
                  <c:v>1700000</c:v>
                </c:pt>
                <c:pt idx="10">
                  <c:v>1750000</c:v>
                </c:pt>
                <c:pt idx="11">
                  <c:v>1800000</c:v>
                </c:pt>
                <c:pt idx="12">
                  <c:v>1850000</c:v>
                </c:pt>
                <c:pt idx="13">
                  <c:v>1900000</c:v>
                </c:pt>
                <c:pt idx="14">
                  <c:v>1950000</c:v>
                </c:pt>
                <c:pt idx="15">
                  <c:v>2000000</c:v>
                </c:pt>
                <c:pt idx="16">
                  <c:v>3720000</c:v>
                </c:pt>
                <c:pt idx="17">
                  <c:v>5440000</c:v>
                </c:pt>
                <c:pt idx="18">
                  <c:v>7160000</c:v>
                </c:pt>
                <c:pt idx="19">
                  <c:v>8880000</c:v>
                </c:pt>
                <c:pt idx="20">
                  <c:v>10600000</c:v>
                </c:pt>
              </c:numCache>
            </c:numRef>
          </c:val>
        </c:ser>
        <c:ser>
          <c:idx val="2"/>
          <c:order val="2"/>
          <c:tx>
            <c:strRef>
              <c:f>'Energi  koreksi Cici'!$L$32</c:f>
              <c:strCache>
                <c:ptCount val="1"/>
                <c:pt idx="0">
                  <c:v>Konsumsi Listrik (SBM)</c:v>
                </c:pt>
              </c:strCache>
            </c:strRef>
          </c:tx>
          <c:cat>
            <c:numRef>
              <c:f>'Energi  koreksi Cici'!$A$33:$A$53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Cici'!$L$33:$L$53</c:f>
              <c:numCache>
                <c:formatCode>#,##0</c:formatCode>
                <c:ptCount val="21"/>
                <c:pt idx="0">
                  <c:v>3400000</c:v>
                </c:pt>
                <c:pt idx="1">
                  <c:v>3480000</c:v>
                </c:pt>
                <c:pt idx="2">
                  <c:v>3560000</c:v>
                </c:pt>
                <c:pt idx="3">
                  <c:v>3640000</c:v>
                </c:pt>
                <c:pt idx="4">
                  <c:v>3720000</c:v>
                </c:pt>
                <c:pt idx="5">
                  <c:v>3800000</c:v>
                </c:pt>
                <c:pt idx="6">
                  <c:v>3880000</c:v>
                </c:pt>
                <c:pt idx="7">
                  <c:v>3960000</c:v>
                </c:pt>
                <c:pt idx="8">
                  <c:v>4040000</c:v>
                </c:pt>
                <c:pt idx="9">
                  <c:v>4120000</c:v>
                </c:pt>
                <c:pt idx="10">
                  <c:v>4200000</c:v>
                </c:pt>
                <c:pt idx="11">
                  <c:v>4280000</c:v>
                </c:pt>
                <c:pt idx="12">
                  <c:v>4360000</c:v>
                </c:pt>
                <c:pt idx="13">
                  <c:v>4440000</c:v>
                </c:pt>
                <c:pt idx="14">
                  <c:v>4520000</c:v>
                </c:pt>
                <c:pt idx="15">
                  <c:v>4600000</c:v>
                </c:pt>
                <c:pt idx="16">
                  <c:v>4680000</c:v>
                </c:pt>
                <c:pt idx="17">
                  <c:v>4760000</c:v>
                </c:pt>
                <c:pt idx="18">
                  <c:v>4840000</c:v>
                </c:pt>
                <c:pt idx="19">
                  <c:v>4920000</c:v>
                </c:pt>
                <c:pt idx="20">
                  <c:v>5000000</c:v>
                </c:pt>
              </c:numCache>
            </c:numRef>
          </c:val>
        </c:ser>
        <c:ser>
          <c:idx val="3"/>
          <c:order val="3"/>
          <c:cat>
            <c:numRef>
              <c:f>'Energi  koreksi Cici'!$A$33:$A$53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Lit>
              <c:formatCode>General</c:formatCode>
              <c:ptCount val="1"/>
              <c:pt idx="0">
                <c:v>1</c:v>
              </c:pt>
            </c:numLit>
          </c:val>
        </c:ser>
        <c:gapWidth val="75"/>
        <c:overlap val="100"/>
        <c:axId val="162758016"/>
        <c:axId val="172119552"/>
      </c:barChart>
      <c:catAx>
        <c:axId val="162758016"/>
        <c:scaling>
          <c:orientation val="minMax"/>
        </c:scaling>
        <c:axPos val="b"/>
        <c:title>
          <c:tx>
            <c:rich>
              <a:bodyPr/>
              <a:lstStyle/>
              <a:p>
                <a:pPr>
                  <a:defRPr lang="en-US"/>
                </a:pPr>
                <a:r>
                  <a:rPr lang="en-US"/>
                  <a:t>Tahun</a:t>
                </a:r>
              </a:p>
            </c:rich>
          </c:tx>
          <c:layout/>
        </c:title>
        <c:numFmt formatCode="General" sourceLinked="1"/>
        <c:majorTickMark val="none"/>
        <c:tickLblPos val="nextTo"/>
        <c:txPr>
          <a:bodyPr/>
          <a:lstStyle/>
          <a:p>
            <a:pPr>
              <a:defRPr lang="en-US"/>
            </a:pPr>
            <a:endParaRPr lang="id-ID"/>
          </a:p>
        </c:txPr>
        <c:crossAx val="172119552"/>
        <c:crosses val="autoZero"/>
        <c:auto val="1"/>
        <c:lblAlgn val="ctr"/>
        <c:lblOffset val="100"/>
      </c:catAx>
      <c:valAx>
        <c:axId val="172119552"/>
        <c:scaling>
          <c:orientation val="minMax"/>
        </c:scaling>
        <c:axPos val="l"/>
        <c:majorGridlines/>
        <c:minorGridlines/>
        <c:title>
          <c:tx>
            <c:rich>
              <a:bodyPr/>
              <a:lstStyle/>
              <a:p>
                <a:pPr>
                  <a:defRPr lang="en-US"/>
                </a:pPr>
                <a:r>
                  <a:rPr lang="en-US"/>
                  <a:t>Konsumsi Ebergi Rumah Tangga (SBM)</a:t>
                </a:r>
              </a:p>
            </c:rich>
          </c:tx>
          <c:layout/>
        </c:title>
        <c:numFmt formatCode="#,##0" sourceLinked="1"/>
        <c:tickLblPos val="nextTo"/>
        <c:txPr>
          <a:bodyPr/>
          <a:lstStyle/>
          <a:p>
            <a:pPr>
              <a:defRPr lang="en-US"/>
            </a:pPr>
            <a:endParaRPr lang="id-ID"/>
          </a:p>
        </c:txPr>
        <c:crossAx val="162758016"/>
        <c:crosses val="autoZero"/>
        <c:crossBetween val="between"/>
      </c:valAx>
    </c:plotArea>
    <c:legend>
      <c:legendPos val="r"/>
      <c:legendEntry>
        <c:idx val="0"/>
        <c:delete val="1"/>
      </c:legendEntry>
      <c:layout/>
      <c:txPr>
        <a:bodyPr/>
        <a:lstStyle/>
        <a:p>
          <a:pPr>
            <a:defRPr lang="en-US"/>
          </a:pPr>
          <a:endParaRPr lang="id-ID"/>
        </a:p>
      </c:txPr>
    </c:legend>
    <c:plotVisOnly val="1"/>
  </c:chart>
  <c:printSettings>
    <c:headerFooter/>
    <c:pageMargins b="0.75000000000000455" l="0.70000000000000062" r="0.70000000000000062" t="0.750000000000004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chart>
    <c:autoTitleDeleted val="1"/>
    <c:plotArea>
      <c:layout>
        <c:manualLayout>
          <c:layoutTarget val="inner"/>
          <c:xMode val="edge"/>
          <c:yMode val="edge"/>
          <c:x val="0.31091667774854048"/>
          <c:y val="5.4943564797027319E-2"/>
          <c:w val="0.50118328130686307"/>
          <c:h val="0.6793784529202721"/>
        </c:manualLayout>
      </c:layout>
      <c:barChart>
        <c:barDir val="col"/>
        <c:grouping val="stacked"/>
        <c:ser>
          <c:idx val="0"/>
          <c:order val="0"/>
          <c:tx>
            <c:strRef>
              <c:f>'Energi  koreksi Cici'!$M$29:$M$56</c:f>
              <c:strCache>
                <c:ptCount val="1"/>
                <c:pt idx="0">
                  <c:v>Perkiraan Konsumsi Energi Rumah Tangga (SBM)  dan Jenis Bahan Bakar Untuk Memasak Listrik konversi SBM ke MWH 2.084.200 2.133.240 2.182.280 2.231.320 2.280.360 2.329.400 2.378.440 2.427.480 2.476.520 2.525.560 2.574.600 2.623.640 2.672.680 2.721.720 2.770</c:v>
                </c:pt>
              </c:strCache>
            </c:strRef>
          </c:tx>
          <c:cat>
            <c:numRef>
              <c:f>'Energi  koreksi Cici'!$A$5:$A$15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'Energi  koreksi Cici'!$M$57:$M$58</c:f>
              <c:numCache>
                <c:formatCode>0.00</c:formatCode>
                <c:ptCount val="2"/>
              </c:numCache>
            </c:numRef>
          </c:val>
        </c:ser>
        <c:ser>
          <c:idx val="1"/>
          <c:order val="1"/>
          <c:tx>
            <c:strRef>
              <c:f>'Energi  koreksi Cici'!$N$29:$N$56</c:f>
              <c:strCache>
                <c:ptCount val="1"/>
                <c:pt idx="0">
                  <c:v>Perkiraan Konsumsi Energi Rumah Tangga (SBM)  dan Jenis Bahan Bakar Untuk Memasak Listrik EMISI CO2(kg) 1.511.045.000 1.546.599.000 1.582.153.000 1.617.707.000 1.653.261.000 1.688.815.000 1.724.369.000 1.759.923.000 1.795.477.000 1.831.031.000 1.866.585.0</c:v>
                </c:pt>
              </c:strCache>
            </c:strRef>
          </c:tx>
          <c:cat>
            <c:numRef>
              <c:f>'Energi  koreksi Cici'!$A$5:$A$15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'Energi  koreksi Cici'!$N$57:$N$58</c:f>
              <c:numCache>
                <c:formatCode>0.00</c:formatCode>
                <c:ptCount val="2"/>
              </c:numCache>
            </c:numRef>
          </c:val>
        </c:ser>
        <c:ser>
          <c:idx val="2"/>
          <c:order val="2"/>
          <c:tx>
            <c:strRef>
              <c:f>'Energi  koreksi Cici'!$O$29:$O$56</c:f>
              <c:strCache>
                <c:ptCount val="1"/>
                <c:pt idx="0">
                  <c:v>Perkiraan Konsumsi Energi Rumah Tangga (SBM)  dan Jenis Bahan Bakar Untuk Memasak Listrik EMISI CO2 eq  dari konsumsi listrik(Ribu ton) 1.511 1.547 1.582 1.618 1.653 1.689 1.724 1.760 1.795 1.831 1.867 1.902 1.938 1.973 2.009 2.044 2.080 2.115 2.151 2.187</c:v>
                </c:pt>
              </c:strCache>
            </c:strRef>
          </c:tx>
          <c:cat>
            <c:numRef>
              <c:f>'Energi  koreksi Cici'!$A$5:$A$15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'Energi  koreksi Cici'!$O$57:$O$58</c:f>
              <c:numCache>
                <c:formatCode>0.00</c:formatCode>
                <c:ptCount val="2"/>
              </c:numCache>
            </c:numRef>
          </c:val>
        </c:ser>
        <c:ser>
          <c:idx val="3"/>
          <c:order val="3"/>
          <c:tx>
            <c:v>bensin</c:v>
          </c:tx>
          <c:cat>
            <c:numRef>
              <c:f>'Energi  koreksi Cici'!$A$5:$A$15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'Energi  koreksi Cici'!$B$5:$B$15</c:f>
              <c:numCache>
                <c:formatCode>#,##0</c:formatCode>
                <c:ptCount val="11"/>
                <c:pt idx="0">
                  <c:v>19800000</c:v>
                </c:pt>
                <c:pt idx="1">
                  <c:v>21240000</c:v>
                </c:pt>
                <c:pt idx="2">
                  <c:v>22680000</c:v>
                </c:pt>
                <c:pt idx="3">
                  <c:v>24120000</c:v>
                </c:pt>
                <c:pt idx="4">
                  <c:v>25560000</c:v>
                </c:pt>
                <c:pt idx="5">
                  <c:v>27000000</c:v>
                </c:pt>
                <c:pt idx="6">
                  <c:v>28960000</c:v>
                </c:pt>
                <c:pt idx="7">
                  <c:v>28960001</c:v>
                </c:pt>
                <c:pt idx="8">
                  <c:v>28960002</c:v>
                </c:pt>
                <c:pt idx="9">
                  <c:v>28960003</c:v>
                </c:pt>
                <c:pt idx="10">
                  <c:v>36800000</c:v>
                </c:pt>
              </c:numCache>
            </c:numRef>
          </c:val>
        </c:ser>
        <c:ser>
          <c:idx val="4"/>
          <c:order val="4"/>
          <c:tx>
            <c:v>Solar</c:v>
          </c:tx>
          <c:val>
            <c:numRef>
              <c:f>'Energi  koreksi Cici'!$G$5:$G$15</c:f>
              <c:numCache>
                <c:formatCode>#,##0</c:formatCode>
                <c:ptCount val="11"/>
                <c:pt idx="0">
                  <c:v>7700000</c:v>
                </c:pt>
                <c:pt idx="1">
                  <c:v>8260000</c:v>
                </c:pt>
                <c:pt idx="2">
                  <c:v>8820000</c:v>
                </c:pt>
                <c:pt idx="3">
                  <c:v>9380000</c:v>
                </c:pt>
                <c:pt idx="4">
                  <c:v>9940000</c:v>
                </c:pt>
                <c:pt idx="5">
                  <c:v>10500000</c:v>
                </c:pt>
                <c:pt idx="6">
                  <c:v>12320000</c:v>
                </c:pt>
                <c:pt idx="7">
                  <c:v>14140000</c:v>
                </c:pt>
                <c:pt idx="8">
                  <c:v>15960000</c:v>
                </c:pt>
                <c:pt idx="9">
                  <c:v>17780000</c:v>
                </c:pt>
                <c:pt idx="10">
                  <c:v>14400000</c:v>
                </c:pt>
              </c:numCache>
            </c:numRef>
          </c:val>
        </c:ser>
        <c:gapWidth val="75"/>
        <c:overlap val="100"/>
        <c:axId val="123284096"/>
        <c:axId val="123859712"/>
      </c:barChart>
      <c:catAx>
        <c:axId val="123284096"/>
        <c:scaling>
          <c:orientation val="minMax"/>
        </c:scaling>
        <c:axPos val="b"/>
        <c:title>
          <c:tx>
            <c:rich>
              <a:bodyPr/>
              <a:lstStyle/>
              <a:p>
                <a:pPr>
                  <a:defRPr lang="en-US"/>
                </a:pPr>
                <a:r>
                  <a:rPr lang="en-US"/>
                  <a:t>Tahun</a:t>
                </a:r>
              </a:p>
            </c:rich>
          </c:tx>
          <c:layout/>
        </c:title>
        <c:numFmt formatCode="General" sourceLinked="1"/>
        <c:majorTickMark val="none"/>
        <c:tickLblPos val="nextTo"/>
        <c:txPr>
          <a:bodyPr/>
          <a:lstStyle/>
          <a:p>
            <a:pPr>
              <a:defRPr lang="en-US"/>
            </a:pPr>
            <a:endParaRPr lang="id-ID"/>
          </a:p>
        </c:txPr>
        <c:crossAx val="123859712"/>
        <c:crosses val="autoZero"/>
        <c:auto val="1"/>
        <c:lblAlgn val="ctr"/>
        <c:lblOffset val="100"/>
      </c:catAx>
      <c:valAx>
        <c:axId val="123859712"/>
        <c:scaling>
          <c:orientation val="minMax"/>
        </c:scaling>
        <c:axPos val="l"/>
        <c:majorGridlines/>
        <c:minorGridlines/>
        <c:title>
          <c:tx>
            <c:rich>
              <a:bodyPr/>
              <a:lstStyle/>
              <a:p>
                <a:pPr>
                  <a:defRPr lang="en-US"/>
                </a:pPr>
                <a:r>
                  <a:rPr lang="en-US"/>
                  <a:t>Konsumsi Ebergi Kendaraan (SBM)</a:t>
                </a:r>
              </a:p>
            </c:rich>
          </c:tx>
          <c:layout/>
        </c:title>
        <c:numFmt formatCode="General" sourceLinked="1"/>
        <c:tickLblPos val="nextTo"/>
        <c:txPr>
          <a:bodyPr/>
          <a:lstStyle/>
          <a:p>
            <a:pPr>
              <a:defRPr lang="en-US"/>
            </a:pPr>
            <a:endParaRPr lang="id-ID"/>
          </a:p>
        </c:txPr>
        <c:crossAx val="123284096"/>
        <c:crosses val="autoZero"/>
        <c:crossBetween val="between"/>
      </c:valAx>
    </c:plotArea>
    <c:legend>
      <c:legendPos val="r"/>
      <c:layout>
        <c:manualLayout>
          <c:xMode val="edge"/>
          <c:yMode val="edge"/>
          <c:x val="0.84105448080853362"/>
          <c:y val="0.39071724104607947"/>
          <c:w val="0.12228247766321004"/>
          <c:h val="0.17959164841317821"/>
        </c:manualLayout>
      </c:layout>
      <c:txPr>
        <a:bodyPr/>
        <a:lstStyle/>
        <a:p>
          <a:pPr>
            <a:defRPr lang="en-US"/>
          </a:pPr>
          <a:endParaRPr lang="id-ID"/>
        </a:p>
      </c:txPr>
    </c:legend>
    <c:plotVisOnly val="1"/>
  </c:chart>
  <c:printSettings>
    <c:headerFooter/>
    <c:pageMargins b="0.75000000000000344" l="0.70000000000000062" r="0.70000000000000062" t="0.750000000000003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sz="1100"/>
            </a:pPr>
            <a:r>
              <a:rPr lang="id-ID" sz="1100" b="1" i="0" baseline="0"/>
              <a:t>BaU Baseline Emisi CO2eq dari sektor  Transportasi</a:t>
            </a:r>
          </a:p>
        </c:rich>
      </c:tx>
      <c:layout/>
    </c:title>
    <c:plotArea>
      <c:layout/>
      <c:barChart>
        <c:barDir val="col"/>
        <c:grouping val="stacked"/>
        <c:ser>
          <c:idx val="0"/>
          <c:order val="0"/>
          <c:tx>
            <c:strRef>
              <c:f>'Energi  koreksi Cici'!$F$4</c:f>
              <c:strCache>
                <c:ptCount val="1"/>
                <c:pt idx="0">
                  <c:v>EMISI CO2dari konsumsi bensin (ribu ton)</c:v>
                </c:pt>
              </c:strCache>
            </c:strRef>
          </c:tx>
          <c:cat>
            <c:numRef>
              <c:f>'Energi  koreksi Cici'!$A$5:$A$25</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Cici'!$F$5:$F$25</c:f>
              <c:numCache>
                <c:formatCode>#,##0</c:formatCode>
                <c:ptCount val="21"/>
                <c:pt idx="0">
                  <c:v>8595.6204589200006</c:v>
                </c:pt>
                <c:pt idx="1">
                  <c:v>9220.7564922960009</c:v>
                </c:pt>
                <c:pt idx="2">
                  <c:v>9845.8925256720013</c:v>
                </c:pt>
                <c:pt idx="3">
                  <c:v>10471.028559048</c:v>
                </c:pt>
                <c:pt idx="4">
                  <c:v>11096.164592424002</c:v>
                </c:pt>
                <c:pt idx="5">
                  <c:v>11721.3006258</c:v>
                </c:pt>
                <c:pt idx="6">
                  <c:v>12572.180226784001</c:v>
                </c:pt>
                <c:pt idx="7">
                  <c:v>12572.180660906246</c:v>
                </c:pt>
                <c:pt idx="8">
                  <c:v>12572.181095028491</c:v>
                </c:pt>
                <c:pt idx="9">
                  <c:v>12572.181529150737</c:v>
                </c:pt>
                <c:pt idx="10">
                  <c:v>15975.69863072</c:v>
                </c:pt>
                <c:pt idx="11">
                  <c:v>17139.146248392</c:v>
                </c:pt>
                <c:pt idx="12">
                  <c:v>18302.593866064002</c:v>
                </c:pt>
                <c:pt idx="13">
                  <c:v>19466.041483736004</c:v>
                </c:pt>
                <c:pt idx="14">
                  <c:v>20629.489101408002</c:v>
                </c:pt>
                <c:pt idx="15">
                  <c:v>21792.93671908</c:v>
                </c:pt>
                <c:pt idx="16">
                  <c:v>23381.824137244002</c:v>
                </c:pt>
                <c:pt idx="17">
                  <c:v>24970.711555408001</c:v>
                </c:pt>
                <c:pt idx="18">
                  <c:v>26559.598973572003</c:v>
                </c:pt>
                <c:pt idx="19">
                  <c:v>28148.486391736005</c:v>
                </c:pt>
                <c:pt idx="20">
                  <c:v>29737.3738099</c:v>
                </c:pt>
              </c:numCache>
            </c:numRef>
          </c:val>
        </c:ser>
        <c:ser>
          <c:idx val="1"/>
          <c:order val="1"/>
          <c:tx>
            <c:strRef>
              <c:f>'Energi  koreksi Cici'!$K$4</c:f>
              <c:strCache>
                <c:ptCount val="1"/>
                <c:pt idx="0">
                  <c:v>EMISI CO2dari konsumsi solar (ribu ton)</c:v>
                </c:pt>
              </c:strCache>
            </c:strRef>
          </c:tx>
          <c:cat>
            <c:numRef>
              <c:f>'Energi  koreksi Cici'!$A$5:$A$25</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Cici'!$K$5:$K$25</c:f>
              <c:numCache>
                <c:formatCode>#,##0</c:formatCode>
                <c:ptCount val="21"/>
                <c:pt idx="0">
                  <c:v>3509.6366474400006</c:v>
                </c:pt>
                <c:pt idx="1">
                  <c:v>3764.8829490720004</c:v>
                </c:pt>
                <c:pt idx="2">
                  <c:v>4020.1292507040007</c:v>
                </c:pt>
                <c:pt idx="3">
                  <c:v>4275.3755523360005</c:v>
                </c:pt>
                <c:pt idx="4">
                  <c:v>4530.6218539680003</c:v>
                </c:pt>
                <c:pt idx="5">
                  <c:v>4785.8681556000001</c:v>
                </c:pt>
                <c:pt idx="6">
                  <c:v>5615.4186359040004</c:v>
                </c:pt>
                <c:pt idx="7">
                  <c:v>6444.9691162079998</c:v>
                </c:pt>
                <c:pt idx="8">
                  <c:v>7274.519596512001</c:v>
                </c:pt>
                <c:pt idx="9">
                  <c:v>8104.0700768160013</c:v>
                </c:pt>
                <c:pt idx="10">
                  <c:v>6563.4763276800004</c:v>
                </c:pt>
                <c:pt idx="11">
                  <c:v>7037.5051735680008</c:v>
                </c:pt>
                <c:pt idx="12">
                  <c:v>7511.5340194560004</c:v>
                </c:pt>
                <c:pt idx="13">
                  <c:v>7985.5628653440008</c:v>
                </c:pt>
                <c:pt idx="14">
                  <c:v>8459.5917112320003</c:v>
                </c:pt>
                <c:pt idx="15">
                  <c:v>8933.6205571200007</c:v>
                </c:pt>
                <c:pt idx="16">
                  <c:v>9580.8522505440014</c:v>
                </c:pt>
                <c:pt idx="17">
                  <c:v>10228.083943967998</c:v>
                </c:pt>
                <c:pt idx="18">
                  <c:v>10875.315637392001</c:v>
                </c:pt>
                <c:pt idx="19">
                  <c:v>11522.547330816002</c:v>
                </c:pt>
                <c:pt idx="20">
                  <c:v>12169.779024240001</c:v>
                </c:pt>
              </c:numCache>
            </c:numRef>
          </c:val>
        </c:ser>
        <c:gapWidth val="95"/>
        <c:overlap val="100"/>
        <c:axId val="124918400"/>
        <c:axId val="124920192"/>
      </c:barChart>
      <c:catAx>
        <c:axId val="124918400"/>
        <c:scaling>
          <c:orientation val="minMax"/>
        </c:scaling>
        <c:axPos val="b"/>
        <c:numFmt formatCode="General" sourceLinked="1"/>
        <c:majorTickMark val="none"/>
        <c:tickLblPos val="nextTo"/>
        <c:txPr>
          <a:bodyPr/>
          <a:lstStyle/>
          <a:p>
            <a:pPr>
              <a:defRPr lang="en-US"/>
            </a:pPr>
            <a:endParaRPr lang="id-ID"/>
          </a:p>
        </c:txPr>
        <c:crossAx val="124920192"/>
        <c:crosses val="autoZero"/>
        <c:auto val="1"/>
        <c:lblAlgn val="ctr"/>
        <c:lblOffset val="100"/>
        <c:tickLblSkip val="10"/>
        <c:tickMarkSkip val="10"/>
      </c:catAx>
      <c:valAx>
        <c:axId val="124920192"/>
        <c:scaling>
          <c:orientation val="minMax"/>
        </c:scaling>
        <c:axPos val="l"/>
        <c:majorGridlines/>
        <c:title>
          <c:tx>
            <c:rich>
              <a:bodyPr/>
              <a:lstStyle/>
              <a:p>
                <a:pPr>
                  <a:defRPr lang="en-US" sz="1100"/>
                </a:pPr>
                <a:r>
                  <a:rPr lang="en-US" sz="1100" b="1" i="0" baseline="0"/>
                  <a:t>Emisi CO2 Energi </a:t>
                </a:r>
                <a:r>
                  <a:rPr lang="id-ID" sz="1100" b="1" i="0" baseline="0"/>
                  <a:t>Transportasi </a:t>
                </a:r>
                <a:r>
                  <a:rPr lang="en-US" sz="1100" b="1" i="0" baseline="0"/>
                  <a:t>(</a:t>
                </a:r>
                <a:r>
                  <a:rPr lang="id-ID" sz="1100" b="1" i="0" baseline="0"/>
                  <a:t>Ribu </a:t>
                </a:r>
                <a:r>
                  <a:rPr lang="en-US" sz="1100" b="1" i="0" baseline="0"/>
                  <a:t>ton CO2eq)</a:t>
                </a:r>
                <a:endParaRPr lang="id-ID" sz="1100"/>
              </a:p>
            </c:rich>
          </c:tx>
          <c:layout>
            <c:manualLayout>
              <c:xMode val="edge"/>
              <c:yMode val="edge"/>
              <c:x val="9.3495485298764683E-2"/>
              <c:y val="3.4533923572866783E-2"/>
            </c:manualLayout>
          </c:layout>
        </c:title>
        <c:numFmt formatCode="#,##0" sourceLinked="1"/>
        <c:majorTickMark val="none"/>
        <c:tickLblPos val="nextTo"/>
        <c:txPr>
          <a:bodyPr/>
          <a:lstStyle/>
          <a:p>
            <a:pPr>
              <a:defRPr lang="en-US"/>
            </a:pPr>
            <a:endParaRPr lang="id-ID"/>
          </a:p>
        </c:txPr>
        <c:crossAx val="124918400"/>
        <c:crosses val="autoZero"/>
        <c:crossBetween val="between"/>
      </c:valAx>
      <c:dTable>
        <c:showHorzBorder val="1"/>
        <c:showVertBorder val="1"/>
        <c:showOutline val="1"/>
        <c:showKeys val="1"/>
        <c:txPr>
          <a:bodyPr/>
          <a:lstStyle/>
          <a:p>
            <a:pPr rtl="0">
              <a:defRPr sz="800"/>
            </a:pPr>
            <a:endParaRPr lang="id-ID"/>
          </a:p>
        </c:txPr>
      </c:dTable>
    </c:plotArea>
    <c:plotVisOnly val="1"/>
  </c:chart>
  <c:printSettings>
    <c:headerFooter/>
    <c:pageMargins b="0.75000000000000366" l="0.70000000000000062" r="0.70000000000000062" t="0.750000000000003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a:pPr>
            <a:r>
              <a:rPr lang="id-ID"/>
              <a:t>BaU</a:t>
            </a:r>
            <a:r>
              <a:rPr lang="id-ID" baseline="0"/>
              <a:t> Baseline </a:t>
            </a:r>
            <a:r>
              <a:rPr lang="id-ID"/>
              <a:t>Emisi CO2eq dari sektor  pengadaan  </a:t>
            </a:r>
          </a:p>
          <a:p>
            <a:pPr>
              <a:defRPr/>
            </a:pPr>
            <a:r>
              <a:rPr lang="id-ID"/>
              <a:t>dan penggunaan Energi  sektor komersial</a:t>
            </a:r>
          </a:p>
        </c:rich>
      </c:tx>
      <c:layout/>
    </c:title>
    <c:plotArea>
      <c:layout/>
      <c:barChart>
        <c:barDir val="col"/>
        <c:grouping val="stacked"/>
        <c:ser>
          <c:idx val="0"/>
          <c:order val="0"/>
          <c:tx>
            <c:strRef>
              <c:f>'Energi  koreksi Cici'!$B$89:$F$89</c:f>
              <c:strCache>
                <c:ptCount val="1"/>
                <c:pt idx="0">
                  <c:v>SOLAR</c:v>
                </c:pt>
              </c:strCache>
            </c:strRef>
          </c:tx>
          <c:cat>
            <c:numRef>
              <c:f>'Energi  koreksi Cici'!$A$91:$A$111</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Cici'!$F$91:$F$111</c:f>
              <c:numCache>
                <c:formatCode>#,##0</c:formatCode>
                <c:ptCount val="21"/>
                <c:pt idx="0">
                  <c:v>1732.0284753600001</c:v>
                </c:pt>
                <c:pt idx="1">
                  <c:v>1914.34726224</c:v>
                </c:pt>
                <c:pt idx="2">
                  <c:v>2096.66604912</c:v>
                </c:pt>
                <c:pt idx="3">
                  <c:v>2278.9848360000001</c:v>
                </c:pt>
                <c:pt idx="4">
                  <c:v>2461.3036228800001</c:v>
                </c:pt>
                <c:pt idx="5">
                  <c:v>2643.6224097599998</c:v>
                </c:pt>
                <c:pt idx="6">
                  <c:v>2907.9846507360003</c:v>
                </c:pt>
                <c:pt idx="7">
                  <c:v>3172.3468917119999</c:v>
                </c:pt>
                <c:pt idx="8">
                  <c:v>3436.7091326880004</c:v>
                </c:pt>
                <c:pt idx="9">
                  <c:v>3701.071373664</c:v>
                </c:pt>
                <c:pt idx="10">
                  <c:v>3965.4336146400005</c:v>
                </c:pt>
                <c:pt idx="11">
                  <c:v>4366.5349457760003</c:v>
                </c:pt>
                <c:pt idx="12">
                  <c:v>4767.6362769119996</c:v>
                </c:pt>
                <c:pt idx="13">
                  <c:v>5168.7376080480008</c:v>
                </c:pt>
                <c:pt idx="14">
                  <c:v>5569.8389391840001</c:v>
                </c:pt>
                <c:pt idx="15">
                  <c:v>5970.9402703199994</c:v>
                </c:pt>
                <c:pt idx="16">
                  <c:v>6563.4763276800004</c:v>
                </c:pt>
                <c:pt idx="17">
                  <c:v>7156.0123850400005</c:v>
                </c:pt>
                <c:pt idx="18">
                  <c:v>7748.5484424000006</c:v>
                </c:pt>
                <c:pt idx="19">
                  <c:v>8341.0844997599997</c:v>
                </c:pt>
                <c:pt idx="20">
                  <c:v>8933.6205571200007</c:v>
                </c:pt>
              </c:numCache>
            </c:numRef>
          </c:val>
        </c:ser>
        <c:ser>
          <c:idx val="1"/>
          <c:order val="1"/>
          <c:tx>
            <c:strRef>
              <c:f>'Energi  koreksi Cici'!$G$89:$K$89</c:f>
              <c:strCache>
                <c:ptCount val="1"/>
                <c:pt idx="0">
                  <c:v>MINYAK TANAH</c:v>
                </c:pt>
              </c:strCache>
            </c:strRef>
          </c:tx>
          <c:cat>
            <c:numRef>
              <c:f>'Energi  koreksi Cici'!$A$91:$A$111</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Cici'!$K$91:$K$111</c:f>
              <c:numCache>
                <c:formatCode>#,##0</c:formatCode>
                <c:ptCount val="21"/>
                <c:pt idx="0">
                  <c:v>5617.6566234400007</c:v>
                </c:pt>
                <c:pt idx="1">
                  <c:v>6183.8456374560001</c:v>
                </c:pt>
                <c:pt idx="2">
                  <c:v>6750.0346514720004</c:v>
                </c:pt>
                <c:pt idx="3">
                  <c:v>7316.2236654879998</c:v>
                </c:pt>
                <c:pt idx="4">
                  <c:v>7882.4126795040011</c:v>
                </c:pt>
                <c:pt idx="5">
                  <c:v>8448.6016935199987</c:v>
                </c:pt>
                <c:pt idx="6">
                  <c:v>9297.8852145440014</c:v>
                </c:pt>
                <c:pt idx="7">
                  <c:v>10147.168735567999</c:v>
                </c:pt>
                <c:pt idx="8">
                  <c:v>10996.452256592002</c:v>
                </c:pt>
                <c:pt idx="9">
                  <c:v>11845.735777616001</c:v>
                </c:pt>
                <c:pt idx="10">
                  <c:v>12695.01929864</c:v>
                </c:pt>
                <c:pt idx="11">
                  <c:v>13977.79128352</c:v>
                </c:pt>
                <c:pt idx="12">
                  <c:v>15260.563268400001</c:v>
                </c:pt>
                <c:pt idx="13">
                  <c:v>16543.335253280002</c:v>
                </c:pt>
                <c:pt idx="14">
                  <c:v>17826.107238159999</c:v>
                </c:pt>
                <c:pt idx="15">
                  <c:v>19108.879223039999</c:v>
                </c:pt>
                <c:pt idx="16">
                  <c:v>21028.613848688001</c:v>
                </c:pt>
                <c:pt idx="17">
                  <c:v>22948.348474335999</c:v>
                </c:pt>
                <c:pt idx="18">
                  <c:v>24868.083099984</c:v>
                </c:pt>
                <c:pt idx="19">
                  <c:v>26787.817725632005</c:v>
                </c:pt>
                <c:pt idx="20">
                  <c:v>28707.552351279999</c:v>
                </c:pt>
              </c:numCache>
            </c:numRef>
          </c:val>
        </c:ser>
        <c:ser>
          <c:idx val="2"/>
          <c:order val="2"/>
          <c:tx>
            <c:strRef>
              <c:f>'Energi  koreksi Cici'!$L$89:$P$89</c:f>
              <c:strCache>
                <c:ptCount val="1"/>
                <c:pt idx="0">
                  <c:v>BATU BARA</c:v>
                </c:pt>
              </c:strCache>
            </c:strRef>
          </c:tx>
          <c:cat>
            <c:numRef>
              <c:f>'Energi  koreksi Cici'!$A$91:$A$111</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Cici'!$P$91:$P$111</c:f>
              <c:numCache>
                <c:formatCode>#,##0</c:formatCode>
                <c:ptCount val="21"/>
                <c:pt idx="0">
                  <c:v>58.172109199999994</c:v>
                </c:pt>
                <c:pt idx="1">
                  <c:v>58.172109199999994</c:v>
                </c:pt>
                <c:pt idx="2">
                  <c:v>58.172109199999994</c:v>
                </c:pt>
                <c:pt idx="3">
                  <c:v>58.172109199999994</c:v>
                </c:pt>
                <c:pt idx="4">
                  <c:v>58.172109199999994</c:v>
                </c:pt>
                <c:pt idx="5">
                  <c:v>58.172109199999994</c:v>
                </c:pt>
                <c:pt idx="6">
                  <c:v>69.806531039999996</c:v>
                </c:pt>
                <c:pt idx="7">
                  <c:v>81.440952879999998</c:v>
                </c:pt>
                <c:pt idx="8">
                  <c:v>93.075374719999999</c:v>
                </c:pt>
                <c:pt idx="9">
                  <c:v>104.70979656</c:v>
                </c:pt>
                <c:pt idx="10">
                  <c:v>116.34421839999999</c:v>
                </c:pt>
                <c:pt idx="11">
                  <c:v>127.97864024</c:v>
                </c:pt>
                <c:pt idx="12">
                  <c:v>139.61306207999999</c:v>
                </c:pt>
                <c:pt idx="13">
                  <c:v>151.24748392000001</c:v>
                </c:pt>
                <c:pt idx="14">
                  <c:v>162.88190576</c:v>
                </c:pt>
                <c:pt idx="15">
                  <c:v>174.51632759999998</c:v>
                </c:pt>
                <c:pt idx="16">
                  <c:v>186.15074944</c:v>
                </c:pt>
                <c:pt idx="17">
                  <c:v>197.78517128000001</c:v>
                </c:pt>
                <c:pt idx="18">
                  <c:v>209.41959312</c:v>
                </c:pt>
                <c:pt idx="19">
                  <c:v>221.05401495999999</c:v>
                </c:pt>
                <c:pt idx="20">
                  <c:v>232.68843679999998</c:v>
                </c:pt>
              </c:numCache>
            </c:numRef>
          </c:val>
        </c:ser>
        <c:ser>
          <c:idx val="3"/>
          <c:order val="3"/>
          <c:tx>
            <c:strRef>
              <c:f>'Energi  koreksi Cici'!$Q$89:$U$89</c:f>
              <c:strCache>
                <c:ptCount val="1"/>
                <c:pt idx="0">
                  <c:v>LPG</c:v>
                </c:pt>
              </c:strCache>
            </c:strRef>
          </c:tx>
          <c:cat>
            <c:numRef>
              <c:f>'Energi  koreksi Cici'!$A$91:$A$111</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Cici'!$U$91:$U$111</c:f>
              <c:numCache>
                <c:formatCode>#,##0</c:formatCode>
                <c:ptCount val="21"/>
                <c:pt idx="0">
                  <c:v>38.693374119999994</c:v>
                </c:pt>
                <c:pt idx="1">
                  <c:v>46.432048944000002</c:v>
                </c:pt>
                <c:pt idx="2">
                  <c:v>54.170723768000002</c:v>
                </c:pt>
                <c:pt idx="3">
                  <c:v>61.909398592000002</c:v>
                </c:pt>
                <c:pt idx="4">
                  <c:v>69.648073416000003</c:v>
                </c:pt>
                <c:pt idx="5">
                  <c:v>77.386748239999989</c:v>
                </c:pt>
                <c:pt idx="6">
                  <c:v>77.386748239999989</c:v>
                </c:pt>
                <c:pt idx="7">
                  <c:v>77.386748239999989</c:v>
                </c:pt>
                <c:pt idx="8">
                  <c:v>77.386748239999989</c:v>
                </c:pt>
                <c:pt idx="9">
                  <c:v>77.386748239999989</c:v>
                </c:pt>
                <c:pt idx="10">
                  <c:v>77.386748239999989</c:v>
                </c:pt>
                <c:pt idx="11">
                  <c:v>92.864097888000003</c:v>
                </c:pt>
                <c:pt idx="12">
                  <c:v>108.341447536</c:v>
                </c:pt>
                <c:pt idx="13">
                  <c:v>123.818797184</c:v>
                </c:pt>
                <c:pt idx="14">
                  <c:v>139.29614683200001</c:v>
                </c:pt>
                <c:pt idx="15">
                  <c:v>154.77349647999998</c:v>
                </c:pt>
                <c:pt idx="16">
                  <c:v>162.51217130400002</c:v>
                </c:pt>
                <c:pt idx="17">
                  <c:v>170.25084612800003</c:v>
                </c:pt>
                <c:pt idx="18">
                  <c:v>177.98952095199999</c:v>
                </c:pt>
                <c:pt idx="19">
                  <c:v>185.72819577600001</c:v>
                </c:pt>
                <c:pt idx="20">
                  <c:v>193.46687059999999</c:v>
                </c:pt>
              </c:numCache>
            </c:numRef>
          </c:val>
        </c:ser>
        <c:ser>
          <c:idx val="4"/>
          <c:order val="4"/>
          <c:tx>
            <c:strRef>
              <c:f>'Energi  koreksi Cici'!$V$89:$Y$89</c:f>
              <c:strCache>
                <c:ptCount val="1"/>
                <c:pt idx="0">
                  <c:v>LISTRIK</c:v>
                </c:pt>
              </c:strCache>
            </c:strRef>
          </c:tx>
          <c:cat>
            <c:numRef>
              <c:f>'Energi  koreksi Cici'!$A$91:$A$111</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Cici'!$Y$91:$Y$111</c:f>
              <c:numCache>
                <c:formatCode>#,##0</c:formatCode>
                <c:ptCount val="21"/>
                <c:pt idx="0">
                  <c:v>577.75250000000005</c:v>
                </c:pt>
                <c:pt idx="1">
                  <c:v>631.08349999999996</c:v>
                </c:pt>
                <c:pt idx="2">
                  <c:v>684.41449999999998</c:v>
                </c:pt>
                <c:pt idx="3">
                  <c:v>737.74549999999999</c:v>
                </c:pt>
                <c:pt idx="4">
                  <c:v>791.07650000000001</c:v>
                </c:pt>
                <c:pt idx="5">
                  <c:v>844.40750000000003</c:v>
                </c:pt>
                <c:pt idx="6">
                  <c:v>933.29250000000002</c:v>
                </c:pt>
                <c:pt idx="7">
                  <c:v>1022.1775</c:v>
                </c:pt>
                <c:pt idx="8">
                  <c:v>1111.0625</c:v>
                </c:pt>
                <c:pt idx="9">
                  <c:v>1199.9475</c:v>
                </c:pt>
                <c:pt idx="10">
                  <c:v>1288.8325</c:v>
                </c:pt>
                <c:pt idx="11">
                  <c:v>1461.2693999999999</c:v>
                </c:pt>
                <c:pt idx="12">
                  <c:v>1633.7063000000001</c:v>
                </c:pt>
                <c:pt idx="13">
                  <c:v>1806.1432</c:v>
                </c:pt>
                <c:pt idx="14">
                  <c:v>1978.5800999999997</c:v>
                </c:pt>
                <c:pt idx="15">
                  <c:v>1955.47</c:v>
                </c:pt>
                <c:pt idx="16">
                  <c:v>2151.0169999999998</c:v>
                </c:pt>
                <c:pt idx="17">
                  <c:v>2346.5639999999999</c:v>
                </c:pt>
                <c:pt idx="18">
                  <c:v>2542.1109999999999</c:v>
                </c:pt>
                <c:pt idx="19">
                  <c:v>2737.6579999999999</c:v>
                </c:pt>
                <c:pt idx="20">
                  <c:v>2933.2049999999999</c:v>
                </c:pt>
              </c:numCache>
            </c:numRef>
          </c:val>
        </c:ser>
        <c:gapWidth val="95"/>
        <c:overlap val="100"/>
        <c:axId val="124947456"/>
        <c:axId val="124953344"/>
      </c:barChart>
      <c:catAx>
        <c:axId val="124947456"/>
        <c:scaling>
          <c:orientation val="minMax"/>
        </c:scaling>
        <c:axPos val="b"/>
        <c:numFmt formatCode="General" sourceLinked="1"/>
        <c:majorTickMark val="none"/>
        <c:tickLblPos val="nextTo"/>
        <c:txPr>
          <a:bodyPr rot="-5400000" vert="horz"/>
          <a:lstStyle/>
          <a:p>
            <a:pPr>
              <a:defRPr lang="en-US"/>
            </a:pPr>
            <a:endParaRPr lang="id-ID"/>
          </a:p>
        </c:txPr>
        <c:crossAx val="124953344"/>
        <c:crosses val="autoZero"/>
        <c:auto val="1"/>
        <c:lblAlgn val="ctr"/>
        <c:lblOffset val="100"/>
      </c:catAx>
      <c:valAx>
        <c:axId val="124953344"/>
        <c:scaling>
          <c:orientation val="minMax"/>
        </c:scaling>
        <c:axPos val="l"/>
        <c:majorGridlines/>
        <c:title>
          <c:tx>
            <c:rich>
              <a:bodyPr/>
              <a:lstStyle/>
              <a:p>
                <a:pPr>
                  <a:defRPr sz="1100"/>
                </a:pPr>
                <a:r>
                  <a:rPr lang="en-US" sz="1100" b="1" i="0" baseline="0"/>
                  <a:t>Emisi CO2  </a:t>
                </a:r>
                <a:r>
                  <a:rPr lang="id-ID" sz="1100" b="1" i="0" baseline="0"/>
                  <a:t>eq</a:t>
                </a:r>
                <a:r>
                  <a:rPr lang="en-US" sz="1100" b="1" i="0" baseline="0"/>
                  <a:t>(</a:t>
                </a:r>
                <a:r>
                  <a:rPr lang="id-ID" sz="1100" b="1" i="0" baseline="0"/>
                  <a:t>Ribu </a:t>
                </a:r>
                <a:r>
                  <a:rPr lang="en-US" sz="1100" b="1" i="0" baseline="0"/>
                  <a:t>ton CO2eq)</a:t>
                </a:r>
                <a:endParaRPr lang="id-ID" sz="1100"/>
              </a:p>
            </c:rich>
          </c:tx>
          <c:layout>
            <c:manualLayout>
              <c:xMode val="edge"/>
              <c:yMode val="edge"/>
              <c:x val="3.5804699928108676E-2"/>
              <c:y val="0.23863929540500883"/>
            </c:manualLayout>
          </c:layout>
        </c:title>
        <c:numFmt formatCode="#,##0" sourceLinked="1"/>
        <c:majorTickMark val="none"/>
        <c:tickLblPos val="nextTo"/>
        <c:txPr>
          <a:bodyPr/>
          <a:lstStyle/>
          <a:p>
            <a:pPr>
              <a:defRPr lang="en-US"/>
            </a:pPr>
            <a:endParaRPr lang="id-ID"/>
          </a:p>
        </c:txPr>
        <c:crossAx val="124947456"/>
        <c:crosses val="autoZero"/>
        <c:crossBetween val="between"/>
      </c:valAx>
      <c:dTable>
        <c:showHorzBorder val="1"/>
        <c:showVertBorder val="1"/>
        <c:showOutline val="1"/>
        <c:showKeys val="1"/>
      </c:dTable>
    </c:plotArea>
    <c:plotVisOnly val="1"/>
  </c:chart>
  <c:printSettings>
    <c:headerFooter/>
    <c:pageMargins b="0.75000000000000477" l="0.70000000000000062" r="0.70000000000000062" t="0.7500000000000047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sz="1000"/>
            </a:pPr>
            <a:r>
              <a:rPr lang="id-ID" sz="1000" b="1" i="0" baseline="0"/>
              <a:t>BaU Baseline Emisi CO2eq dari sektor  pengadaan </a:t>
            </a:r>
          </a:p>
          <a:p>
            <a:pPr>
              <a:defRPr sz="1000"/>
            </a:pPr>
            <a:r>
              <a:rPr lang="id-ID" sz="1000" b="1" i="0" baseline="0"/>
              <a:t>dan penggunaan Energi  Rumah Tangga</a:t>
            </a:r>
            <a:endParaRPr lang="id-ID" sz="1000"/>
          </a:p>
        </c:rich>
      </c:tx>
      <c:layout/>
    </c:title>
    <c:plotArea>
      <c:layout/>
      <c:barChart>
        <c:barDir val="col"/>
        <c:grouping val="stacked"/>
        <c:ser>
          <c:idx val="0"/>
          <c:order val="0"/>
          <c:tx>
            <c:strRef>
              <c:f>'Energi  koreksi Cici'!$F$32</c:f>
              <c:strCache>
                <c:ptCount val="1"/>
                <c:pt idx="0">
                  <c:v>EMISI CO2 eq  dari konsumsi gas RT(ribu ton)</c:v>
                </c:pt>
              </c:strCache>
            </c:strRef>
          </c:tx>
          <c:cat>
            <c:numRef>
              <c:f>'Energi  koreksi Cici'!$A$33:$A$53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Cici'!$F$33:$F$53</c:f>
              <c:numCache>
                <c:formatCode>#,##0</c:formatCode>
                <c:ptCount val="21"/>
                <c:pt idx="0">
                  <c:v>3056.7765554799998</c:v>
                </c:pt>
                <c:pt idx="1">
                  <c:v>3497.8810204480005</c:v>
                </c:pt>
                <c:pt idx="2">
                  <c:v>3938.9854854159998</c:v>
                </c:pt>
                <c:pt idx="3">
                  <c:v>4380.089950384001</c:v>
                </c:pt>
                <c:pt idx="4">
                  <c:v>4821.1944153519999</c:v>
                </c:pt>
                <c:pt idx="5">
                  <c:v>5262.2988803199996</c:v>
                </c:pt>
                <c:pt idx="6">
                  <c:v>5370.6403278560001</c:v>
                </c:pt>
                <c:pt idx="7">
                  <c:v>5478.9817753920006</c:v>
                </c:pt>
                <c:pt idx="8">
                  <c:v>5587.3232229280002</c:v>
                </c:pt>
                <c:pt idx="9">
                  <c:v>5695.6646704639998</c:v>
                </c:pt>
                <c:pt idx="10">
                  <c:v>5804.0061180000002</c:v>
                </c:pt>
                <c:pt idx="11">
                  <c:v>6036.1663627200005</c:v>
                </c:pt>
                <c:pt idx="12">
                  <c:v>6159.9851599040003</c:v>
                </c:pt>
                <c:pt idx="13">
                  <c:v>6283.8039570880001</c:v>
                </c:pt>
                <c:pt idx="14">
                  <c:v>6407.6227542720007</c:v>
                </c:pt>
                <c:pt idx="15">
                  <c:v>6423.10010392</c:v>
                </c:pt>
                <c:pt idx="16">
                  <c:v>6554.6575759280004</c:v>
                </c:pt>
                <c:pt idx="17">
                  <c:v>6686.2150479360007</c:v>
                </c:pt>
                <c:pt idx="18">
                  <c:v>6817.7725199440001</c:v>
                </c:pt>
                <c:pt idx="19">
                  <c:v>6949.3299919520005</c:v>
                </c:pt>
                <c:pt idx="20">
                  <c:v>7080.8874639599999</c:v>
                </c:pt>
              </c:numCache>
            </c:numRef>
          </c:val>
        </c:ser>
        <c:ser>
          <c:idx val="1"/>
          <c:order val="1"/>
          <c:tx>
            <c:strRef>
              <c:f>'Energi  koreksi Cici'!$K$32</c:f>
              <c:strCache>
                <c:ptCount val="1"/>
                <c:pt idx="0">
                  <c:v>EMISI CO2 eq  dari konsumsi minyak tanah RT(ribu ton)</c:v>
                </c:pt>
              </c:strCache>
            </c:strRef>
          </c:tx>
          <c:cat>
            <c:numRef>
              <c:f>'Energi  koreksi Cici'!$A$33:$A$53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Cici'!$K$33:$K$53</c:f>
              <c:numCache>
                <c:formatCode>#,##0</c:formatCode>
                <c:ptCount val="21"/>
                <c:pt idx="0">
                  <c:v>1548.1730852000001</c:v>
                </c:pt>
                <c:pt idx="1">
                  <c:v>1363.86391</c:v>
                </c:pt>
                <c:pt idx="2">
                  <c:v>1187.88147</c:v>
                </c:pt>
                <c:pt idx="3">
                  <c:v>1011.89903</c:v>
                </c:pt>
                <c:pt idx="4">
                  <c:v>835.91659000000004</c:v>
                </c:pt>
                <c:pt idx="5">
                  <c:v>659.93415000000005</c:v>
                </c:pt>
                <c:pt idx="6">
                  <c:v>681.93195500000002</c:v>
                </c:pt>
                <c:pt idx="7">
                  <c:v>703.92975999999999</c:v>
                </c:pt>
                <c:pt idx="8">
                  <c:v>725.92756499999996</c:v>
                </c:pt>
                <c:pt idx="9">
                  <c:v>747.92537000000004</c:v>
                </c:pt>
                <c:pt idx="10">
                  <c:v>769.92317500000001</c:v>
                </c:pt>
                <c:pt idx="11">
                  <c:v>791.92097999999999</c:v>
                </c:pt>
                <c:pt idx="12">
                  <c:v>813.91878499999996</c:v>
                </c:pt>
                <c:pt idx="13">
                  <c:v>835.91659000000004</c:v>
                </c:pt>
                <c:pt idx="14">
                  <c:v>857.91439500000001</c:v>
                </c:pt>
                <c:pt idx="15">
                  <c:v>879.91219999999998</c:v>
                </c:pt>
                <c:pt idx="16">
                  <c:v>1636.636692</c:v>
                </c:pt>
                <c:pt idx="17">
                  <c:v>2393.3611839999999</c:v>
                </c:pt>
                <c:pt idx="18">
                  <c:v>3150.0856760000001</c:v>
                </c:pt>
                <c:pt idx="19">
                  <c:v>3906.810168</c:v>
                </c:pt>
                <c:pt idx="20">
                  <c:v>4663.5346600000003</c:v>
                </c:pt>
              </c:numCache>
            </c:numRef>
          </c:val>
        </c:ser>
        <c:ser>
          <c:idx val="2"/>
          <c:order val="2"/>
          <c:tx>
            <c:strRef>
              <c:f>'Energi  koreksi Cici'!$O$32</c:f>
              <c:strCache>
                <c:ptCount val="1"/>
                <c:pt idx="0">
                  <c:v>EMISI CO2 eq  dari konsumsi listrik(Ribu ton)</c:v>
                </c:pt>
              </c:strCache>
            </c:strRef>
          </c:tx>
          <c:cat>
            <c:numRef>
              <c:f>'Energi  koreksi Cici'!$A$33:$A$53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Cici'!$O$33:$O$53</c:f>
              <c:numCache>
                <c:formatCode>#,##0</c:formatCode>
                <c:ptCount val="21"/>
                <c:pt idx="0">
                  <c:v>1511.0450000000001</c:v>
                </c:pt>
                <c:pt idx="1">
                  <c:v>1546.5989999999999</c:v>
                </c:pt>
                <c:pt idx="2">
                  <c:v>1582.153</c:v>
                </c:pt>
                <c:pt idx="3">
                  <c:v>1617.7070000000001</c:v>
                </c:pt>
                <c:pt idx="4">
                  <c:v>1653.261</c:v>
                </c:pt>
                <c:pt idx="5">
                  <c:v>1688.8150000000001</c:v>
                </c:pt>
                <c:pt idx="6">
                  <c:v>1724.3689999999999</c:v>
                </c:pt>
                <c:pt idx="7">
                  <c:v>1759.923</c:v>
                </c:pt>
                <c:pt idx="8">
                  <c:v>1795.4770000000001</c:v>
                </c:pt>
                <c:pt idx="9">
                  <c:v>1831.0309999999999</c:v>
                </c:pt>
                <c:pt idx="10">
                  <c:v>1866.585</c:v>
                </c:pt>
                <c:pt idx="11">
                  <c:v>1902.1389999999999</c:v>
                </c:pt>
                <c:pt idx="12">
                  <c:v>1937.693</c:v>
                </c:pt>
                <c:pt idx="13">
                  <c:v>1973.2470000000001</c:v>
                </c:pt>
                <c:pt idx="14">
                  <c:v>2008.8009999999999</c:v>
                </c:pt>
                <c:pt idx="15">
                  <c:v>2044.355</c:v>
                </c:pt>
                <c:pt idx="16">
                  <c:v>2079.9090000000001</c:v>
                </c:pt>
                <c:pt idx="17">
                  <c:v>2115.4630000000002</c:v>
                </c:pt>
                <c:pt idx="18">
                  <c:v>2151.0169999999998</c:v>
                </c:pt>
                <c:pt idx="19">
                  <c:v>2186.5709999999999</c:v>
                </c:pt>
                <c:pt idx="20">
                  <c:v>2222.125</c:v>
                </c:pt>
              </c:numCache>
            </c:numRef>
          </c:val>
        </c:ser>
        <c:gapWidth val="95"/>
        <c:overlap val="100"/>
        <c:axId val="124962688"/>
        <c:axId val="124964224"/>
      </c:barChart>
      <c:catAx>
        <c:axId val="124962688"/>
        <c:scaling>
          <c:orientation val="minMax"/>
        </c:scaling>
        <c:axPos val="b"/>
        <c:numFmt formatCode="General" sourceLinked="1"/>
        <c:majorTickMark val="none"/>
        <c:tickLblPos val="nextTo"/>
        <c:txPr>
          <a:bodyPr/>
          <a:lstStyle/>
          <a:p>
            <a:pPr>
              <a:defRPr lang="en-US"/>
            </a:pPr>
            <a:endParaRPr lang="id-ID"/>
          </a:p>
        </c:txPr>
        <c:crossAx val="124964224"/>
        <c:crosses val="autoZero"/>
        <c:auto val="1"/>
        <c:lblAlgn val="ctr"/>
        <c:lblOffset val="100"/>
      </c:catAx>
      <c:valAx>
        <c:axId val="124964224"/>
        <c:scaling>
          <c:orientation val="minMax"/>
        </c:scaling>
        <c:axPos val="l"/>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lang="en-US" sz="600" b="1" i="0" u="none" strike="noStrike" kern="1200" baseline="0">
                    <a:solidFill>
                      <a:sysClr val="windowText" lastClr="000000"/>
                    </a:solidFill>
                    <a:latin typeface="+mn-lt"/>
                    <a:ea typeface="+mn-ea"/>
                    <a:cs typeface="+mn-cs"/>
                  </a:defRPr>
                </a:pPr>
                <a:r>
                  <a:rPr lang="en-US" sz="600" b="1" i="0" baseline="0"/>
                  <a:t>Emisi CO2 Energi Rumah Tangga  (</a:t>
                </a:r>
                <a:r>
                  <a:rPr lang="id-ID" sz="600" b="1" i="0" baseline="0"/>
                  <a:t>Ribu </a:t>
                </a:r>
                <a:r>
                  <a:rPr lang="en-US" sz="600" b="1" i="0" baseline="0"/>
                  <a:t>ton CO2eq)</a:t>
                </a:r>
              </a:p>
              <a:p>
                <a:pPr marL="0" marR="0" indent="0" algn="ctr" defTabSz="914400" rtl="0" eaLnBrk="1" fontAlgn="auto" latinLnBrk="0" hangingPunct="1">
                  <a:lnSpc>
                    <a:spcPct val="100000"/>
                  </a:lnSpc>
                  <a:spcBef>
                    <a:spcPts val="0"/>
                  </a:spcBef>
                  <a:spcAft>
                    <a:spcPts val="0"/>
                  </a:spcAft>
                  <a:buClrTx/>
                  <a:buSzTx/>
                  <a:buFontTx/>
                  <a:buNone/>
                  <a:tabLst/>
                  <a:defRPr lang="en-US" sz="600" b="1" i="0" u="none" strike="noStrike" kern="1200" baseline="0">
                    <a:solidFill>
                      <a:sysClr val="windowText" lastClr="000000"/>
                    </a:solidFill>
                    <a:latin typeface="+mn-lt"/>
                    <a:ea typeface="+mn-ea"/>
                    <a:cs typeface="+mn-cs"/>
                  </a:defRPr>
                </a:pPr>
                <a:endParaRPr lang="en-US" sz="600"/>
              </a:p>
            </c:rich>
          </c:tx>
          <c:layout>
            <c:manualLayout>
              <c:xMode val="edge"/>
              <c:yMode val="edge"/>
              <c:x val="0.10916032065320767"/>
              <c:y val="8.5538261699292809E-2"/>
            </c:manualLayout>
          </c:layout>
        </c:title>
        <c:numFmt formatCode="#,##0" sourceLinked="1"/>
        <c:majorTickMark val="none"/>
        <c:tickLblPos val="nextTo"/>
        <c:txPr>
          <a:bodyPr/>
          <a:lstStyle/>
          <a:p>
            <a:pPr>
              <a:defRPr lang="en-US"/>
            </a:pPr>
            <a:endParaRPr lang="id-ID"/>
          </a:p>
        </c:txPr>
        <c:crossAx val="124962688"/>
        <c:crosses val="autoZero"/>
        <c:crossBetween val="between"/>
      </c:valAx>
      <c:dTable>
        <c:showHorzBorder val="1"/>
        <c:showVertBorder val="1"/>
        <c:showOutline val="1"/>
        <c:showKeys val="1"/>
        <c:txPr>
          <a:bodyPr/>
          <a:lstStyle/>
          <a:p>
            <a:pPr rtl="0">
              <a:defRPr sz="600"/>
            </a:pPr>
            <a:endParaRPr lang="id-ID"/>
          </a:p>
        </c:txPr>
      </c:dTable>
    </c:plotArea>
    <c:plotVisOnly val="1"/>
  </c:chart>
  <c:printSettings>
    <c:headerFooter/>
    <c:pageMargins b="0.75000000000000477" l="0.70000000000000062" r="0.70000000000000062" t="0.7500000000000047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sz="1100"/>
            </a:pPr>
            <a:r>
              <a:rPr lang="id-ID" sz="1100" b="1" i="0" baseline="0"/>
              <a:t>Rekapitulasi BaU Baseline Emisi CO2eq dari Energi Sektor  RUmah Tangga dan Komersial</a:t>
            </a:r>
            <a:endParaRPr lang="id-ID" sz="1100"/>
          </a:p>
        </c:rich>
      </c:tx>
      <c:layout/>
    </c:title>
    <c:plotArea>
      <c:layout/>
      <c:barChart>
        <c:barDir val="col"/>
        <c:grouping val="stacked"/>
        <c:ser>
          <c:idx val="0"/>
          <c:order val="0"/>
          <c:tx>
            <c:strRef>
              <c:f>'Energi  koreksi Cici'!$B$148</c:f>
              <c:strCache>
                <c:ptCount val="1"/>
                <c:pt idx="0">
                  <c:v>rumah tangga</c:v>
                </c:pt>
              </c:strCache>
            </c:strRef>
          </c:tx>
          <c:cat>
            <c:numRef>
              <c:f>'Energi  koreksi Cici'!$A$149:$A$169</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Cici'!$B$149:$B$169</c:f>
              <c:numCache>
                <c:formatCode>#,##0</c:formatCode>
                <c:ptCount val="21"/>
                <c:pt idx="0">
                  <c:v>6115.99464068</c:v>
                </c:pt>
                <c:pt idx="1">
                  <c:v>6408.3439304480007</c:v>
                </c:pt>
                <c:pt idx="2">
                  <c:v>6709.0199554159999</c:v>
                </c:pt>
                <c:pt idx="3">
                  <c:v>7009.6959803840018</c:v>
                </c:pt>
                <c:pt idx="4">
                  <c:v>7310.3720053519992</c:v>
                </c:pt>
                <c:pt idx="5">
                  <c:v>7611.0480303200002</c:v>
                </c:pt>
                <c:pt idx="6">
                  <c:v>7776.9412828559998</c:v>
                </c:pt>
                <c:pt idx="7">
                  <c:v>7942.8345353920004</c:v>
                </c:pt>
                <c:pt idx="8">
                  <c:v>8108.727787928</c:v>
                </c:pt>
                <c:pt idx="9">
                  <c:v>8274.6210404640005</c:v>
                </c:pt>
                <c:pt idx="10">
                  <c:v>8440.5142930000002</c:v>
                </c:pt>
                <c:pt idx="11">
                  <c:v>8730.2263427199996</c:v>
                </c:pt>
                <c:pt idx="12">
                  <c:v>8911.5969449040003</c:v>
                </c:pt>
                <c:pt idx="13">
                  <c:v>9092.9675470879993</c:v>
                </c:pt>
                <c:pt idx="14">
                  <c:v>9274.338149272</c:v>
                </c:pt>
                <c:pt idx="15">
                  <c:v>9347.3673039200003</c:v>
                </c:pt>
                <c:pt idx="16">
                  <c:v>10271.203267928</c:v>
                </c:pt>
                <c:pt idx="17">
                  <c:v>11195.039231936</c:v>
                </c:pt>
                <c:pt idx="18">
                  <c:v>12118.875195944</c:v>
                </c:pt>
                <c:pt idx="19">
                  <c:v>13042.711159951999</c:v>
                </c:pt>
                <c:pt idx="20">
                  <c:v>13966.547123960001</c:v>
                </c:pt>
              </c:numCache>
            </c:numRef>
          </c:val>
        </c:ser>
        <c:ser>
          <c:idx val="1"/>
          <c:order val="1"/>
          <c:tx>
            <c:strRef>
              <c:f>'Energi  koreksi Cici'!$D$148</c:f>
              <c:strCache>
                <c:ptCount val="1"/>
                <c:pt idx="0">
                  <c:v>Komersial</c:v>
                </c:pt>
              </c:strCache>
            </c:strRef>
          </c:tx>
          <c:cat>
            <c:numRef>
              <c:f>'Energi  koreksi Cici'!$A$149:$A$169</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Cici'!$D$149:$D$169</c:f>
              <c:numCache>
                <c:formatCode>#,##0</c:formatCode>
                <c:ptCount val="21"/>
                <c:pt idx="0">
                  <c:v>8024.3030821200009</c:v>
                </c:pt>
                <c:pt idx="1">
                  <c:v>8833.8805578400006</c:v>
                </c:pt>
                <c:pt idx="2">
                  <c:v>9643.4580335600021</c:v>
                </c:pt>
                <c:pt idx="3">
                  <c:v>10453.035509280002</c:v>
                </c:pt>
                <c:pt idx="4">
                  <c:v>11262.612985</c:v>
                </c:pt>
                <c:pt idx="5">
                  <c:v>12072.190460719998</c:v>
                </c:pt>
                <c:pt idx="6">
                  <c:v>13286.355644560001</c:v>
                </c:pt>
                <c:pt idx="7">
                  <c:v>14500.520828399998</c:v>
                </c:pt>
                <c:pt idx="8">
                  <c:v>15714.686012240001</c:v>
                </c:pt>
                <c:pt idx="9">
                  <c:v>16928.851196080002</c:v>
                </c:pt>
                <c:pt idx="10">
                  <c:v>18143.016379920002</c:v>
                </c:pt>
                <c:pt idx="11">
                  <c:v>20026.438367423998</c:v>
                </c:pt>
                <c:pt idx="12">
                  <c:v>21909.860354928001</c:v>
                </c:pt>
                <c:pt idx="13">
                  <c:v>23793.282342432001</c:v>
                </c:pt>
                <c:pt idx="14">
                  <c:v>25676.704329935998</c:v>
                </c:pt>
                <c:pt idx="15">
                  <c:v>27364.579317439999</c:v>
                </c:pt>
                <c:pt idx="16">
                  <c:v>30091.770097111999</c:v>
                </c:pt>
                <c:pt idx="17">
                  <c:v>32818.960876784004</c:v>
                </c:pt>
                <c:pt idx="18">
                  <c:v>35546.151656455993</c:v>
                </c:pt>
                <c:pt idx="19">
                  <c:v>38273.342436128005</c:v>
                </c:pt>
                <c:pt idx="20">
                  <c:v>41000.533215800002</c:v>
                </c:pt>
              </c:numCache>
            </c:numRef>
          </c:val>
        </c:ser>
        <c:gapWidth val="95"/>
        <c:overlap val="100"/>
        <c:axId val="130968960"/>
        <c:axId val="130991232"/>
      </c:barChart>
      <c:catAx>
        <c:axId val="130968960"/>
        <c:scaling>
          <c:orientation val="minMax"/>
        </c:scaling>
        <c:axPos val="b"/>
        <c:numFmt formatCode="General" sourceLinked="1"/>
        <c:majorTickMark val="none"/>
        <c:tickLblPos val="nextTo"/>
        <c:crossAx val="130991232"/>
        <c:crosses val="autoZero"/>
        <c:auto val="1"/>
        <c:lblAlgn val="ctr"/>
        <c:lblOffset val="100"/>
      </c:catAx>
      <c:valAx>
        <c:axId val="130991232"/>
        <c:scaling>
          <c:orientation val="minMax"/>
        </c:scaling>
        <c:axPos val="l"/>
        <c:majorGridlines/>
        <c:title>
          <c:tx>
            <c:rich>
              <a:bodyPr/>
              <a:lstStyle/>
              <a:p>
                <a:pPr>
                  <a:defRPr sz="1000"/>
                </a:pPr>
                <a:r>
                  <a:rPr lang="en-US" sz="1000" b="1" i="0" baseline="0"/>
                  <a:t>Emisi CO2  </a:t>
                </a:r>
                <a:r>
                  <a:rPr lang="id-ID" sz="1000" b="1" i="0" baseline="0"/>
                  <a:t>eq </a:t>
                </a:r>
                <a:r>
                  <a:rPr lang="en-US" sz="1000" b="1" i="0" baseline="0"/>
                  <a:t>(</a:t>
                </a:r>
                <a:r>
                  <a:rPr lang="id-ID" sz="1000" b="1" i="0" baseline="0"/>
                  <a:t>Ribu </a:t>
                </a:r>
                <a:r>
                  <a:rPr lang="en-US" sz="1000" b="1" i="0" baseline="0"/>
                  <a:t>ton CO2eq)</a:t>
                </a:r>
                <a:endParaRPr lang="id-ID" sz="1000" b="1" i="0" baseline="0"/>
              </a:p>
            </c:rich>
          </c:tx>
          <c:layout>
            <c:manualLayout>
              <c:xMode val="edge"/>
              <c:yMode val="edge"/>
              <c:x val="7.6205777783515588E-2"/>
              <c:y val="0.20049333015877888"/>
            </c:manualLayout>
          </c:layout>
        </c:title>
        <c:numFmt formatCode="#,##0" sourceLinked="1"/>
        <c:majorTickMark val="none"/>
        <c:tickLblPos val="nextTo"/>
        <c:crossAx val="130968960"/>
        <c:crosses val="autoZero"/>
        <c:crossBetween val="between"/>
      </c:valAx>
      <c:dTable>
        <c:showHorzBorder val="1"/>
        <c:showVertBorder val="1"/>
        <c:showOutline val="1"/>
        <c:showKeys val="1"/>
      </c:dTable>
    </c:plotArea>
    <c:plotVisOnly val="1"/>
  </c:chart>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sz="1100"/>
            </a:pPr>
            <a:r>
              <a:rPr lang="id-ID" sz="1100" b="1" i="0" baseline="0"/>
              <a:t>Rekapitulasi BaU Baseline Emisi CO2eq dari  Pengadaan$&amp;Penggunaan Energi (Rumah Tangga dan Komersial) dan Transportasi</a:t>
            </a:r>
            <a:endParaRPr lang="id-ID" sz="1100"/>
          </a:p>
        </c:rich>
      </c:tx>
      <c:layout/>
    </c:title>
    <c:plotArea>
      <c:layout/>
      <c:barChart>
        <c:barDir val="col"/>
        <c:grouping val="stacked"/>
        <c:ser>
          <c:idx val="0"/>
          <c:order val="0"/>
          <c:tx>
            <c:strRef>
              <c:f>'Energi  koreksi Cici'!$E$148</c:f>
              <c:strCache>
                <c:ptCount val="1"/>
                <c:pt idx="0">
                  <c:v>Gabungan sektor Pengadaan &amp; Penggunan Energi (RT &amp; komersial)</c:v>
                </c:pt>
              </c:strCache>
            </c:strRef>
          </c:tx>
          <c:cat>
            <c:numRef>
              <c:f>'Energi  koreksi Cici'!$A$149:$A$169</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Cici'!$E$149:$E$169</c:f>
              <c:numCache>
                <c:formatCode>#,##0</c:formatCode>
                <c:ptCount val="21"/>
                <c:pt idx="0">
                  <c:v>14140.297722800002</c:v>
                </c:pt>
                <c:pt idx="1">
                  <c:v>15242.224488288</c:v>
                </c:pt>
                <c:pt idx="2">
                  <c:v>16352.477988976003</c:v>
                </c:pt>
                <c:pt idx="3">
                  <c:v>17462.731489664002</c:v>
                </c:pt>
                <c:pt idx="4">
                  <c:v>18572.984990352001</c:v>
                </c:pt>
                <c:pt idx="5">
                  <c:v>19683.23849104</c:v>
                </c:pt>
                <c:pt idx="6">
                  <c:v>21063.296927415999</c:v>
                </c:pt>
                <c:pt idx="7">
                  <c:v>22443.355363791998</c:v>
                </c:pt>
                <c:pt idx="8">
                  <c:v>23823.413800168</c:v>
                </c:pt>
                <c:pt idx="9">
                  <c:v>25203.472236544003</c:v>
                </c:pt>
                <c:pt idx="10">
                  <c:v>26583.530672920002</c:v>
                </c:pt>
                <c:pt idx="11">
                  <c:v>28756.664710143996</c:v>
                </c:pt>
                <c:pt idx="12">
                  <c:v>30821.457299832</c:v>
                </c:pt>
                <c:pt idx="13">
                  <c:v>32886.249889519997</c:v>
                </c:pt>
                <c:pt idx="14">
                  <c:v>34951.042479208001</c:v>
                </c:pt>
                <c:pt idx="15">
                  <c:v>36711.946621359995</c:v>
                </c:pt>
                <c:pt idx="16">
                  <c:v>40362.973365040001</c:v>
                </c:pt>
                <c:pt idx="17">
                  <c:v>44014.000108720007</c:v>
                </c:pt>
                <c:pt idx="18">
                  <c:v>47665.026852399991</c:v>
                </c:pt>
                <c:pt idx="19">
                  <c:v>51316.053596080004</c:v>
                </c:pt>
                <c:pt idx="20">
                  <c:v>54967.080339760003</c:v>
                </c:pt>
              </c:numCache>
            </c:numRef>
          </c:val>
        </c:ser>
        <c:ser>
          <c:idx val="1"/>
          <c:order val="1"/>
          <c:tx>
            <c:strRef>
              <c:f>'Energi  koreksi Cici'!$F$148</c:f>
              <c:strCache>
                <c:ptCount val="1"/>
                <c:pt idx="0">
                  <c:v>Transportasi</c:v>
                </c:pt>
              </c:strCache>
            </c:strRef>
          </c:tx>
          <c:cat>
            <c:numRef>
              <c:f>'Energi  koreksi Cici'!$A$149:$A$169</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'Energi  koreksi Cici'!$F$149:$F$169</c:f>
              <c:numCache>
                <c:formatCode>#,##0</c:formatCode>
                <c:ptCount val="21"/>
                <c:pt idx="0">
                  <c:v>12105.257106360001</c:v>
                </c:pt>
                <c:pt idx="1">
                  <c:v>12985.639441368001</c:v>
                </c:pt>
                <c:pt idx="2">
                  <c:v>13866.021776376001</c:v>
                </c:pt>
                <c:pt idx="3">
                  <c:v>14746.404111383999</c:v>
                </c:pt>
                <c:pt idx="4">
                  <c:v>15626.786446392001</c:v>
                </c:pt>
                <c:pt idx="5">
                  <c:v>16507.1687814</c:v>
                </c:pt>
                <c:pt idx="6">
                  <c:v>18187.598862688003</c:v>
                </c:pt>
                <c:pt idx="7">
                  <c:v>19017.149777114246</c:v>
                </c:pt>
                <c:pt idx="8">
                  <c:v>19846.700691540493</c:v>
                </c:pt>
                <c:pt idx="9">
                  <c:v>20676.25160596674</c:v>
                </c:pt>
                <c:pt idx="10">
                  <c:v>22539.174958399999</c:v>
                </c:pt>
                <c:pt idx="11">
                  <c:v>24176.651421959999</c:v>
                </c:pt>
                <c:pt idx="12">
                  <c:v>25814.127885520003</c:v>
                </c:pt>
                <c:pt idx="13">
                  <c:v>27451.604349080004</c:v>
                </c:pt>
                <c:pt idx="14">
                  <c:v>29089.080812640001</c:v>
                </c:pt>
                <c:pt idx="15">
                  <c:v>30726.557276200001</c:v>
                </c:pt>
                <c:pt idx="16">
                  <c:v>32962.676387788</c:v>
                </c:pt>
                <c:pt idx="17">
                  <c:v>35198.795499375999</c:v>
                </c:pt>
                <c:pt idx="18">
                  <c:v>37434.914610964006</c:v>
                </c:pt>
                <c:pt idx="19">
                  <c:v>39671.033722552005</c:v>
                </c:pt>
                <c:pt idx="20">
                  <c:v>41907.152834139997</c:v>
                </c:pt>
              </c:numCache>
            </c:numRef>
          </c:val>
        </c:ser>
        <c:gapWidth val="95"/>
        <c:overlap val="100"/>
        <c:axId val="131214336"/>
        <c:axId val="131216128"/>
      </c:barChart>
      <c:catAx>
        <c:axId val="131214336"/>
        <c:scaling>
          <c:orientation val="minMax"/>
        </c:scaling>
        <c:axPos val="b"/>
        <c:numFmt formatCode="General" sourceLinked="1"/>
        <c:majorTickMark val="none"/>
        <c:tickLblPos val="nextTo"/>
        <c:crossAx val="131216128"/>
        <c:crosses val="autoZero"/>
        <c:auto val="1"/>
        <c:lblAlgn val="ctr"/>
        <c:lblOffset val="100"/>
      </c:catAx>
      <c:valAx>
        <c:axId val="131216128"/>
        <c:scaling>
          <c:orientation val="minMax"/>
        </c:scaling>
        <c:axPos val="l"/>
        <c:majorGridlines/>
        <c:title>
          <c:tx>
            <c:rich>
              <a:bodyPr/>
              <a:lstStyle/>
              <a:p>
                <a:pPr>
                  <a:defRPr sz="1000"/>
                </a:pPr>
                <a:r>
                  <a:rPr lang="en-US" sz="1000" b="1" i="0" baseline="0"/>
                  <a:t>Emisi CO2  </a:t>
                </a:r>
                <a:r>
                  <a:rPr lang="id-ID" sz="1000" b="1" i="0" baseline="0"/>
                  <a:t>eq </a:t>
                </a:r>
                <a:r>
                  <a:rPr lang="en-US" sz="1000" b="1" i="0" baseline="0"/>
                  <a:t>(</a:t>
                </a:r>
                <a:r>
                  <a:rPr lang="id-ID" sz="1000" b="1" i="0" baseline="0"/>
                  <a:t>Ribu </a:t>
                </a:r>
                <a:r>
                  <a:rPr lang="en-US" sz="1000" b="1" i="0" baseline="0"/>
                  <a:t>ton CO2eq)</a:t>
                </a:r>
                <a:endParaRPr lang="id-ID" sz="1000" b="1" i="0" baseline="0"/>
              </a:p>
            </c:rich>
          </c:tx>
          <c:layout>
            <c:manualLayout>
              <c:xMode val="edge"/>
              <c:yMode val="edge"/>
              <c:x val="0.15515189441575347"/>
              <c:y val="0.18470422246500554"/>
            </c:manualLayout>
          </c:layout>
        </c:title>
        <c:numFmt formatCode="#,##0" sourceLinked="1"/>
        <c:majorTickMark val="none"/>
        <c:tickLblPos val="nextTo"/>
        <c:crossAx val="131214336"/>
        <c:crosses val="autoZero"/>
        <c:crossBetween val="between"/>
      </c:valAx>
      <c:dTable>
        <c:showHorzBorder val="1"/>
        <c:showVertBorder val="1"/>
        <c:showOutline val="1"/>
        <c:showKeys val="1"/>
      </c:dTable>
    </c:plotArea>
    <c:plotVisOnly val="1"/>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3" Type="http://schemas.openxmlformats.org/officeDocument/2006/relationships/image" Target="../media/image3.emf"/><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emf"/><Relationship Id="rId15" Type="http://schemas.openxmlformats.org/officeDocument/2006/relationships/chart" Target="../charts/chart10.xml"/><Relationship Id="rId10" Type="http://schemas.openxmlformats.org/officeDocument/2006/relationships/chart" Target="../charts/chart5.xml"/><Relationship Id="rId4" Type="http://schemas.openxmlformats.org/officeDocument/2006/relationships/image" Target="../media/image4.emf"/><Relationship Id="rId9" Type="http://schemas.openxmlformats.org/officeDocument/2006/relationships/chart" Target="../charts/chart4.xml"/><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15</xdr:col>
      <xdr:colOff>149678</xdr:colOff>
      <xdr:row>114</xdr:row>
      <xdr:rowOff>152400</xdr:rowOff>
    </xdr:from>
    <xdr:to>
      <xdr:col>24</xdr:col>
      <xdr:colOff>57561</xdr:colOff>
      <xdr:row>131</xdr:row>
      <xdr:rowOff>59768</xdr:rowOff>
    </xdr:to>
    <xdr:pic>
      <xdr:nvPicPr>
        <xdr:cNvPr id="2" name="Picture 1"/>
        <xdr:cNvPicPr>
          <a:picLocks noChangeAspect="1" noChangeArrowheads="1"/>
        </xdr:cNvPicPr>
      </xdr:nvPicPr>
      <xdr:blipFill>
        <a:blip xmlns:r="http://schemas.openxmlformats.org/officeDocument/2006/relationships" r:embed="rId1"/>
        <a:srcRect l="15474" t="35767" r="20294" b="10489"/>
        <a:stretch>
          <a:fillRect/>
        </a:stretch>
      </xdr:blipFill>
      <xdr:spPr bwMode="auto">
        <a:xfrm>
          <a:off x="12836978" y="31737300"/>
          <a:ext cx="7794582" cy="3145868"/>
        </a:xfrm>
        <a:prstGeom prst="rect">
          <a:avLst/>
        </a:prstGeom>
        <a:noFill/>
        <a:ln w="1">
          <a:noFill/>
          <a:miter lim="800000"/>
          <a:headEnd/>
          <a:tailEnd type="none" w="med" len="med"/>
        </a:ln>
        <a:effectLst/>
      </xdr:spPr>
    </xdr:pic>
    <xdr:clientData/>
  </xdr:twoCellAnchor>
  <xdr:twoCellAnchor editAs="oneCell">
    <xdr:from>
      <xdr:col>11</xdr:col>
      <xdr:colOff>250429</xdr:colOff>
      <xdr:row>164</xdr:row>
      <xdr:rowOff>21377</xdr:rowOff>
    </xdr:from>
    <xdr:to>
      <xdr:col>13</xdr:col>
      <xdr:colOff>1079706</xdr:colOff>
      <xdr:row>192</xdr:row>
      <xdr:rowOff>100940</xdr:rowOff>
    </xdr:to>
    <xdr:pic>
      <xdr:nvPicPr>
        <xdr:cNvPr id="3" name="Picture 2"/>
        <xdr:cNvPicPr>
          <a:picLocks noChangeAspect="1" noChangeArrowheads="1"/>
        </xdr:cNvPicPr>
      </xdr:nvPicPr>
      <xdr:blipFill>
        <a:blip xmlns:r="http://schemas.openxmlformats.org/officeDocument/2006/relationships" r:embed="rId2"/>
        <a:srcRect l="29268" t="21026" r="36360" b="4857"/>
        <a:stretch>
          <a:fillRect/>
        </a:stretch>
      </xdr:blipFill>
      <xdr:spPr bwMode="auto">
        <a:xfrm>
          <a:off x="9203929" y="39693002"/>
          <a:ext cx="2900965" cy="5413563"/>
        </a:xfrm>
        <a:prstGeom prst="rect">
          <a:avLst/>
        </a:prstGeom>
        <a:noFill/>
        <a:ln w="1">
          <a:noFill/>
          <a:miter lim="800000"/>
          <a:headEnd/>
          <a:tailEnd type="none" w="med" len="med"/>
        </a:ln>
        <a:effectLst/>
      </xdr:spPr>
    </xdr:pic>
    <xdr:clientData/>
  </xdr:twoCellAnchor>
  <xdr:twoCellAnchor editAs="oneCell">
    <xdr:from>
      <xdr:col>12</xdr:col>
      <xdr:colOff>481694</xdr:colOff>
      <xdr:row>126</xdr:row>
      <xdr:rowOff>138793</xdr:rowOff>
    </xdr:from>
    <xdr:to>
      <xdr:col>15</xdr:col>
      <xdr:colOff>295012</xdr:colOff>
      <xdr:row>129</xdr:row>
      <xdr:rowOff>126732</xdr:rowOff>
    </xdr:to>
    <xdr:pic>
      <xdr:nvPicPr>
        <xdr:cNvPr id="4" name="Picture 2"/>
        <xdr:cNvPicPr>
          <a:picLocks noChangeAspect="1" noChangeArrowheads="1"/>
        </xdr:cNvPicPr>
      </xdr:nvPicPr>
      <xdr:blipFill>
        <a:blip xmlns:r="http://schemas.openxmlformats.org/officeDocument/2006/relationships" r:embed="rId3"/>
        <a:srcRect/>
        <a:stretch>
          <a:fillRect/>
        </a:stretch>
      </xdr:blipFill>
      <xdr:spPr bwMode="auto">
        <a:xfrm>
          <a:off x="8901794" y="34009693"/>
          <a:ext cx="3310353" cy="559439"/>
        </a:xfrm>
        <a:prstGeom prst="rect">
          <a:avLst/>
        </a:prstGeom>
        <a:noFill/>
      </xdr:spPr>
    </xdr:pic>
    <xdr:clientData/>
  </xdr:twoCellAnchor>
  <xdr:twoCellAnchor editAs="oneCell">
    <xdr:from>
      <xdr:col>12</xdr:col>
      <xdr:colOff>903513</xdr:colOff>
      <xdr:row>131</xdr:row>
      <xdr:rowOff>97970</xdr:rowOff>
    </xdr:from>
    <xdr:to>
      <xdr:col>14</xdr:col>
      <xdr:colOff>305157</xdr:colOff>
      <xdr:row>134</xdr:row>
      <xdr:rowOff>112492</xdr:rowOff>
    </xdr:to>
    <xdr:pic>
      <xdr:nvPicPr>
        <xdr:cNvPr id="5" name="Picture 3"/>
        <xdr:cNvPicPr>
          <a:picLocks noChangeAspect="1" noChangeArrowheads="1"/>
        </xdr:cNvPicPr>
      </xdr:nvPicPr>
      <xdr:blipFill>
        <a:blip xmlns:r="http://schemas.openxmlformats.org/officeDocument/2006/relationships" r:embed="rId4"/>
        <a:srcRect/>
        <a:stretch>
          <a:fillRect/>
        </a:stretch>
      </xdr:blipFill>
      <xdr:spPr bwMode="auto">
        <a:xfrm>
          <a:off x="9323613" y="34921370"/>
          <a:ext cx="1682200" cy="586022"/>
        </a:xfrm>
        <a:prstGeom prst="rect">
          <a:avLst/>
        </a:prstGeom>
        <a:noFill/>
      </xdr:spPr>
    </xdr:pic>
    <xdr:clientData/>
  </xdr:twoCellAnchor>
  <xdr:twoCellAnchor editAs="oneCell">
    <xdr:from>
      <xdr:col>24</xdr:col>
      <xdr:colOff>480332</xdr:colOff>
      <xdr:row>112</xdr:row>
      <xdr:rowOff>170089</xdr:rowOff>
    </xdr:from>
    <xdr:to>
      <xdr:col>32</xdr:col>
      <xdr:colOff>233542</xdr:colOff>
      <xdr:row>129</xdr:row>
      <xdr:rowOff>24839</xdr:rowOff>
    </xdr:to>
    <xdr:pic>
      <xdr:nvPicPr>
        <xdr:cNvPr id="6" name="Picture 4"/>
        <xdr:cNvPicPr>
          <a:picLocks noChangeAspect="1" noChangeArrowheads="1"/>
        </xdr:cNvPicPr>
      </xdr:nvPicPr>
      <xdr:blipFill>
        <a:blip xmlns:r="http://schemas.openxmlformats.org/officeDocument/2006/relationships" r:embed="rId5"/>
        <a:srcRect/>
        <a:stretch>
          <a:fillRect/>
        </a:stretch>
      </xdr:blipFill>
      <xdr:spPr bwMode="auto">
        <a:xfrm>
          <a:off x="21030520" y="28768902"/>
          <a:ext cx="4229961" cy="3093250"/>
        </a:xfrm>
        <a:prstGeom prst="rect">
          <a:avLst/>
        </a:prstGeom>
        <a:noFill/>
      </xdr:spPr>
    </xdr:pic>
    <xdr:clientData/>
  </xdr:twoCellAnchor>
  <xdr:twoCellAnchor>
    <xdr:from>
      <xdr:col>15</xdr:col>
      <xdr:colOff>371475</xdr:colOff>
      <xdr:row>59</xdr:row>
      <xdr:rowOff>104775</xdr:rowOff>
    </xdr:from>
    <xdr:to>
      <xdr:col>19</xdr:col>
      <xdr:colOff>21092</xdr:colOff>
      <xdr:row>75</xdr:row>
      <xdr:rowOff>119063</xdr:rowOff>
    </xdr:to>
    <xdr:graphicFrame macro="">
      <xdr:nvGraphicFramePr>
        <xdr:cNvPr id="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976313</xdr:colOff>
      <xdr:row>60</xdr:row>
      <xdr:rowOff>102051</xdr:rowOff>
    </xdr:from>
    <xdr:to>
      <xdr:col>25</xdr:col>
      <xdr:colOff>651103</xdr:colOff>
      <xdr:row>76</xdr:row>
      <xdr:rowOff>71437</xdr:rowOff>
    </xdr:to>
    <xdr:graphicFrame macro="">
      <xdr:nvGraphicFramePr>
        <xdr:cNvPr id="1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495300</xdr:colOff>
      <xdr:row>58</xdr:row>
      <xdr:rowOff>243569</xdr:rowOff>
    </xdr:from>
    <xdr:to>
      <xdr:col>14</xdr:col>
      <xdr:colOff>504825</xdr:colOff>
      <xdr:row>71</xdr:row>
      <xdr:rowOff>16329</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737187</xdr:colOff>
      <xdr:row>32</xdr:row>
      <xdr:rowOff>406211</xdr:rowOff>
    </xdr:from>
    <xdr:to>
      <xdr:col>22</xdr:col>
      <xdr:colOff>692524</xdr:colOff>
      <xdr:row>39</xdr:row>
      <xdr:rowOff>371575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212911</xdr:colOff>
      <xdr:row>3</xdr:row>
      <xdr:rowOff>205908</xdr:rowOff>
    </xdr:from>
    <xdr:to>
      <xdr:col>20</xdr:col>
      <xdr:colOff>416859</xdr:colOff>
      <xdr:row>21</xdr:row>
      <xdr:rowOff>44824</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1281546</xdr:colOff>
      <xdr:row>117</xdr:row>
      <xdr:rowOff>69273</xdr:rowOff>
    </xdr:from>
    <xdr:to>
      <xdr:col>10</xdr:col>
      <xdr:colOff>883228</xdr:colOff>
      <xdr:row>140</xdr:row>
      <xdr:rowOff>183973</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155865</xdr:colOff>
      <xdr:row>58</xdr:row>
      <xdr:rowOff>2722</xdr:rowOff>
    </xdr:from>
    <xdr:to>
      <xdr:col>7</xdr:col>
      <xdr:colOff>0</xdr:colOff>
      <xdr:row>73</xdr:row>
      <xdr:rowOff>138793</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1060739</xdr:colOff>
      <xdr:row>145</xdr:row>
      <xdr:rowOff>148648</xdr:rowOff>
    </xdr:from>
    <xdr:to>
      <xdr:col>15</xdr:col>
      <xdr:colOff>94528</xdr:colOff>
      <xdr:row>160</xdr:row>
      <xdr:rowOff>180398</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640773</xdr:colOff>
      <xdr:row>146</xdr:row>
      <xdr:rowOff>103909</xdr:rowOff>
    </xdr:from>
    <xdr:to>
      <xdr:col>22</xdr:col>
      <xdr:colOff>679017</xdr:colOff>
      <xdr:row>161</xdr:row>
      <xdr:rowOff>152977</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0</xdr:colOff>
      <xdr:row>3</xdr:row>
      <xdr:rowOff>0</xdr:rowOff>
    </xdr:from>
    <xdr:to>
      <xdr:col>26</xdr:col>
      <xdr:colOff>13449</xdr:colOff>
      <xdr:row>20</xdr:row>
      <xdr:rowOff>29416</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xp\Application%20Data\Microsoft\Excel\proyeksi\Proyeksi%20Energi%20Rumah%20Tangga\Perkiraan%20Konsumsi%20Energi%20Rumah%20Tangga%20(SBM)\gas%20LP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xp\Application%20Data\Microsoft\Excel\proyeksi\Proyeksi%20Energi%20Rumah%20Tangga\Perkiraan%20Konsumsi%20Energi%20Rumah%20Tangga%20(SBM)\kerosen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Metode L.Square"/>
      <sheetName val="Aritmatika"/>
      <sheetName val="Geometrik"/>
      <sheetName val="Reg.linier"/>
      <sheetName val="Eksponensial"/>
      <sheetName val="Logaritmik"/>
      <sheetName val="Pemilihan"/>
    </sheetNames>
    <sheetDataSet>
      <sheetData sheetId="0" refreshError="1"/>
      <sheetData sheetId="1" refreshError="1"/>
      <sheetData sheetId="2" refreshError="1"/>
      <sheetData sheetId="3" refreshError="1"/>
      <sheetData sheetId="4" refreshError="1"/>
      <sheetData sheetId="5">
        <row r="40">
          <cell r="B40">
            <v>2001</v>
          </cell>
          <cell r="C40">
            <v>1113896</v>
          </cell>
        </row>
        <row r="41">
          <cell r="B41">
            <v>2004</v>
          </cell>
          <cell r="C41">
            <v>1210143</v>
          </cell>
        </row>
        <row r="42">
          <cell r="B42">
            <v>2007</v>
          </cell>
          <cell r="C42">
            <v>1691260</v>
          </cell>
        </row>
        <row r="43">
          <cell r="B43">
            <v>2010</v>
          </cell>
          <cell r="C43">
            <v>1998310.5047271668</v>
          </cell>
        </row>
        <row r="44">
          <cell r="B44">
            <v>2011</v>
          </cell>
          <cell r="C44">
            <v>2142350.837198453</v>
          </cell>
        </row>
        <row r="45">
          <cell r="B45">
            <v>2012</v>
          </cell>
          <cell r="C45">
            <v>2296773.7490183888</v>
          </cell>
        </row>
        <row r="46">
          <cell r="B46">
            <v>2013</v>
          </cell>
          <cell r="C46">
            <v>2462327.627475881</v>
          </cell>
        </row>
        <row r="47">
          <cell r="B47">
            <v>2014</v>
          </cell>
          <cell r="C47">
            <v>2639814.8044065177</v>
          </cell>
        </row>
        <row r="48">
          <cell r="B48">
            <v>2015</v>
          </cell>
          <cell r="C48">
            <v>2830095.4445722229</v>
          </cell>
        </row>
        <row r="49">
          <cell r="B49">
            <v>2016</v>
          </cell>
          <cell r="C49">
            <v>3034091.7143198443</v>
          </cell>
        </row>
        <row r="50">
          <cell r="B50">
            <v>2017</v>
          </cell>
          <cell r="C50">
            <v>3252792.250720554</v>
          </cell>
        </row>
        <row r="51">
          <cell r="B51">
            <v>2018</v>
          </cell>
          <cell r="C51">
            <v>3487256.9528504084</v>
          </cell>
        </row>
        <row r="52">
          <cell r="B52">
            <v>2019</v>
          </cell>
          <cell r="C52">
            <v>3738622.1184305982</v>
          </cell>
        </row>
        <row r="53">
          <cell r="B53">
            <v>2020</v>
          </cell>
          <cell r="C53">
            <v>4008105.9507227172</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sheetName val="Metode L.Square"/>
      <sheetName val="Aritmatika"/>
      <sheetName val="Geometrik"/>
      <sheetName val="Reg.linier"/>
      <sheetName val="Eksponensial"/>
      <sheetName val="Logaritmik"/>
      <sheetName val="Pemilihan"/>
    </sheetNames>
    <sheetDataSet>
      <sheetData sheetId="0" refreshError="1"/>
      <sheetData sheetId="1" refreshError="1"/>
      <sheetData sheetId="2" refreshError="1"/>
      <sheetData sheetId="3" refreshError="1"/>
      <sheetData sheetId="4" refreshError="1"/>
      <sheetData sheetId="5">
        <row r="40">
          <cell r="B40">
            <v>2001</v>
          </cell>
          <cell r="C40">
            <v>16373870</v>
          </cell>
        </row>
        <row r="41">
          <cell r="B41">
            <v>2002</v>
          </cell>
        </row>
        <row r="42">
          <cell r="B42">
            <v>2003</v>
          </cell>
        </row>
        <row r="43">
          <cell r="B43">
            <v>2004</v>
          </cell>
          <cell r="C43">
            <v>11343673</v>
          </cell>
        </row>
        <row r="44">
          <cell r="B44">
            <v>2005</v>
          </cell>
        </row>
        <row r="45">
          <cell r="B45">
            <v>2006</v>
          </cell>
        </row>
        <row r="46">
          <cell r="B46">
            <v>2007</v>
          </cell>
          <cell r="C46">
            <v>12400904</v>
          </cell>
        </row>
        <row r="47">
          <cell r="B47">
            <v>2008</v>
          </cell>
        </row>
        <row r="48">
          <cell r="B48">
            <v>2009</v>
          </cell>
        </row>
        <row r="49">
          <cell r="B49">
            <v>2010</v>
          </cell>
          <cell r="C49">
            <v>10002029.586948004</v>
          </cell>
        </row>
        <row r="50">
          <cell r="B50">
            <v>2011</v>
          </cell>
          <cell r="C50">
            <v>9549305.8377928324</v>
          </cell>
        </row>
        <row r="51">
          <cell r="B51">
            <v>2012</v>
          </cell>
          <cell r="C51">
            <v>9117073.8089698888</v>
          </cell>
        </row>
        <row r="52">
          <cell r="B52">
            <v>2013</v>
          </cell>
          <cell r="C52">
            <v>8704405.9798817411</v>
          </cell>
        </row>
        <row r="53">
          <cell r="B53">
            <v>2014</v>
          </cell>
          <cell r="C53">
            <v>8310416.8124709688</v>
          </cell>
        </row>
        <row r="54">
          <cell r="B54">
            <v>2015</v>
          </cell>
          <cell r="C54">
            <v>7934260.8509555571</v>
          </cell>
        </row>
        <row r="55">
          <cell r="B55">
            <v>2016</v>
          </cell>
          <cell r="C55">
            <v>7575130.9075782672</v>
          </cell>
        </row>
        <row r="56">
          <cell r="B56">
            <v>2017</v>
          </cell>
          <cell r="C56">
            <v>7232256.3304729126</v>
          </cell>
        </row>
        <row r="57">
          <cell r="B57">
            <v>2018</v>
          </cell>
          <cell r="C57">
            <v>6904901.349934306</v>
          </cell>
        </row>
        <row r="58">
          <cell r="B58">
            <v>2019</v>
          </cell>
          <cell r="C58">
            <v>6592363.4995396128</v>
          </cell>
        </row>
        <row r="59">
          <cell r="B59">
            <v>2020</v>
          </cell>
          <cell r="C59">
            <v>6293972.1087363912</v>
          </cell>
        </row>
      </sheetData>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R186"/>
  <sheetViews>
    <sheetView tabSelected="1" topLeftCell="A140" zoomScale="70" zoomScaleNormal="70" workbookViewId="0">
      <selection activeCell="J149" sqref="J149:J169"/>
    </sheetView>
  </sheetViews>
  <sheetFormatPr defaultRowHeight="15"/>
  <cols>
    <col min="1" max="1" width="11.85546875" customWidth="1"/>
    <col min="2" max="2" width="16.7109375" customWidth="1"/>
    <col min="3" max="3" width="24.7109375" hidden="1" customWidth="1"/>
    <col min="4" max="6" width="16.7109375" customWidth="1"/>
    <col min="7" max="7" width="20.42578125" customWidth="1"/>
    <col min="8" max="8" width="25" hidden="1" customWidth="1"/>
    <col min="9" max="9" width="15.7109375" customWidth="1"/>
    <col min="10" max="10" width="16.85546875" customWidth="1"/>
    <col min="11" max="11" width="17.42578125" customWidth="1"/>
    <col min="12" max="12" width="16.140625" customWidth="1"/>
    <col min="13" max="13" width="15.140625" customWidth="1"/>
    <col min="14" max="14" width="18.7109375" customWidth="1"/>
    <col min="15" max="15" width="18.140625" customWidth="1"/>
    <col min="16" max="16" width="13" customWidth="1"/>
    <col min="17" max="17" width="13.85546875" customWidth="1"/>
    <col min="18" max="18" width="16.5703125" customWidth="1"/>
    <col min="19" max="19" width="11" customWidth="1"/>
    <col min="20" max="20" width="19" hidden="1" customWidth="1"/>
    <col min="21" max="21" width="14.42578125" customWidth="1"/>
    <col min="22" max="22" width="13" customWidth="1"/>
    <col min="23" max="24" width="18.42578125" customWidth="1"/>
    <col min="25" max="25" width="16.28515625" customWidth="1"/>
    <col min="26" max="26" width="13.28515625" customWidth="1"/>
    <col min="27" max="27" width="11.85546875" customWidth="1"/>
    <col min="28" max="30" width="9.140625" hidden="1" customWidth="1"/>
    <col min="31" max="31" width="12" customWidth="1"/>
    <col min="32" max="32" width="13.42578125" bestFit="1" customWidth="1"/>
    <col min="33" max="33" width="12.28515625" customWidth="1"/>
    <col min="34" max="34" width="17.5703125" hidden="1" customWidth="1"/>
    <col min="35" max="35" width="13" customWidth="1"/>
    <col min="36" max="36" width="13.5703125" customWidth="1"/>
    <col min="42" max="42" width="13.85546875" customWidth="1"/>
    <col min="43" max="43" width="18.42578125" customWidth="1"/>
    <col min="65" max="67" width="17.28515625" customWidth="1"/>
  </cols>
  <sheetData>
    <row r="1" spans="1:44" ht="25.5">
      <c r="A1" s="117" t="s">
        <v>136</v>
      </c>
      <c r="R1" s="15"/>
      <c r="S1" s="3"/>
      <c r="T1" s="13"/>
      <c r="AR1" s="5"/>
    </row>
    <row r="2" spans="1:44" ht="27.75" customHeight="1">
      <c r="A2" s="1"/>
      <c r="D2" s="6"/>
      <c r="R2" s="15"/>
      <c r="S2" s="15"/>
      <c r="AR2" s="5"/>
    </row>
    <row r="3" spans="1:44" ht="14.25" customHeight="1">
      <c r="A3" s="115"/>
      <c r="B3" s="181" t="s">
        <v>11</v>
      </c>
      <c r="C3" s="181"/>
      <c r="D3" s="181"/>
      <c r="E3" s="181"/>
      <c r="F3" s="181"/>
      <c r="G3" s="181" t="s">
        <v>4</v>
      </c>
      <c r="H3" s="181"/>
      <c r="I3" s="181"/>
      <c r="J3" s="181"/>
      <c r="K3" s="181"/>
      <c r="L3" s="182" t="s">
        <v>181</v>
      </c>
      <c r="M3" s="186" t="s">
        <v>182</v>
      </c>
      <c r="N3" s="109"/>
      <c r="O3" s="109"/>
      <c r="P3" s="109"/>
      <c r="R3" s="15"/>
      <c r="S3" s="15"/>
      <c r="AR3" s="5"/>
    </row>
    <row r="4" spans="1:44" ht="49.5" customHeight="1">
      <c r="A4" s="111" t="s">
        <v>0</v>
      </c>
      <c r="B4" s="112" t="s">
        <v>179</v>
      </c>
      <c r="C4" s="112" t="s">
        <v>118</v>
      </c>
      <c r="D4" s="112" t="s">
        <v>151</v>
      </c>
      <c r="E4" s="112" t="s">
        <v>150</v>
      </c>
      <c r="F4" s="112" t="s">
        <v>147</v>
      </c>
      <c r="G4" s="112" t="s">
        <v>180</v>
      </c>
      <c r="H4" s="112" t="s">
        <v>118</v>
      </c>
      <c r="I4" s="112" t="s">
        <v>151</v>
      </c>
      <c r="J4" s="112" t="s">
        <v>149</v>
      </c>
      <c r="K4" s="112" t="s">
        <v>148</v>
      </c>
      <c r="L4" s="182"/>
      <c r="M4" s="186"/>
      <c r="N4" s="110"/>
      <c r="O4" s="58"/>
      <c r="P4" s="59"/>
      <c r="R4" s="15"/>
      <c r="S4" s="15"/>
    </row>
    <row r="5" spans="1:44">
      <c r="A5" s="113">
        <v>2010</v>
      </c>
      <c r="B5" s="116">
        <f>19.8*10^6</f>
        <v>19800000</v>
      </c>
      <c r="C5" s="116">
        <f>B5*6.119*10^9</f>
        <v>1.211562E+17</v>
      </c>
      <c r="D5" s="116">
        <f>+C5/(10^12)</f>
        <v>121156.2</v>
      </c>
      <c r="E5" s="69">
        <f>$AK$37*D5</f>
        <v>8595620458.9200001</v>
      </c>
      <c r="F5" s="69">
        <f>+E5/1000000</f>
        <v>8595.6204589200006</v>
      </c>
      <c r="G5" s="116">
        <f>7.7*10^6</f>
        <v>7700000</v>
      </c>
      <c r="H5" s="116">
        <f>G5*6.119*10^9</f>
        <v>4.71163E+16</v>
      </c>
      <c r="I5" s="116">
        <f>+H5/(10^12)</f>
        <v>47116.3</v>
      </c>
      <c r="J5" s="69">
        <f>$AK$38*I5</f>
        <v>3509636647.4400005</v>
      </c>
      <c r="K5" s="69">
        <f>+J5/1000000</f>
        <v>3509.6366474400006</v>
      </c>
      <c r="L5" s="69">
        <f>F5+K5</f>
        <v>12105.257106360001</v>
      </c>
      <c r="M5" s="160">
        <f>B5+G5</f>
        <v>27500000</v>
      </c>
      <c r="N5" s="108"/>
      <c r="O5" s="48"/>
      <c r="P5" s="59"/>
      <c r="R5" s="15"/>
      <c r="S5" s="15"/>
    </row>
    <row r="6" spans="1:44">
      <c r="A6" s="113">
        <f>+(($A$10-$A$5)/5)+(A5)</f>
        <v>2011</v>
      </c>
      <c r="B6" s="116">
        <f>+(($B$10-$B$5)/5)+(B5)</f>
        <v>21240000</v>
      </c>
      <c r="C6" s="116">
        <f t="shared" ref="C6:C9" si="0">B6*6.119*10^9</f>
        <v>1.2996756E+17</v>
      </c>
      <c r="D6" s="116">
        <f t="shared" ref="D6:D9" si="1">+C6/(10^12)</f>
        <v>129967.56</v>
      </c>
      <c r="E6" s="69">
        <f t="shared" ref="E6:E25" si="2">$AK$37*D6</f>
        <v>9220756492.2960014</v>
      </c>
      <c r="F6" s="69">
        <f t="shared" ref="F6:F25" si="3">+E6/1000000</f>
        <v>9220.7564922960009</v>
      </c>
      <c r="G6" s="116">
        <f>+(($G$10-$G$5)/5)+(G5)</f>
        <v>8260000</v>
      </c>
      <c r="H6" s="116">
        <f t="shared" ref="H6:H25" si="4">G6*6.119*10^9</f>
        <v>5.054294E+16</v>
      </c>
      <c r="I6" s="116">
        <f t="shared" ref="I6:I25" si="5">+H6/(10^12)</f>
        <v>50542.94</v>
      </c>
      <c r="J6" s="69">
        <f t="shared" ref="J6:J26" si="6">$AK$38*I6</f>
        <v>3764882949.0720005</v>
      </c>
      <c r="K6" s="69">
        <f t="shared" ref="K6:K25" si="7">+J6/1000000</f>
        <v>3764.8829490720004</v>
      </c>
      <c r="L6" s="69">
        <f t="shared" ref="L6:L10" si="8">F6+K6</f>
        <v>12985.639441368001</v>
      </c>
      <c r="M6" s="160">
        <f t="shared" ref="M6:M25" si="9">B6+G6</f>
        <v>29500000</v>
      </c>
      <c r="N6" s="108"/>
      <c r="O6" s="48"/>
      <c r="P6" s="59"/>
      <c r="R6" s="15"/>
      <c r="S6" s="15"/>
    </row>
    <row r="7" spans="1:44">
      <c r="A7" s="113">
        <f t="shared" ref="A7:A9" si="10">+(($A$96-$A$91)/5)+(A6)</f>
        <v>2012</v>
      </c>
      <c r="B7" s="116">
        <f t="shared" ref="B7:B9" si="11">+(($B$10-$B$5)/5)+(B6)</f>
        <v>22680000</v>
      </c>
      <c r="C7" s="116">
        <f t="shared" si="0"/>
        <v>1.3877892E+17</v>
      </c>
      <c r="D7" s="116">
        <f t="shared" si="1"/>
        <v>138778.92000000001</v>
      </c>
      <c r="E7" s="69">
        <f t="shared" si="2"/>
        <v>9845892525.6720009</v>
      </c>
      <c r="F7" s="69">
        <f t="shared" si="3"/>
        <v>9845.8925256720013</v>
      </c>
      <c r="G7" s="116">
        <f t="shared" ref="G7:G9" si="12">+(($G$10-$G$5)/5)+(G6)</f>
        <v>8820000</v>
      </c>
      <c r="H7" s="116">
        <f t="shared" si="4"/>
        <v>5.396958E+16</v>
      </c>
      <c r="I7" s="116">
        <f t="shared" si="5"/>
        <v>53969.58</v>
      </c>
      <c r="J7" s="69">
        <f t="shared" si="6"/>
        <v>4020129250.7040005</v>
      </c>
      <c r="K7" s="69">
        <f t="shared" si="7"/>
        <v>4020.1292507040007</v>
      </c>
      <c r="L7" s="69">
        <f t="shared" si="8"/>
        <v>13866.021776376001</v>
      </c>
      <c r="M7" s="160">
        <f t="shared" si="9"/>
        <v>31500000</v>
      </c>
      <c r="N7" s="108"/>
      <c r="O7" s="48"/>
      <c r="P7" s="59"/>
      <c r="R7" s="15"/>
      <c r="S7" s="15"/>
    </row>
    <row r="8" spans="1:44">
      <c r="A8" s="113">
        <f t="shared" si="10"/>
        <v>2013</v>
      </c>
      <c r="B8" s="116">
        <f t="shared" si="11"/>
        <v>24120000</v>
      </c>
      <c r="C8" s="116">
        <f t="shared" si="0"/>
        <v>1.4759028E+17</v>
      </c>
      <c r="D8" s="116">
        <f t="shared" si="1"/>
        <v>147590.28</v>
      </c>
      <c r="E8" s="69">
        <f t="shared" si="2"/>
        <v>10471028559.048</v>
      </c>
      <c r="F8" s="69">
        <f t="shared" si="3"/>
        <v>10471.028559048</v>
      </c>
      <c r="G8" s="116">
        <f t="shared" si="12"/>
        <v>9380000</v>
      </c>
      <c r="H8" s="116">
        <f t="shared" si="4"/>
        <v>5.739622E+16</v>
      </c>
      <c r="I8" s="116">
        <f t="shared" si="5"/>
        <v>57396.22</v>
      </c>
      <c r="J8" s="69">
        <f t="shared" si="6"/>
        <v>4275375552.3360004</v>
      </c>
      <c r="K8" s="69">
        <f t="shared" si="7"/>
        <v>4275.3755523360005</v>
      </c>
      <c r="L8" s="69">
        <f t="shared" si="8"/>
        <v>14746.404111383999</v>
      </c>
      <c r="M8" s="160">
        <f t="shared" si="9"/>
        <v>33500000</v>
      </c>
      <c r="N8" s="108"/>
      <c r="O8" s="48"/>
      <c r="P8" s="59"/>
      <c r="R8" s="15"/>
      <c r="S8" s="15"/>
    </row>
    <row r="9" spans="1:44">
      <c r="A9" s="113">
        <f t="shared" si="10"/>
        <v>2014</v>
      </c>
      <c r="B9" s="116">
        <f t="shared" si="11"/>
        <v>25560000</v>
      </c>
      <c r="C9" s="116">
        <f t="shared" si="0"/>
        <v>1.5640164E+17</v>
      </c>
      <c r="D9" s="116">
        <f t="shared" si="1"/>
        <v>156401.64000000001</v>
      </c>
      <c r="E9" s="69">
        <f t="shared" si="2"/>
        <v>11096164592.424002</v>
      </c>
      <c r="F9" s="69">
        <f t="shared" si="3"/>
        <v>11096.164592424002</v>
      </c>
      <c r="G9" s="116">
        <f t="shared" si="12"/>
        <v>9940000</v>
      </c>
      <c r="H9" s="116">
        <f t="shared" si="4"/>
        <v>6.082286E+16</v>
      </c>
      <c r="I9" s="116">
        <f t="shared" si="5"/>
        <v>60822.86</v>
      </c>
      <c r="J9" s="69">
        <f t="shared" si="6"/>
        <v>4530621853.9680004</v>
      </c>
      <c r="K9" s="69">
        <f t="shared" si="7"/>
        <v>4530.6218539680003</v>
      </c>
      <c r="L9" s="69">
        <f t="shared" si="8"/>
        <v>15626.786446392001</v>
      </c>
      <c r="M9" s="160">
        <f t="shared" si="9"/>
        <v>35500000</v>
      </c>
      <c r="N9" s="108"/>
      <c r="O9" s="48"/>
      <c r="P9" s="59"/>
      <c r="R9" s="15"/>
      <c r="S9" s="15"/>
    </row>
    <row r="10" spans="1:44">
      <c r="A10" s="113">
        <v>2015</v>
      </c>
      <c r="B10" s="116">
        <f>27*10^6</f>
        <v>27000000</v>
      </c>
      <c r="C10" s="116">
        <f>B10*6.119*10^9</f>
        <v>1.65213E+17</v>
      </c>
      <c r="D10" s="116">
        <f>+C10/(10^12)</f>
        <v>165213</v>
      </c>
      <c r="E10" s="69">
        <f t="shared" si="2"/>
        <v>11721300625.800001</v>
      </c>
      <c r="F10" s="69">
        <f t="shared" si="3"/>
        <v>11721.3006258</v>
      </c>
      <c r="G10" s="116">
        <f>10.5*10^6</f>
        <v>10500000</v>
      </c>
      <c r="H10" s="116">
        <f t="shared" si="4"/>
        <v>6.42495E+16</v>
      </c>
      <c r="I10" s="116">
        <f t="shared" si="5"/>
        <v>64249.5</v>
      </c>
      <c r="J10" s="69">
        <f t="shared" si="6"/>
        <v>4785868155.6000004</v>
      </c>
      <c r="K10" s="69">
        <f t="shared" si="7"/>
        <v>4785.8681556000001</v>
      </c>
      <c r="L10" s="69">
        <f t="shared" si="8"/>
        <v>16507.1687814</v>
      </c>
      <c r="M10" s="160">
        <f t="shared" si="9"/>
        <v>37500000</v>
      </c>
      <c r="N10" s="108"/>
      <c r="O10" s="48"/>
      <c r="P10" s="59"/>
      <c r="R10" s="15"/>
    </row>
    <row r="11" spans="1:44">
      <c r="A11" s="113">
        <f>+(($A$101-$A$96)/5)+(A10)</f>
        <v>2016</v>
      </c>
      <c r="B11" s="116">
        <f>+(($B$15-$B$10)/5)+(B10)</f>
        <v>28960000</v>
      </c>
      <c r="C11" s="116">
        <f t="shared" ref="C11:C25" si="13">B11*6.119*10^9</f>
        <v>1.7720624E+17</v>
      </c>
      <c r="D11" s="116">
        <f t="shared" ref="D11:D25" si="14">+C11/(10^12)</f>
        <v>177206.24</v>
      </c>
      <c r="E11" s="69">
        <f t="shared" si="2"/>
        <v>12572180226.784</v>
      </c>
      <c r="F11" s="69">
        <f t="shared" si="3"/>
        <v>12572.180226784001</v>
      </c>
      <c r="G11" s="116">
        <f>+(($G$20-$G$10)/5)+(G10)</f>
        <v>12320000</v>
      </c>
      <c r="H11" s="116">
        <f>G11*6.119*10^9</f>
        <v>7.538608E+16</v>
      </c>
      <c r="I11" s="116">
        <f>+H11/(10^12)</f>
        <v>75386.080000000002</v>
      </c>
      <c r="J11" s="69">
        <f t="shared" si="6"/>
        <v>5615418635.9040003</v>
      </c>
      <c r="K11" s="69">
        <f t="shared" si="7"/>
        <v>5615.4186359040004</v>
      </c>
      <c r="L11" s="69">
        <f>F11+K11</f>
        <v>18187.598862688003</v>
      </c>
      <c r="M11" s="160">
        <f t="shared" si="9"/>
        <v>41280000</v>
      </c>
      <c r="N11" s="108"/>
      <c r="O11" s="48"/>
      <c r="P11" s="59"/>
      <c r="R11" s="15"/>
    </row>
    <row r="12" spans="1:44">
      <c r="A12" s="113">
        <f t="shared" ref="A12:A14" si="15">+(($A$101-$A$96)/5)+(A11)</f>
        <v>2017</v>
      </c>
      <c r="B12" s="116">
        <f t="shared" ref="B12:B14" si="16">+(($A$10-$A$5)/5)+(B11)</f>
        <v>28960001</v>
      </c>
      <c r="C12" s="116">
        <f t="shared" si="13"/>
        <v>1.77206246119E+17</v>
      </c>
      <c r="D12" s="116">
        <f t="shared" si="14"/>
        <v>177206.24611899999</v>
      </c>
      <c r="E12" s="69">
        <f t="shared" si="2"/>
        <v>12572180660.906246</v>
      </c>
      <c r="F12" s="69">
        <f t="shared" si="3"/>
        <v>12572.180660906246</v>
      </c>
      <c r="G12" s="116">
        <f t="shared" ref="G12:G14" si="17">+(($G$20-$G$10)/5)+(G11)</f>
        <v>14140000</v>
      </c>
      <c r="H12" s="116">
        <f t="shared" si="4"/>
        <v>8.652266E+16</v>
      </c>
      <c r="I12" s="116">
        <f t="shared" si="5"/>
        <v>86522.66</v>
      </c>
      <c r="J12" s="69">
        <f t="shared" si="6"/>
        <v>6444969116.2080002</v>
      </c>
      <c r="K12" s="69">
        <f t="shared" si="7"/>
        <v>6444.9691162079998</v>
      </c>
      <c r="L12" s="69">
        <f t="shared" ref="L12:L15" si="18">F12+K12</f>
        <v>19017.149777114246</v>
      </c>
      <c r="M12" s="160">
        <f t="shared" si="9"/>
        <v>43100001</v>
      </c>
      <c r="N12" s="108"/>
      <c r="O12" s="48"/>
      <c r="P12" s="59"/>
      <c r="R12" s="15"/>
    </row>
    <row r="13" spans="1:44">
      <c r="A13" s="113">
        <f t="shared" si="15"/>
        <v>2018</v>
      </c>
      <c r="B13" s="116">
        <f t="shared" si="16"/>
        <v>28960002</v>
      </c>
      <c r="C13" s="116">
        <f t="shared" si="13"/>
        <v>1.77206252238E+17</v>
      </c>
      <c r="D13" s="116">
        <f t="shared" si="14"/>
        <v>177206.25223799999</v>
      </c>
      <c r="E13" s="69">
        <f t="shared" si="2"/>
        <v>12572181095.02849</v>
      </c>
      <c r="F13" s="69">
        <f t="shared" si="3"/>
        <v>12572.181095028491</v>
      </c>
      <c r="G13" s="116">
        <f t="shared" si="17"/>
        <v>15960000</v>
      </c>
      <c r="H13" s="116">
        <f t="shared" si="4"/>
        <v>9.765924E+16</v>
      </c>
      <c r="I13" s="116">
        <f t="shared" si="5"/>
        <v>97659.24</v>
      </c>
      <c r="J13" s="69">
        <f t="shared" si="6"/>
        <v>7274519596.512001</v>
      </c>
      <c r="K13" s="69">
        <f t="shared" si="7"/>
        <v>7274.519596512001</v>
      </c>
      <c r="L13" s="69">
        <f t="shared" si="18"/>
        <v>19846.700691540493</v>
      </c>
      <c r="M13" s="160">
        <f t="shared" si="9"/>
        <v>44920002</v>
      </c>
      <c r="N13" s="108"/>
      <c r="O13" s="48"/>
      <c r="P13" s="59"/>
      <c r="R13" s="15"/>
    </row>
    <row r="14" spans="1:44">
      <c r="A14" s="113">
        <f t="shared" si="15"/>
        <v>2019</v>
      </c>
      <c r="B14" s="116">
        <f t="shared" si="16"/>
        <v>28960003</v>
      </c>
      <c r="C14" s="116">
        <f t="shared" si="13"/>
        <v>1.77206258357E+17</v>
      </c>
      <c r="D14" s="116">
        <f t="shared" si="14"/>
        <v>177206.25835700001</v>
      </c>
      <c r="E14" s="69">
        <f t="shared" si="2"/>
        <v>12572181529.150738</v>
      </c>
      <c r="F14" s="69">
        <f t="shared" si="3"/>
        <v>12572.181529150737</v>
      </c>
      <c r="G14" s="116">
        <f t="shared" si="17"/>
        <v>17780000</v>
      </c>
      <c r="H14" s="116">
        <f t="shared" si="4"/>
        <v>1.0879582E+17</v>
      </c>
      <c r="I14" s="116">
        <f t="shared" si="5"/>
        <v>108795.82</v>
      </c>
      <c r="J14" s="69">
        <f t="shared" si="6"/>
        <v>8104070076.8160009</v>
      </c>
      <c r="K14" s="69">
        <f t="shared" si="7"/>
        <v>8104.0700768160013</v>
      </c>
      <c r="L14" s="69">
        <f t="shared" si="18"/>
        <v>20676.25160596674</v>
      </c>
      <c r="M14" s="160">
        <f t="shared" si="9"/>
        <v>46740003</v>
      </c>
      <c r="N14" s="108"/>
      <c r="O14" s="48"/>
      <c r="P14" s="59"/>
      <c r="R14" s="15"/>
    </row>
    <row r="15" spans="1:44">
      <c r="A15" s="113">
        <v>2020</v>
      </c>
      <c r="B15" s="116">
        <f>36.8*10^6</f>
        <v>36800000</v>
      </c>
      <c r="C15" s="116">
        <f t="shared" si="13"/>
        <v>2.251792E+17</v>
      </c>
      <c r="D15" s="116">
        <f t="shared" si="14"/>
        <v>225179.2</v>
      </c>
      <c r="E15" s="69">
        <f t="shared" si="2"/>
        <v>15975698630.720001</v>
      </c>
      <c r="F15" s="69">
        <f t="shared" si="3"/>
        <v>15975.69863072</v>
      </c>
      <c r="G15" s="116">
        <f>14.4*10^6</f>
        <v>14400000</v>
      </c>
      <c r="H15" s="116">
        <f t="shared" si="4"/>
        <v>8.81136E+16</v>
      </c>
      <c r="I15" s="116">
        <f t="shared" si="5"/>
        <v>88113.600000000006</v>
      </c>
      <c r="J15" s="69">
        <f t="shared" si="6"/>
        <v>6563476327.6800003</v>
      </c>
      <c r="K15" s="69">
        <f t="shared" si="7"/>
        <v>6563.4763276800004</v>
      </c>
      <c r="L15" s="69">
        <f t="shared" si="18"/>
        <v>22539.174958399999</v>
      </c>
      <c r="M15" s="160">
        <f t="shared" si="9"/>
        <v>51200000</v>
      </c>
      <c r="N15" s="108"/>
      <c r="O15" s="48"/>
      <c r="P15" s="59"/>
      <c r="R15" s="15"/>
      <c r="AR15" s="5"/>
    </row>
    <row r="16" spans="1:44">
      <c r="A16" s="113">
        <f>+(($A$106-$A$101)/5)+(A15)</f>
        <v>2021</v>
      </c>
      <c r="B16" s="116">
        <f>+(($B$20-$B$15)/5)+(B15)</f>
        <v>39480000</v>
      </c>
      <c r="C16" s="116">
        <f t="shared" si="13"/>
        <v>2.4157812E+17</v>
      </c>
      <c r="D16" s="116">
        <f t="shared" si="14"/>
        <v>241578.12</v>
      </c>
      <c r="E16" s="69">
        <f t="shared" si="2"/>
        <v>17139146248.392</v>
      </c>
      <c r="F16" s="69">
        <f t="shared" si="3"/>
        <v>17139.146248392</v>
      </c>
      <c r="G16" s="116">
        <f>+(($G$20-$G$15)/5)+(G15)</f>
        <v>15440000</v>
      </c>
      <c r="H16" s="116">
        <f>G16*6.119*10^9</f>
        <v>9.447736E+16</v>
      </c>
      <c r="I16" s="116">
        <f>+H16/(10^12)</f>
        <v>94477.36</v>
      </c>
      <c r="J16" s="69">
        <f t="shared" si="6"/>
        <v>7037505173.5680008</v>
      </c>
      <c r="K16" s="69">
        <f t="shared" si="7"/>
        <v>7037.5051735680008</v>
      </c>
      <c r="L16" s="69">
        <f>F16+K16</f>
        <v>24176.651421959999</v>
      </c>
      <c r="M16" s="160">
        <f t="shared" si="9"/>
        <v>54920000</v>
      </c>
      <c r="N16" s="108"/>
      <c r="O16" s="48"/>
      <c r="P16" s="59"/>
      <c r="R16" s="15"/>
      <c r="AR16" s="5"/>
    </row>
    <row r="17" spans="1:44">
      <c r="A17" s="113">
        <f t="shared" ref="A17:A19" si="19">+(($A$106-$A$101)/5)+(A16)</f>
        <v>2022</v>
      </c>
      <c r="B17" s="116">
        <f t="shared" ref="B17:B19" si="20">+(($B$20-$B$15)/5)+(B16)</f>
        <v>42160000</v>
      </c>
      <c r="C17" s="116">
        <f t="shared" si="13"/>
        <v>2.5797704E+17</v>
      </c>
      <c r="D17" s="116">
        <f t="shared" si="14"/>
        <v>257977.04</v>
      </c>
      <c r="E17" s="69">
        <f t="shared" si="2"/>
        <v>18302593866.064003</v>
      </c>
      <c r="F17" s="69">
        <f t="shared" si="3"/>
        <v>18302.593866064002</v>
      </c>
      <c r="G17" s="116">
        <f t="shared" ref="G17:G19" si="21">+(($G$20-$G$15)/5)+(G16)</f>
        <v>16480000</v>
      </c>
      <c r="H17" s="116">
        <f t="shared" si="4"/>
        <v>1.0084112E+17</v>
      </c>
      <c r="I17" s="116">
        <f t="shared" si="5"/>
        <v>100841.12</v>
      </c>
      <c r="J17" s="69">
        <f t="shared" si="6"/>
        <v>7511534019.4560003</v>
      </c>
      <c r="K17" s="69">
        <f t="shared" si="7"/>
        <v>7511.5340194560004</v>
      </c>
      <c r="L17" s="69">
        <f t="shared" ref="L17:L21" si="22">F17+K17</f>
        <v>25814.127885520003</v>
      </c>
      <c r="M17" s="160">
        <f t="shared" si="9"/>
        <v>58640000</v>
      </c>
      <c r="N17" s="108"/>
      <c r="O17" s="48"/>
      <c r="P17" s="59"/>
      <c r="R17" s="15"/>
      <c r="AR17" s="5"/>
    </row>
    <row r="18" spans="1:44">
      <c r="A18" s="113">
        <f t="shared" si="19"/>
        <v>2023</v>
      </c>
      <c r="B18" s="116">
        <f t="shared" si="20"/>
        <v>44840000</v>
      </c>
      <c r="C18" s="116">
        <f t="shared" si="13"/>
        <v>2.7437596E+17</v>
      </c>
      <c r="D18" s="116">
        <f t="shared" si="14"/>
        <v>274375.96000000002</v>
      </c>
      <c r="E18" s="69">
        <f t="shared" si="2"/>
        <v>19466041483.736004</v>
      </c>
      <c r="F18" s="69">
        <f t="shared" si="3"/>
        <v>19466.041483736004</v>
      </c>
      <c r="G18" s="116">
        <f t="shared" si="21"/>
        <v>17520000</v>
      </c>
      <c r="H18" s="116">
        <f t="shared" si="4"/>
        <v>1.0720488E+17</v>
      </c>
      <c r="I18" s="116">
        <f t="shared" si="5"/>
        <v>107204.88</v>
      </c>
      <c r="J18" s="69">
        <f t="shared" si="6"/>
        <v>7985562865.3440008</v>
      </c>
      <c r="K18" s="69">
        <f t="shared" si="7"/>
        <v>7985.5628653440008</v>
      </c>
      <c r="L18" s="69">
        <f t="shared" si="22"/>
        <v>27451.604349080004</v>
      </c>
      <c r="M18" s="160">
        <f t="shared" si="9"/>
        <v>62360000</v>
      </c>
      <c r="N18" s="108"/>
      <c r="O18" s="48"/>
      <c r="P18" s="59"/>
      <c r="R18" s="15"/>
      <c r="AR18" s="5"/>
    </row>
    <row r="19" spans="1:44">
      <c r="A19" s="113">
        <f t="shared" si="19"/>
        <v>2024</v>
      </c>
      <c r="B19" s="116">
        <f t="shared" si="20"/>
        <v>47520000</v>
      </c>
      <c r="C19" s="116">
        <f t="shared" si="13"/>
        <v>2.9077488E+17</v>
      </c>
      <c r="D19" s="116">
        <f t="shared" si="14"/>
        <v>290774.88</v>
      </c>
      <c r="E19" s="69">
        <f t="shared" si="2"/>
        <v>20629489101.408001</v>
      </c>
      <c r="F19" s="69">
        <f t="shared" si="3"/>
        <v>20629.489101408002</v>
      </c>
      <c r="G19" s="116">
        <f t="shared" si="21"/>
        <v>18560000</v>
      </c>
      <c r="H19" s="116">
        <f t="shared" si="4"/>
        <v>1.1356864E+17</v>
      </c>
      <c r="I19" s="116">
        <f t="shared" si="5"/>
        <v>113568.64</v>
      </c>
      <c r="J19" s="69">
        <f t="shared" si="6"/>
        <v>8459591711.2320004</v>
      </c>
      <c r="K19" s="69">
        <f t="shared" si="7"/>
        <v>8459.5917112320003</v>
      </c>
      <c r="L19" s="69">
        <f t="shared" si="22"/>
        <v>29089.080812640001</v>
      </c>
      <c r="M19" s="160">
        <f t="shared" si="9"/>
        <v>66080000</v>
      </c>
      <c r="N19" s="108"/>
      <c r="O19" s="48"/>
      <c r="P19" s="59"/>
      <c r="R19" s="15"/>
      <c r="AR19" s="5"/>
    </row>
    <row r="20" spans="1:44">
      <c r="A20" s="114">
        <v>2025</v>
      </c>
      <c r="B20" s="116">
        <v>50200000</v>
      </c>
      <c r="C20" s="116">
        <f t="shared" si="13"/>
        <v>3.071738E+17</v>
      </c>
      <c r="D20" s="116">
        <f t="shared" si="14"/>
        <v>307173.8</v>
      </c>
      <c r="E20" s="69">
        <f t="shared" si="2"/>
        <v>21792936719.080002</v>
      </c>
      <c r="F20" s="69">
        <f t="shared" si="3"/>
        <v>21792.93671908</v>
      </c>
      <c r="G20" s="116">
        <v>19600000</v>
      </c>
      <c r="H20" s="116">
        <f t="shared" si="4"/>
        <v>1.199324E+17</v>
      </c>
      <c r="I20" s="116">
        <f t="shared" si="5"/>
        <v>119932.4</v>
      </c>
      <c r="J20" s="69">
        <f t="shared" si="6"/>
        <v>8933620557.1200008</v>
      </c>
      <c r="K20" s="69">
        <f t="shared" si="7"/>
        <v>8933.6205571200007</v>
      </c>
      <c r="L20" s="69">
        <f t="shared" si="22"/>
        <v>30726.557276200001</v>
      </c>
      <c r="M20" s="160">
        <f t="shared" si="9"/>
        <v>69800000</v>
      </c>
      <c r="N20" s="108"/>
      <c r="O20" s="48"/>
      <c r="P20" s="59"/>
      <c r="R20" s="15"/>
      <c r="AR20" s="5"/>
    </row>
    <row r="21" spans="1:44">
      <c r="A21" s="113">
        <f>+(($A$111-$A$106)/5)+(A20)</f>
        <v>2026</v>
      </c>
      <c r="B21" s="116">
        <f>+(($B$25-$B$20)/5)+(B20)</f>
        <v>53860000</v>
      </c>
      <c r="C21" s="116">
        <f t="shared" si="13"/>
        <v>3.2956934E+17</v>
      </c>
      <c r="D21" s="116">
        <f t="shared" si="14"/>
        <v>329569.34000000003</v>
      </c>
      <c r="E21" s="69">
        <f t="shared" si="2"/>
        <v>23381824137.244003</v>
      </c>
      <c r="F21" s="69">
        <f t="shared" si="3"/>
        <v>23381.824137244002</v>
      </c>
      <c r="G21" s="116">
        <f>+(($G$25-$G$20)/5)+(G20)</f>
        <v>21020000</v>
      </c>
      <c r="H21" s="116">
        <f t="shared" si="4"/>
        <v>1.2862138E+17</v>
      </c>
      <c r="I21" s="116">
        <f t="shared" si="5"/>
        <v>128621.38</v>
      </c>
      <c r="J21" s="69">
        <f t="shared" si="6"/>
        <v>9580852250.5440006</v>
      </c>
      <c r="K21" s="69">
        <f t="shared" si="7"/>
        <v>9580.8522505440014</v>
      </c>
      <c r="L21" s="69">
        <f t="shared" si="22"/>
        <v>32962.676387788</v>
      </c>
      <c r="M21" s="160">
        <f t="shared" si="9"/>
        <v>74880000</v>
      </c>
      <c r="N21" s="108"/>
      <c r="O21" s="48"/>
      <c r="P21" s="59"/>
      <c r="R21" s="15"/>
      <c r="AR21" s="5"/>
    </row>
    <row r="22" spans="1:44">
      <c r="A22" s="113">
        <f t="shared" ref="A22:A24" si="23">+(($A$111-$A$106)/5)+(A21)</f>
        <v>2027</v>
      </c>
      <c r="B22" s="116">
        <f t="shared" ref="B22:B24" si="24">+(($B$25-$B$20)/5)+(B21)</f>
        <v>57520000</v>
      </c>
      <c r="C22" s="116">
        <f t="shared" si="13"/>
        <v>3.5196488E+17</v>
      </c>
      <c r="D22" s="116">
        <f t="shared" si="14"/>
        <v>351964.88</v>
      </c>
      <c r="E22" s="69">
        <f t="shared" si="2"/>
        <v>24970711555.408001</v>
      </c>
      <c r="F22" s="69">
        <f t="shared" si="3"/>
        <v>24970.711555408001</v>
      </c>
      <c r="G22" s="116">
        <f t="shared" ref="G22:G24" si="25">+(($G$25-$G$20)/5)+(G21)</f>
        <v>22440000</v>
      </c>
      <c r="H22" s="116">
        <f>G22*6.119*10^9</f>
        <v>1.3731036E+17</v>
      </c>
      <c r="I22" s="116">
        <f>+H22/(10^12)</f>
        <v>137310.35999999999</v>
      </c>
      <c r="J22" s="69">
        <f t="shared" si="6"/>
        <v>10228083943.967999</v>
      </c>
      <c r="K22" s="69">
        <f t="shared" si="7"/>
        <v>10228.083943967998</v>
      </c>
      <c r="L22" s="69">
        <f>F22+K22</f>
        <v>35198.795499375999</v>
      </c>
      <c r="M22" s="160">
        <f t="shared" si="9"/>
        <v>79960000</v>
      </c>
      <c r="N22" s="108"/>
      <c r="O22" s="48"/>
      <c r="P22" s="59"/>
      <c r="R22" s="15"/>
      <c r="AR22" s="5"/>
    </row>
    <row r="23" spans="1:44">
      <c r="A23" s="113">
        <f t="shared" si="23"/>
        <v>2028</v>
      </c>
      <c r="B23" s="116">
        <f t="shared" si="24"/>
        <v>61180000</v>
      </c>
      <c r="C23" s="116">
        <f t="shared" si="13"/>
        <v>3.7436042E+17</v>
      </c>
      <c r="D23" s="116">
        <f t="shared" si="14"/>
        <v>374360.42</v>
      </c>
      <c r="E23" s="69">
        <f t="shared" si="2"/>
        <v>26559598973.572002</v>
      </c>
      <c r="F23" s="69">
        <f t="shared" si="3"/>
        <v>26559.598973572003</v>
      </c>
      <c r="G23" s="116">
        <f t="shared" si="25"/>
        <v>23860000</v>
      </c>
      <c r="H23" s="116">
        <f t="shared" si="4"/>
        <v>1.4599934E+17</v>
      </c>
      <c r="I23" s="116">
        <f t="shared" si="5"/>
        <v>145999.34</v>
      </c>
      <c r="J23" s="69">
        <f t="shared" si="6"/>
        <v>10875315637.392</v>
      </c>
      <c r="K23" s="69">
        <f t="shared" si="7"/>
        <v>10875.315637392001</v>
      </c>
      <c r="L23" s="69">
        <f t="shared" ref="L23:L25" si="26">F23+K23</f>
        <v>37434.914610964006</v>
      </c>
      <c r="M23" s="160">
        <f t="shared" si="9"/>
        <v>85040000</v>
      </c>
      <c r="N23" s="108"/>
      <c r="O23" s="48"/>
      <c r="P23" s="59"/>
      <c r="R23" s="15"/>
      <c r="AR23" s="5"/>
    </row>
    <row r="24" spans="1:44">
      <c r="A24" s="113">
        <f t="shared" si="23"/>
        <v>2029</v>
      </c>
      <c r="B24" s="116">
        <f t="shared" si="24"/>
        <v>64840000</v>
      </c>
      <c r="C24" s="116">
        <f t="shared" si="13"/>
        <v>3.9675596E+17</v>
      </c>
      <c r="D24" s="116">
        <f t="shared" si="14"/>
        <v>396755.96</v>
      </c>
      <c r="E24" s="69">
        <f t="shared" si="2"/>
        <v>28148486391.736004</v>
      </c>
      <c r="F24" s="69">
        <f t="shared" si="3"/>
        <v>28148.486391736005</v>
      </c>
      <c r="G24" s="116">
        <f t="shared" si="25"/>
        <v>25280000</v>
      </c>
      <c r="H24" s="116">
        <f t="shared" si="4"/>
        <v>1.5468832E+17</v>
      </c>
      <c r="I24" s="116">
        <f t="shared" si="5"/>
        <v>154688.32000000001</v>
      </c>
      <c r="J24" s="69">
        <f t="shared" si="6"/>
        <v>11522547330.816002</v>
      </c>
      <c r="K24" s="69">
        <f t="shared" si="7"/>
        <v>11522.547330816002</v>
      </c>
      <c r="L24" s="69">
        <f t="shared" si="26"/>
        <v>39671.033722552005</v>
      </c>
      <c r="M24" s="160">
        <f t="shared" si="9"/>
        <v>90120000</v>
      </c>
      <c r="N24" s="108"/>
      <c r="O24" s="48"/>
      <c r="P24" s="59"/>
      <c r="R24" s="15"/>
      <c r="AR24" s="5"/>
    </row>
    <row r="25" spans="1:44">
      <c r="A25" s="157">
        <v>2030</v>
      </c>
      <c r="B25" s="158">
        <v>68500000</v>
      </c>
      <c r="C25" s="158">
        <f t="shared" si="13"/>
        <v>4.191515E+17</v>
      </c>
      <c r="D25" s="158">
        <f t="shared" si="14"/>
        <v>419151.5</v>
      </c>
      <c r="E25" s="159">
        <f t="shared" si="2"/>
        <v>29737373809.900002</v>
      </c>
      <c r="F25" s="159">
        <f t="shared" si="3"/>
        <v>29737.3738099</v>
      </c>
      <c r="G25" s="158">
        <v>26700000</v>
      </c>
      <c r="H25" s="158">
        <f t="shared" si="4"/>
        <v>1.633773E+17</v>
      </c>
      <c r="I25" s="158">
        <f t="shared" si="5"/>
        <v>163377.29999999999</v>
      </c>
      <c r="J25" s="159">
        <f t="shared" si="6"/>
        <v>12169779024.24</v>
      </c>
      <c r="K25" s="159">
        <f t="shared" si="7"/>
        <v>12169.779024240001</v>
      </c>
      <c r="L25" s="159">
        <f t="shared" si="26"/>
        <v>41907.152834139997</v>
      </c>
      <c r="M25" s="160">
        <f t="shared" si="9"/>
        <v>95200000</v>
      </c>
      <c r="N25" s="108"/>
      <c r="O25" s="48"/>
      <c r="P25" s="59"/>
      <c r="R25" s="15"/>
      <c r="AR25" s="5"/>
    </row>
    <row r="26" spans="1:44" s="167" customFormat="1" ht="15.75">
      <c r="A26" s="161"/>
      <c r="B26" s="161">
        <f>B25/$M$25</f>
        <v>0.71953781512605042</v>
      </c>
      <c r="C26" s="161"/>
      <c r="D26" s="161"/>
      <c r="E26" s="162"/>
      <c r="F26" s="163"/>
      <c r="G26" s="161">
        <f>G25/$M$25</f>
        <v>0.28046218487394958</v>
      </c>
      <c r="H26" s="161"/>
      <c r="I26" s="161"/>
      <c r="J26" s="163">
        <f t="shared" si="6"/>
        <v>0</v>
      </c>
      <c r="K26" s="163"/>
      <c r="L26" s="162"/>
      <c r="M26" s="161"/>
      <c r="N26" s="164"/>
      <c r="O26" s="165"/>
      <c r="P26" s="166"/>
      <c r="R26" s="168"/>
      <c r="AR26" s="169"/>
    </row>
    <row r="27" spans="1:44" s="167" customFormat="1" ht="15.75">
      <c r="A27" s="161"/>
      <c r="B27" s="161"/>
      <c r="C27" s="161"/>
      <c r="D27" s="161"/>
      <c r="E27" s="161"/>
      <c r="F27" s="161">
        <f>F25/$L$25</f>
        <v>0.7096013878011348</v>
      </c>
      <c r="G27" s="161"/>
      <c r="H27" s="161"/>
      <c r="I27" s="161"/>
      <c r="J27" s="161"/>
      <c r="K27" s="161">
        <f>K25/$L$25</f>
        <v>0.29039861219886531</v>
      </c>
      <c r="L27" s="161"/>
      <c r="M27" s="161"/>
      <c r="N27" s="170"/>
      <c r="O27" s="170"/>
      <c r="P27" s="170"/>
      <c r="Q27" s="170"/>
      <c r="R27" s="168"/>
      <c r="W27" s="171" t="s">
        <v>43</v>
      </c>
      <c r="AR27" s="169"/>
    </row>
    <row r="28" spans="1:44" ht="30.75" thickBot="1">
      <c r="C28" s="20"/>
      <c r="D28" s="20"/>
      <c r="E28" s="4"/>
      <c r="F28" s="4"/>
      <c r="L28" s="4"/>
      <c r="M28" s="4"/>
      <c r="N28" s="4"/>
      <c r="O28" s="4"/>
      <c r="P28" s="4"/>
      <c r="Q28" s="4"/>
      <c r="R28" s="4"/>
      <c r="W28" s="6" t="s">
        <v>44</v>
      </c>
      <c r="Z28" s="10" t="s">
        <v>23</v>
      </c>
      <c r="AA28" s="16" t="s">
        <v>24</v>
      </c>
      <c r="AR28" s="5"/>
    </row>
    <row r="29" spans="1:44" ht="50.25" thickTop="1" thickBot="1">
      <c r="A29" s="117" t="s">
        <v>2</v>
      </c>
      <c r="W29" s="21" t="s">
        <v>45</v>
      </c>
      <c r="X29" s="22" t="s">
        <v>46</v>
      </c>
      <c r="Y29" s="22" t="s">
        <v>47</v>
      </c>
      <c r="Z29" s="7" t="s">
        <v>25</v>
      </c>
      <c r="AA29" s="17">
        <v>37.229999999999997</v>
      </c>
      <c r="AR29" s="5"/>
    </row>
    <row r="30" spans="1:44" ht="19.5" thickTop="1" thickBot="1">
      <c r="A30" s="1" t="s">
        <v>3</v>
      </c>
      <c r="W30" s="23" t="s">
        <v>48</v>
      </c>
      <c r="X30" s="24" t="s">
        <v>48</v>
      </c>
      <c r="Y30" s="24" t="s">
        <v>49</v>
      </c>
      <c r="Z30" s="8" t="s">
        <v>28</v>
      </c>
      <c r="AA30" s="17">
        <v>37.68</v>
      </c>
      <c r="AN30" s="4"/>
      <c r="AO30" s="4"/>
      <c r="AP30" s="4"/>
      <c r="AQ30" s="4"/>
      <c r="AR30" s="5"/>
    </row>
    <row r="31" spans="1:44" ht="15" customHeight="1" thickTop="1" thickBot="1">
      <c r="A31" s="191" t="s">
        <v>0</v>
      </c>
      <c r="B31" s="190" t="s">
        <v>119</v>
      </c>
      <c r="C31" s="190"/>
      <c r="D31" s="190"/>
      <c r="E31" s="190"/>
      <c r="F31" s="190"/>
      <c r="G31" s="190" t="s">
        <v>129</v>
      </c>
      <c r="H31" s="190"/>
      <c r="I31" s="190"/>
      <c r="J31" s="190"/>
      <c r="K31" s="190"/>
      <c r="L31" s="183" t="s">
        <v>140</v>
      </c>
      <c r="M31" s="184"/>
      <c r="N31" s="184"/>
      <c r="O31" s="185"/>
      <c r="P31" s="187" t="s">
        <v>170</v>
      </c>
      <c r="Q31" s="55"/>
      <c r="R31" s="12"/>
      <c r="S31" s="12"/>
      <c r="T31" s="12"/>
      <c r="U31" s="12"/>
      <c r="W31" s="23" t="s">
        <v>50</v>
      </c>
      <c r="X31" s="24" t="s">
        <v>51</v>
      </c>
      <c r="Y31" s="24" t="s">
        <v>52</v>
      </c>
      <c r="Z31" s="8" t="s">
        <v>26</v>
      </c>
      <c r="AA31" s="17">
        <v>22.2</v>
      </c>
      <c r="AN31" s="4"/>
      <c r="AO31" s="4"/>
      <c r="AP31" s="4"/>
      <c r="AQ31" s="4"/>
      <c r="AR31" s="5"/>
    </row>
    <row r="32" spans="1:44" ht="136.5" thickTop="1" thickBot="1">
      <c r="A32" s="192"/>
      <c r="B32" s="129" t="s">
        <v>121</v>
      </c>
      <c r="C32" s="43" t="s">
        <v>118</v>
      </c>
      <c r="D32" s="61" t="s">
        <v>146</v>
      </c>
      <c r="E32" s="43" t="s">
        <v>165</v>
      </c>
      <c r="F32" s="66" t="s">
        <v>166</v>
      </c>
      <c r="G32" s="101" t="s">
        <v>120</v>
      </c>
      <c r="H32" s="43" t="s">
        <v>118</v>
      </c>
      <c r="I32" s="61" t="s">
        <v>146</v>
      </c>
      <c r="J32" s="43" t="s">
        <v>168</v>
      </c>
      <c r="K32" s="105" t="s">
        <v>167</v>
      </c>
      <c r="L32" s="76" t="s">
        <v>141</v>
      </c>
      <c r="M32" s="63" t="s">
        <v>145</v>
      </c>
      <c r="N32" s="63" t="s">
        <v>117</v>
      </c>
      <c r="O32" s="62" t="s">
        <v>169</v>
      </c>
      <c r="P32" s="188"/>
      <c r="Q32" s="139" t="s">
        <v>160</v>
      </c>
      <c r="R32" s="48"/>
      <c r="S32" s="48"/>
      <c r="T32" s="48"/>
      <c r="U32" s="56"/>
      <c r="W32" s="23" t="s">
        <v>53</v>
      </c>
      <c r="X32" s="24" t="s">
        <v>54</v>
      </c>
      <c r="Y32" s="24" t="s">
        <v>55</v>
      </c>
      <c r="Z32" s="8" t="s">
        <v>27</v>
      </c>
      <c r="AA32" s="17">
        <v>38.68</v>
      </c>
      <c r="AN32" s="4"/>
      <c r="AO32" s="15"/>
      <c r="AP32" s="15"/>
      <c r="AQ32" s="15"/>
      <c r="AR32" s="15"/>
    </row>
    <row r="33" spans="1:44" ht="33" thickTop="1" thickBot="1">
      <c r="A33" s="65">
        <v>2010</v>
      </c>
      <c r="B33" s="127">
        <f>7.9*10^6</f>
        <v>7900000</v>
      </c>
      <c r="C33" s="67">
        <f>B33*6.119*10^9</f>
        <v>4.83401E+16</v>
      </c>
      <c r="D33" s="67">
        <f>+C33/(10^12)</f>
        <v>48340.1</v>
      </c>
      <c r="E33" s="68">
        <f>$AK$41*D33</f>
        <v>3056776555.48</v>
      </c>
      <c r="F33" s="69">
        <f>+E33/1000000</f>
        <v>3056.7765554799998</v>
      </c>
      <c r="G33" s="102">
        <f>3.5*10^6</f>
        <v>3500000</v>
      </c>
      <c r="H33" s="67">
        <f>G33*6.119*10^9</f>
        <v>2.14165E+16</v>
      </c>
      <c r="I33" s="67">
        <f>+H33/(10^12)</f>
        <v>21416.5</v>
      </c>
      <c r="J33" s="68">
        <f>$AK$39*I33</f>
        <v>1548173085.2</v>
      </c>
      <c r="K33" s="106">
        <f>+J33/1000000</f>
        <v>1548.1730852000001</v>
      </c>
      <c r="L33" s="130">
        <v>3400000</v>
      </c>
      <c r="M33" s="90">
        <f>L33*0.613</f>
        <v>2084200</v>
      </c>
      <c r="N33" s="68">
        <f>M33*0.725*1000</f>
        <v>1511045000</v>
      </c>
      <c r="O33" s="97">
        <f>N33/1000000</f>
        <v>1511.0450000000001</v>
      </c>
      <c r="P33" s="138">
        <f>F33+K33+O33</f>
        <v>6115.99464068</v>
      </c>
      <c r="Q33" s="140">
        <f>B33+G33+L33</f>
        <v>14800000</v>
      </c>
      <c r="R33" s="57"/>
      <c r="S33" s="57"/>
      <c r="T33" s="58"/>
      <c r="U33" s="59"/>
      <c r="W33" s="23" t="s">
        <v>56</v>
      </c>
      <c r="X33" s="24" t="s">
        <v>57</v>
      </c>
      <c r="Y33" s="24" t="s">
        <v>58</v>
      </c>
      <c r="Z33" s="8" t="s">
        <v>29</v>
      </c>
      <c r="AA33" s="17">
        <v>14.4</v>
      </c>
      <c r="AR33" s="5"/>
    </row>
    <row r="34" spans="1:44" ht="32.25" thickBot="1">
      <c r="A34" s="65">
        <f>+(($A$96-$A$91)/5)+(A33)</f>
        <v>2011</v>
      </c>
      <c r="B34" s="91">
        <f>+(($B$38-$B$33)/5)+(B33)</f>
        <v>9040000</v>
      </c>
      <c r="C34" s="67">
        <f t="shared" ref="C34:C37" si="27">B34*6.119*10^9</f>
        <v>5.531576E+16</v>
      </c>
      <c r="D34" s="67">
        <f t="shared" ref="D34:D37" si="28">+C34/(10^12)</f>
        <v>55315.76</v>
      </c>
      <c r="E34" s="68">
        <f t="shared" ref="E34:E53" si="29">$AK$41*D34</f>
        <v>3497881020.4480004</v>
      </c>
      <c r="F34" s="69">
        <f t="shared" ref="F34:F51" si="30">+E34/1000000</f>
        <v>3497.8810204480005</v>
      </c>
      <c r="G34" s="93">
        <f>+(($G$38-$G$33)/5)+(G33)</f>
        <v>3100000</v>
      </c>
      <c r="H34" s="67">
        <f t="shared" ref="H34:H53" si="31">G34*6.119*10^9</f>
        <v>1.89689E+16</v>
      </c>
      <c r="I34" s="67">
        <f t="shared" ref="I34:I53" si="32">+H34/(10^12)</f>
        <v>18968.900000000001</v>
      </c>
      <c r="J34" s="68">
        <f t="shared" ref="J34:J53" si="33">$AG$39*I34</f>
        <v>1363863910</v>
      </c>
      <c r="K34" s="106">
        <f t="shared" ref="K34:K53" si="34">+J34/1000000</f>
        <v>1363.86391</v>
      </c>
      <c r="L34" s="96">
        <f>+(($L$38-$L$33)/5)+(L33)</f>
        <v>3480000</v>
      </c>
      <c r="M34" s="90">
        <f t="shared" ref="M34:M53" si="35">L34*0.613</f>
        <v>2133240</v>
      </c>
      <c r="N34" s="68">
        <f t="shared" ref="N34:N53" si="36">M34*0.725*1000</f>
        <v>1546599000</v>
      </c>
      <c r="O34" s="97">
        <f t="shared" ref="O34:O53" si="37">N34/1000000</f>
        <v>1546.5989999999999</v>
      </c>
      <c r="P34" s="138">
        <f t="shared" ref="P34:P52" si="38">F34+K34+O34</f>
        <v>6408.3439304480007</v>
      </c>
      <c r="Q34" s="140">
        <f t="shared" ref="Q34:Q53" si="39">B34+G34+L34</f>
        <v>15620000</v>
      </c>
      <c r="R34" s="57"/>
      <c r="S34" s="57"/>
      <c r="T34" s="58"/>
      <c r="U34" s="59"/>
      <c r="W34" s="23" t="s">
        <v>59</v>
      </c>
      <c r="X34" s="24" t="s">
        <v>60</v>
      </c>
      <c r="Y34" s="24" t="s">
        <v>61</v>
      </c>
      <c r="Z34" s="14" t="s">
        <v>42</v>
      </c>
      <c r="AA34" s="189" t="s">
        <v>122</v>
      </c>
      <c r="AB34" s="189"/>
      <c r="AE34" s="107" t="s">
        <v>7</v>
      </c>
      <c r="AR34" s="5"/>
    </row>
    <row r="35" spans="1:44" ht="33" thickTop="1" thickBot="1">
      <c r="A35" s="65">
        <f t="shared" ref="A35:A37" si="40">+(($A$96-$A$91)/5)+(A34)</f>
        <v>2012</v>
      </c>
      <c r="B35" s="91">
        <f t="shared" ref="B35:B37" si="41">+(($B$38-$B$33)/5)+(B34)</f>
        <v>10180000</v>
      </c>
      <c r="C35" s="67">
        <f t="shared" si="27"/>
        <v>6.229142E+16</v>
      </c>
      <c r="D35" s="67">
        <f t="shared" si="28"/>
        <v>62291.42</v>
      </c>
      <c r="E35" s="68">
        <f t="shared" si="29"/>
        <v>3938985485.4159999</v>
      </c>
      <c r="F35" s="69">
        <f t="shared" si="30"/>
        <v>3938.9854854159998</v>
      </c>
      <c r="G35" s="93">
        <f t="shared" ref="G35:G37" si="42">+(($G$38-$G$33)/5)+(G34)</f>
        <v>2700000</v>
      </c>
      <c r="H35" s="67">
        <f t="shared" si="31"/>
        <v>1.65213E+16</v>
      </c>
      <c r="I35" s="67">
        <f t="shared" si="32"/>
        <v>16521.3</v>
      </c>
      <c r="J35" s="68">
        <f t="shared" si="33"/>
        <v>1187881470</v>
      </c>
      <c r="K35" s="106">
        <f t="shared" si="34"/>
        <v>1187.88147</v>
      </c>
      <c r="L35" s="96">
        <f t="shared" ref="L35:L37" si="43">+(($L$38-$L$33)/5)+(L34)</f>
        <v>3560000</v>
      </c>
      <c r="M35" s="90">
        <f t="shared" si="35"/>
        <v>2182280</v>
      </c>
      <c r="N35" s="68">
        <f t="shared" si="36"/>
        <v>1582153000</v>
      </c>
      <c r="O35" s="97">
        <f t="shared" si="37"/>
        <v>1582.153</v>
      </c>
      <c r="P35" s="138">
        <f t="shared" si="38"/>
        <v>6709.0199554159999</v>
      </c>
      <c r="Q35" s="140">
        <f t="shared" si="39"/>
        <v>16440000</v>
      </c>
      <c r="R35" s="57"/>
      <c r="S35" s="57"/>
      <c r="T35" s="58"/>
      <c r="U35" s="59"/>
      <c r="W35" s="23" t="s">
        <v>62</v>
      </c>
      <c r="X35" s="24" t="s">
        <v>63</v>
      </c>
      <c r="Y35" s="24" t="s">
        <v>64</v>
      </c>
      <c r="AE35" s="143"/>
      <c r="AF35" s="141"/>
      <c r="AG35" s="144" t="s">
        <v>163</v>
      </c>
      <c r="AH35" s="143"/>
      <c r="AI35" s="143"/>
      <c r="AJ35" s="143"/>
      <c r="AK35" s="143"/>
      <c r="AR35" s="5"/>
    </row>
    <row r="36" spans="1:44" ht="33" thickTop="1" thickBot="1">
      <c r="A36" s="65">
        <f t="shared" si="40"/>
        <v>2013</v>
      </c>
      <c r="B36" s="91">
        <f t="shared" si="41"/>
        <v>11320000</v>
      </c>
      <c r="C36" s="67">
        <f t="shared" si="27"/>
        <v>6.926708E+16</v>
      </c>
      <c r="D36" s="67">
        <f t="shared" si="28"/>
        <v>69267.08</v>
      </c>
      <c r="E36" s="68">
        <f t="shared" si="29"/>
        <v>4380089950.3840008</v>
      </c>
      <c r="F36" s="69">
        <f t="shared" si="30"/>
        <v>4380.089950384001</v>
      </c>
      <c r="G36" s="93">
        <f t="shared" si="42"/>
        <v>2300000</v>
      </c>
      <c r="H36" s="67">
        <f t="shared" si="31"/>
        <v>1.40737E+16</v>
      </c>
      <c r="I36" s="67">
        <f t="shared" si="32"/>
        <v>14073.7</v>
      </c>
      <c r="J36" s="68">
        <f t="shared" si="33"/>
        <v>1011899030</v>
      </c>
      <c r="K36" s="106">
        <f t="shared" si="34"/>
        <v>1011.89903</v>
      </c>
      <c r="L36" s="96">
        <f t="shared" si="43"/>
        <v>3640000</v>
      </c>
      <c r="M36" s="90">
        <f t="shared" si="35"/>
        <v>2231320</v>
      </c>
      <c r="N36" s="68">
        <f t="shared" si="36"/>
        <v>1617707000</v>
      </c>
      <c r="O36" s="97">
        <f t="shared" si="37"/>
        <v>1617.7070000000001</v>
      </c>
      <c r="P36" s="138">
        <f t="shared" si="38"/>
        <v>7009.6959803840018</v>
      </c>
      <c r="Q36" s="140">
        <f t="shared" si="39"/>
        <v>17260000</v>
      </c>
      <c r="R36" s="57"/>
      <c r="S36" s="57"/>
      <c r="T36" s="58"/>
      <c r="U36" s="59"/>
      <c r="W36" s="23" t="s">
        <v>65</v>
      </c>
      <c r="X36" s="24" t="s">
        <v>63</v>
      </c>
      <c r="Y36" s="24" t="s">
        <v>66</v>
      </c>
      <c r="AE36" s="144" t="s">
        <v>8</v>
      </c>
      <c r="AF36" s="144" t="s">
        <v>9</v>
      </c>
      <c r="AG36" s="143" t="s">
        <v>164</v>
      </c>
      <c r="AH36" s="143"/>
      <c r="AI36" s="144" t="s">
        <v>161</v>
      </c>
      <c r="AJ36" s="144" t="s">
        <v>162</v>
      </c>
      <c r="AK36" s="145" t="s">
        <v>138</v>
      </c>
      <c r="AR36" s="5"/>
    </row>
    <row r="37" spans="1:44" ht="19.5" thickTop="1" thickBot="1">
      <c r="A37" s="65">
        <f t="shared" si="40"/>
        <v>2014</v>
      </c>
      <c r="B37" s="91">
        <f t="shared" si="41"/>
        <v>12460000</v>
      </c>
      <c r="C37" s="67">
        <f t="shared" si="27"/>
        <v>7.624274E+16</v>
      </c>
      <c r="D37" s="67">
        <f t="shared" si="28"/>
        <v>76242.740000000005</v>
      </c>
      <c r="E37" s="68">
        <f t="shared" si="29"/>
        <v>4821194415.3520002</v>
      </c>
      <c r="F37" s="69">
        <f t="shared" si="30"/>
        <v>4821.1944153519999</v>
      </c>
      <c r="G37" s="93">
        <f t="shared" si="42"/>
        <v>1900000</v>
      </c>
      <c r="H37" s="67">
        <f t="shared" si="31"/>
        <v>1.16261E+16</v>
      </c>
      <c r="I37" s="67">
        <f t="shared" si="32"/>
        <v>11626.1</v>
      </c>
      <c r="J37" s="68">
        <f t="shared" si="33"/>
        <v>835916590</v>
      </c>
      <c r="K37" s="106">
        <f t="shared" si="34"/>
        <v>835.91659000000004</v>
      </c>
      <c r="L37" s="96">
        <f t="shared" si="43"/>
        <v>3720000</v>
      </c>
      <c r="M37" s="90">
        <f t="shared" si="35"/>
        <v>2280360</v>
      </c>
      <c r="N37" s="68">
        <f t="shared" si="36"/>
        <v>1653261000</v>
      </c>
      <c r="O37" s="97">
        <f t="shared" si="37"/>
        <v>1653.261</v>
      </c>
      <c r="P37" s="138">
        <f t="shared" si="38"/>
        <v>7310.3720053519992</v>
      </c>
      <c r="Q37" s="140">
        <f t="shared" si="39"/>
        <v>18080000</v>
      </c>
      <c r="R37" s="57"/>
      <c r="S37" s="57"/>
      <c r="T37" s="58"/>
      <c r="U37" s="59"/>
      <c r="W37" s="23" t="s">
        <v>67</v>
      </c>
      <c r="X37" s="24" t="s">
        <v>68</v>
      </c>
      <c r="Y37" s="24" t="s">
        <v>69</v>
      </c>
      <c r="AE37" s="141" t="s">
        <v>10</v>
      </c>
      <c r="AF37" s="141" t="s">
        <v>11</v>
      </c>
      <c r="AG37" s="142">
        <v>69300</v>
      </c>
      <c r="AH37" s="148"/>
      <c r="AI37" s="142">
        <v>33</v>
      </c>
      <c r="AJ37" s="142">
        <v>3.2</v>
      </c>
      <c r="AK37" s="142">
        <f>AG37+(AI37*21)+(AJ37*298)</f>
        <v>70946.600000000006</v>
      </c>
      <c r="AR37" s="5"/>
    </row>
    <row r="38" spans="1:44" ht="33" thickTop="1" thickBot="1">
      <c r="A38" s="65">
        <v>2015</v>
      </c>
      <c r="B38" s="127">
        <f>13.6*10^6</f>
        <v>13600000</v>
      </c>
      <c r="C38" s="67">
        <f>B38*6.119*10^9</f>
        <v>8.32184E+16</v>
      </c>
      <c r="D38" s="67">
        <f>+C38/(10^12)</f>
        <v>83218.399999999994</v>
      </c>
      <c r="E38" s="68">
        <f t="shared" si="29"/>
        <v>5262298880.3199997</v>
      </c>
      <c r="F38" s="69">
        <f t="shared" si="30"/>
        <v>5262.2988803199996</v>
      </c>
      <c r="G38" s="102">
        <f>1.5*10^6</f>
        <v>1500000</v>
      </c>
      <c r="H38" s="67">
        <f t="shared" si="31"/>
        <v>9178500000000000</v>
      </c>
      <c r="I38" s="67">
        <f t="shared" si="32"/>
        <v>9178.5</v>
      </c>
      <c r="J38" s="68">
        <f t="shared" si="33"/>
        <v>659934150</v>
      </c>
      <c r="K38" s="106">
        <f t="shared" si="34"/>
        <v>659.93415000000005</v>
      </c>
      <c r="L38" s="131">
        <v>3800000</v>
      </c>
      <c r="M38" s="90">
        <f t="shared" si="35"/>
        <v>2329400</v>
      </c>
      <c r="N38" s="68">
        <f t="shared" si="36"/>
        <v>1688815000</v>
      </c>
      <c r="O38" s="97">
        <f t="shared" si="37"/>
        <v>1688.8150000000001</v>
      </c>
      <c r="P38" s="138">
        <f t="shared" si="38"/>
        <v>7611.0480303200002</v>
      </c>
      <c r="Q38" s="140">
        <f t="shared" si="39"/>
        <v>18900000</v>
      </c>
      <c r="R38" s="57"/>
      <c r="S38" s="57"/>
      <c r="T38" s="58"/>
      <c r="U38" s="59"/>
      <c r="W38" s="27" t="s">
        <v>70</v>
      </c>
      <c r="X38" s="28" t="s">
        <v>71</v>
      </c>
      <c r="Y38" s="28" t="s">
        <v>72</v>
      </c>
      <c r="AE38" s="141" t="s">
        <v>12</v>
      </c>
      <c r="AF38" s="141" t="s">
        <v>4</v>
      </c>
      <c r="AG38" s="142">
        <v>74100</v>
      </c>
      <c r="AH38" s="148"/>
      <c r="AI38" s="142">
        <v>10</v>
      </c>
      <c r="AJ38" s="142">
        <v>0.6</v>
      </c>
      <c r="AK38" s="142">
        <f t="shared" ref="AK38:AK43" si="44">AG38+(AI38*21)+(AJ38*298)</f>
        <v>74488.800000000003</v>
      </c>
      <c r="AR38" s="5"/>
    </row>
    <row r="39" spans="1:44" ht="18.75" thickBot="1">
      <c r="A39" s="65">
        <f>+(($A$101-$A$96)/5)+(A38)</f>
        <v>2016</v>
      </c>
      <c r="B39" s="91">
        <f>+(($B$43-$B$38)/5)+(B38)</f>
        <v>13880000</v>
      </c>
      <c r="C39" s="67">
        <f t="shared" ref="C39:C42" si="45">B39*6.119*10^9</f>
        <v>8.493172E+16</v>
      </c>
      <c r="D39" s="67">
        <f t="shared" ref="D39:D42" si="46">+C39/(10^12)</f>
        <v>84931.72</v>
      </c>
      <c r="E39" s="68">
        <f t="shared" si="29"/>
        <v>5370640327.8559999</v>
      </c>
      <c r="F39" s="69">
        <f t="shared" si="30"/>
        <v>5370.6403278560001</v>
      </c>
      <c r="G39" s="93">
        <f>+(($G$43-$G$38)/5)+(G38)</f>
        <v>1550000</v>
      </c>
      <c r="H39" s="67">
        <f t="shared" si="31"/>
        <v>9484450000000000</v>
      </c>
      <c r="I39" s="67">
        <f t="shared" si="32"/>
        <v>9484.4500000000007</v>
      </c>
      <c r="J39" s="68">
        <f t="shared" si="33"/>
        <v>681931955</v>
      </c>
      <c r="K39" s="106">
        <f t="shared" si="34"/>
        <v>681.93195500000002</v>
      </c>
      <c r="L39" s="96">
        <f>+(($L$43-$L$38)/5)+(L38)</f>
        <v>3880000</v>
      </c>
      <c r="M39" s="90">
        <f t="shared" si="35"/>
        <v>2378440</v>
      </c>
      <c r="N39" s="68">
        <f t="shared" si="36"/>
        <v>1724369000</v>
      </c>
      <c r="O39" s="97">
        <f t="shared" si="37"/>
        <v>1724.3689999999999</v>
      </c>
      <c r="P39" s="138">
        <f t="shared" si="38"/>
        <v>7776.9412828559998</v>
      </c>
      <c r="Q39" s="140">
        <f t="shared" si="39"/>
        <v>19310000</v>
      </c>
      <c r="R39" s="57"/>
      <c r="S39" s="57"/>
      <c r="T39" s="58"/>
      <c r="U39" s="59"/>
      <c r="W39" s="23" t="s">
        <v>73</v>
      </c>
      <c r="X39" s="24" t="s">
        <v>74</v>
      </c>
      <c r="Y39" s="24" t="s">
        <v>75</v>
      </c>
      <c r="AE39" s="141" t="s">
        <v>13</v>
      </c>
      <c r="AF39" s="141" t="s">
        <v>5</v>
      </c>
      <c r="AG39" s="142">
        <v>71900</v>
      </c>
      <c r="AH39" s="148"/>
      <c r="AI39" s="142">
        <v>10</v>
      </c>
      <c r="AJ39" s="142">
        <v>0.6</v>
      </c>
      <c r="AK39" s="142">
        <f t="shared" si="44"/>
        <v>72288.800000000003</v>
      </c>
      <c r="AR39" s="5"/>
    </row>
    <row r="40" spans="1:44" ht="33" thickTop="1" thickBot="1">
      <c r="A40" s="65">
        <f t="shared" ref="A40:A42" si="47">+(($A$101-$A$96)/5)+(A39)</f>
        <v>2017</v>
      </c>
      <c r="B40" s="91">
        <f t="shared" ref="B40:B42" si="48">+(($B$43-$B$38)/5)+(B39)</f>
        <v>14160000</v>
      </c>
      <c r="C40" s="67">
        <f t="shared" si="45"/>
        <v>8.664504E+16</v>
      </c>
      <c r="D40" s="67">
        <f t="shared" si="46"/>
        <v>86645.04</v>
      </c>
      <c r="E40" s="68">
        <f t="shared" si="29"/>
        <v>5478981775.3920002</v>
      </c>
      <c r="F40" s="69">
        <f t="shared" si="30"/>
        <v>5478.9817753920006</v>
      </c>
      <c r="G40" s="93">
        <f t="shared" ref="G40:G42" si="49">+(($G$43-$G$38)/5)+(G39)</f>
        <v>1600000</v>
      </c>
      <c r="H40" s="67">
        <f t="shared" si="31"/>
        <v>9790400000000000</v>
      </c>
      <c r="I40" s="67">
        <f t="shared" si="32"/>
        <v>9790.4</v>
      </c>
      <c r="J40" s="68">
        <f t="shared" si="33"/>
        <v>703929760</v>
      </c>
      <c r="K40" s="106">
        <f t="shared" si="34"/>
        <v>703.92975999999999</v>
      </c>
      <c r="L40" s="96">
        <f t="shared" ref="L40:L42" si="50">+(($L$43-$L$38)/5)+(L39)</f>
        <v>3960000</v>
      </c>
      <c r="M40" s="90">
        <f t="shared" si="35"/>
        <v>2427480</v>
      </c>
      <c r="N40" s="68">
        <f t="shared" si="36"/>
        <v>1759923000</v>
      </c>
      <c r="O40" s="97">
        <f t="shared" si="37"/>
        <v>1759.923</v>
      </c>
      <c r="P40" s="138">
        <f t="shared" si="38"/>
        <v>7942.8345353920004</v>
      </c>
      <c r="Q40" s="140">
        <f t="shared" si="39"/>
        <v>19720000</v>
      </c>
      <c r="R40" s="57"/>
      <c r="S40" s="57"/>
      <c r="T40" s="58"/>
      <c r="U40" s="59"/>
      <c r="W40" s="23" t="s">
        <v>76</v>
      </c>
      <c r="X40" s="24" t="s">
        <v>77</v>
      </c>
      <c r="Y40" s="24" t="s">
        <v>78</v>
      </c>
      <c r="AE40" s="141" t="s">
        <v>14</v>
      </c>
      <c r="AF40" s="141" t="s">
        <v>6</v>
      </c>
      <c r="AG40" s="142">
        <v>94600</v>
      </c>
      <c r="AH40" s="148"/>
      <c r="AI40" s="142">
        <v>1</v>
      </c>
      <c r="AJ40" s="142">
        <v>1.5</v>
      </c>
      <c r="AK40" s="142">
        <f t="shared" si="44"/>
        <v>95068</v>
      </c>
      <c r="AR40" s="5"/>
    </row>
    <row r="41" spans="1:44" ht="33" thickTop="1" thickBot="1">
      <c r="A41" s="65">
        <f t="shared" si="47"/>
        <v>2018</v>
      </c>
      <c r="B41" s="91">
        <f t="shared" si="48"/>
        <v>14440000</v>
      </c>
      <c r="C41" s="67">
        <f t="shared" si="45"/>
        <v>8.835836E+16</v>
      </c>
      <c r="D41" s="67">
        <f t="shared" si="46"/>
        <v>88358.36</v>
      </c>
      <c r="E41" s="68">
        <f t="shared" si="29"/>
        <v>5587323222.9280005</v>
      </c>
      <c r="F41" s="69">
        <f t="shared" si="30"/>
        <v>5587.3232229280002</v>
      </c>
      <c r="G41" s="93">
        <f t="shared" si="49"/>
        <v>1650000</v>
      </c>
      <c r="H41" s="67">
        <f t="shared" si="31"/>
        <v>1.009635E+16</v>
      </c>
      <c r="I41" s="67">
        <f t="shared" si="32"/>
        <v>10096.35</v>
      </c>
      <c r="J41" s="68">
        <f t="shared" si="33"/>
        <v>725927565</v>
      </c>
      <c r="K41" s="106">
        <f t="shared" si="34"/>
        <v>725.92756499999996</v>
      </c>
      <c r="L41" s="96">
        <f t="shared" si="50"/>
        <v>4040000</v>
      </c>
      <c r="M41" s="90">
        <f t="shared" si="35"/>
        <v>2476520</v>
      </c>
      <c r="N41" s="68">
        <f t="shared" si="36"/>
        <v>1795477000</v>
      </c>
      <c r="O41" s="97">
        <f t="shared" si="37"/>
        <v>1795.4770000000001</v>
      </c>
      <c r="P41" s="138">
        <f t="shared" si="38"/>
        <v>8108.727787928</v>
      </c>
      <c r="Q41" s="140">
        <f t="shared" si="39"/>
        <v>20130000</v>
      </c>
      <c r="R41" s="57"/>
      <c r="S41" s="57"/>
      <c r="T41" s="58"/>
      <c r="U41" s="59"/>
      <c r="W41" s="23" t="s">
        <v>79</v>
      </c>
      <c r="X41" s="24" t="s">
        <v>80</v>
      </c>
      <c r="Y41" s="24" t="s">
        <v>81</v>
      </c>
      <c r="AE41" s="141" t="s">
        <v>15</v>
      </c>
      <c r="AF41" s="141" t="s">
        <v>16</v>
      </c>
      <c r="AG41" s="142">
        <v>63100</v>
      </c>
      <c r="AH41" s="148"/>
      <c r="AI41" s="142">
        <v>5</v>
      </c>
      <c r="AJ41" s="142">
        <v>0.1</v>
      </c>
      <c r="AK41" s="142">
        <f t="shared" si="44"/>
        <v>63234.8</v>
      </c>
      <c r="AR41" s="5"/>
    </row>
    <row r="42" spans="1:44" ht="19.5" thickTop="1" thickBot="1">
      <c r="A42" s="65">
        <f t="shared" si="47"/>
        <v>2019</v>
      </c>
      <c r="B42" s="91">
        <f t="shared" si="48"/>
        <v>14720000</v>
      </c>
      <c r="C42" s="67">
        <f t="shared" si="45"/>
        <v>9.007168E+16</v>
      </c>
      <c r="D42" s="67">
        <f t="shared" si="46"/>
        <v>90071.679999999993</v>
      </c>
      <c r="E42" s="68">
        <f t="shared" si="29"/>
        <v>5695664670.4639997</v>
      </c>
      <c r="F42" s="69">
        <f t="shared" si="30"/>
        <v>5695.6646704639998</v>
      </c>
      <c r="G42" s="93">
        <f t="shared" si="49"/>
        <v>1700000</v>
      </c>
      <c r="H42" s="67">
        <f t="shared" si="31"/>
        <v>1.04023E+16</v>
      </c>
      <c r="I42" s="67">
        <f t="shared" si="32"/>
        <v>10402.299999999999</v>
      </c>
      <c r="J42" s="68">
        <f t="shared" si="33"/>
        <v>747925370</v>
      </c>
      <c r="K42" s="106">
        <f t="shared" si="34"/>
        <v>747.92537000000004</v>
      </c>
      <c r="L42" s="96">
        <f t="shared" si="50"/>
        <v>4120000</v>
      </c>
      <c r="M42" s="90">
        <f t="shared" si="35"/>
        <v>2525560</v>
      </c>
      <c r="N42" s="68">
        <f t="shared" si="36"/>
        <v>1831031000</v>
      </c>
      <c r="O42" s="97">
        <f t="shared" si="37"/>
        <v>1831.0309999999999</v>
      </c>
      <c r="P42" s="138">
        <f t="shared" si="38"/>
        <v>8274.6210404640005</v>
      </c>
      <c r="Q42" s="140">
        <f t="shared" si="39"/>
        <v>20540000</v>
      </c>
      <c r="R42" s="57"/>
      <c r="S42" s="57"/>
      <c r="T42" s="58"/>
      <c r="U42" s="59"/>
      <c r="W42" s="23" t="s">
        <v>82</v>
      </c>
      <c r="X42" s="24" t="s">
        <v>74</v>
      </c>
      <c r="Y42" s="24" t="s">
        <v>83</v>
      </c>
      <c r="AE42" s="141" t="s">
        <v>17</v>
      </c>
      <c r="AF42" s="141" t="s">
        <v>18</v>
      </c>
      <c r="AG42" s="142">
        <v>97500</v>
      </c>
      <c r="AH42" s="148"/>
      <c r="AI42" s="142">
        <v>1</v>
      </c>
      <c r="AJ42" s="142">
        <v>1.5</v>
      </c>
      <c r="AK42" s="142">
        <f t="shared" si="44"/>
        <v>97968</v>
      </c>
      <c r="AR42" s="5"/>
    </row>
    <row r="43" spans="1:44" ht="19.5" thickTop="1" thickBot="1">
      <c r="A43" s="65">
        <v>2020</v>
      </c>
      <c r="B43" s="127">
        <f>15*10^6</f>
        <v>15000000</v>
      </c>
      <c r="C43" s="67">
        <f>B43*6.119*10^9</f>
        <v>9.1785E+16</v>
      </c>
      <c r="D43" s="67">
        <f>+C43/(10^12)</f>
        <v>91785</v>
      </c>
      <c r="E43" s="68">
        <f t="shared" si="29"/>
        <v>5804006118</v>
      </c>
      <c r="F43" s="69">
        <f t="shared" si="30"/>
        <v>5804.0061180000002</v>
      </c>
      <c r="G43" s="102">
        <f>1.75*10^6</f>
        <v>1750000</v>
      </c>
      <c r="H43" s="67">
        <f t="shared" si="31"/>
        <v>1.070825E+16</v>
      </c>
      <c r="I43" s="67">
        <f t="shared" si="32"/>
        <v>10708.25</v>
      </c>
      <c r="J43" s="68">
        <f t="shared" si="33"/>
        <v>769923175</v>
      </c>
      <c r="K43" s="106">
        <f t="shared" si="34"/>
        <v>769.92317500000001</v>
      </c>
      <c r="L43" s="131">
        <v>4200000</v>
      </c>
      <c r="M43" s="90">
        <f t="shared" si="35"/>
        <v>2574600</v>
      </c>
      <c r="N43" s="68">
        <f t="shared" si="36"/>
        <v>1866585000</v>
      </c>
      <c r="O43" s="97">
        <f t="shared" si="37"/>
        <v>1866.585</v>
      </c>
      <c r="P43" s="138">
        <f t="shared" si="38"/>
        <v>8440.5142930000002</v>
      </c>
      <c r="Q43" s="140">
        <f t="shared" si="39"/>
        <v>20950000</v>
      </c>
      <c r="R43" s="57"/>
      <c r="S43" s="57"/>
      <c r="T43" s="58"/>
      <c r="U43" s="59"/>
      <c r="W43" s="23" t="s">
        <v>84</v>
      </c>
      <c r="X43" s="24" t="s">
        <v>85</v>
      </c>
      <c r="Y43" s="24" t="s">
        <v>86</v>
      </c>
      <c r="AE43" s="53" t="s">
        <v>19</v>
      </c>
      <c r="AF43" s="53" t="s">
        <v>20</v>
      </c>
      <c r="AG43" s="146">
        <v>112000</v>
      </c>
      <c r="AH43" s="47"/>
      <c r="AI43" s="147"/>
      <c r="AJ43" s="147"/>
      <c r="AK43" s="147">
        <f t="shared" si="44"/>
        <v>112000</v>
      </c>
      <c r="AR43" s="5"/>
    </row>
    <row r="44" spans="1:44" ht="48" thickBot="1">
      <c r="A44" s="65">
        <f>+(($A$106-$A$101)/5)+(A43)</f>
        <v>2021</v>
      </c>
      <c r="B44" s="91">
        <f>+(($B$48-$B$38)/5)+(B43)</f>
        <v>15600000</v>
      </c>
      <c r="C44" s="67">
        <f t="shared" ref="C44:C53" si="51">B44*6.119*10^9</f>
        <v>9.54564E+16</v>
      </c>
      <c r="D44" s="67">
        <f t="shared" ref="D44:D53" si="52">+C44/(10^12)</f>
        <v>95456.4</v>
      </c>
      <c r="E44" s="68">
        <f t="shared" si="29"/>
        <v>6036166362.7200003</v>
      </c>
      <c r="F44" s="69">
        <f t="shared" si="30"/>
        <v>6036.1663627200005</v>
      </c>
      <c r="G44" s="93">
        <f>+(($G$48-$G$43)/5)+(G43)</f>
        <v>1800000</v>
      </c>
      <c r="H44" s="67">
        <f t="shared" si="31"/>
        <v>1.10142E+16</v>
      </c>
      <c r="I44" s="67">
        <f t="shared" si="32"/>
        <v>11014.2</v>
      </c>
      <c r="J44" s="68">
        <f t="shared" si="33"/>
        <v>791920980</v>
      </c>
      <c r="K44" s="106">
        <f t="shared" si="34"/>
        <v>791.92097999999999</v>
      </c>
      <c r="L44" s="96">
        <f>+(($L$48-$L$43)/5)+(L43)</f>
        <v>4280000</v>
      </c>
      <c r="M44" s="90">
        <f t="shared" si="35"/>
        <v>2623640</v>
      </c>
      <c r="N44" s="68">
        <f t="shared" si="36"/>
        <v>1902139000</v>
      </c>
      <c r="O44" s="97">
        <f t="shared" si="37"/>
        <v>1902.1389999999999</v>
      </c>
      <c r="P44" s="138">
        <f t="shared" si="38"/>
        <v>8730.2263427199996</v>
      </c>
      <c r="Q44" s="140">
        <f t="shared" si="39"/>
        <v>21680000</v>
      </c>
      <c r="R44" s="57"/>
      <c r="S44" s="57"/>
      <c r="T44" s="58"/>
      <c r="U44" s="59"/>
      <c r="W44" s="25" t="s">
        <v>87</v>
      </c>
      <c r="X44" s="26" t="s">
        <v>46</v>
      </c>
      <c r="Y44" s="26" t="s">
        <v>47</v>
      </c>
      <c r="AE44" s="53" t="s">
        <v>21</v>
      </c>
      <c r="AF44" s="53" t="s">
        <v>1</v>
      </c>
      <c r="AG44" s="146">
        <v>112000</v>
      </c>
      <c r="AH44" s="47"/>
      <c r="AI44" s="47"/>
      <c r="AJ44" s="47"/>
      <c r="AK44" s="47"/>
      <c r="AR44" s="5"/>
    </row>
    <row r="45" spans="1:44" ht="33" thickTop="1" thickBot="1">
      <c r="A45" s="65">
        <f t="shared" ref="A45:A47" si="53">+(($A$106-$A$101)/5)+(A44)</f>
        <v>2022</v>
      </c>
      <c r="B45" s="91">
        <f>+(($B$48-$B$43)/5)+(B44)</f>
        <v>15920000</v>
      </c>
      <c r="C45" s="67">
        <f t="shared" si="51"/>
        <v>9.741448E+16</v>
      </c>
      <c r="D45" s="67">
        <f t="shared" si="52"/>
        <v>97414.48</v>
      </c>
      <c r="E45" s="68">
        <f t="shared" si="29"/>
        <v>6159985159.9040003</v>
      </c>
      <c r="F45" s="69">
        <f t="shared" si="30"/>
        <v>6159.9851599040003</v>
      </c>
      <c r="G45" s="93">
        <f t="shared" ref="G45:G47" si="54">+(($G$48-$G$43)/5)+(G44)</f>
        <v>1850000</v>
      </c>
      <c r="H45" s="67">
        <f t="shared" si="31"/>
        <v>1.132015E+16</v>
      </c>
      <c r="I45" s="67">
        <f t="shared" si="32"/>
        <v>11320.15</v>
      </c>
      <c r="J45" s="68">
        <f t="shared" si="33"/>
        <v>813918785</v>
      </c>
      <c r="K45" s="106">
        <f t="shared" si="34"/>
        <v>813.91878499999996</v>
      </c>
      <c r="L45" s="96">
        <f t="shared" ref="L45:L47" si="55">+(($L$48-$L$43)/5)+(L44)</f>
        <v>4360000</v>
      </c>
      <c r="M45" s="90">
        <f t="shared" si="35"/>
        <v>2672680</v>
      </c>
      <c r="N45" s="68">
        <f t="shared" si="36"/>
        <v>1937693000</v>
      </c>
      <c r="O45" s="97">
        <f t="shared" si="37"/>
        <v>1937.693</v>
      </c>
      <c r="P45" s="138">
        <f t="shared" si="38"/>
        <v>8911.5969449040003</v>
      </c>
      <c r="Q45" s="140">
        <f t="shared" si="39"/>
        <v>22130000</v>
      </c>
      <c r="R45" s="57"/>
      <c r="S45" s="57"/>
      <c r="T45" s="58"/>
      <c r="U45" s="59"/>
      <c r="W45" s="23" t="s">
        <v>88</v>
      </c>
      <c r="X45" s="24" t="s">
        <v>89</v>
      </c>
      <c r="Y45" s="24" t="s">
        <v>90</v>
      </c>
      <c r="AE45" t="s">
        <v>22</v>
      </c>
      <c r="AR45" s="5"/>
    </row>
    <row r="46" spans="1:44" ht="33" thickTop="1" thickBot="1">
      <c r="A46" s="65">
        <f t="shared" si="53"/>
        <v>2023</v>
      </c>
      <c r="B46" s="91">
        <f t="shared" ref="B46:B47" si="56">+(($B$48-$B$43)/5)+(B45)</f>
        <v>16240000</v>
      </c>
      <c r="C46" s="67">
        <f t="shared" si="51"/>
        <v>9.937256E+16</v>
      </c>
      <c r="D46" s="67">
        <f t="shared" si="52"/>
        <v>99372.56</v>
      </c>
      <c r="E46" s="68">
        <f t="shared" si="29"/>
        <v>6283803957.0880003</v>
      </c>
      <c r="F46" s="69">
        <f t="shared" si="30"/>
        <v>6283.8039570880001</v>
      </c>
      <c r="G46" s="93">
        <f t="shared" si="54"/>
        <v>1900000</v>
      </c>
      <c r="H46" s="67">
        <f t="shared" si="31"/>
        <v>1.16261E+16</v>
      </c>
      <c r="I46" s="67">
        <f t="shared" si="32"/>
        <v>11626.1</v>
      </c>
      <c r="J46" s="68">
        <f t="shared" si="33"/>
        <v>835916590</v>
      </c>
      <c r="K46" s="106">
        <f t="shared" si="34"/>
        <v>835.91659000000004</v>
      </c>
      <c r="L46" s="96">
        <f t="shared" si="55"/>
        <v>4440000</v>
      </c>
      <c r="M46" s="90">
        <f t="shared" si="35"/>
        <v>2721720</v>
      </c>
      <c r="N46" s="68">
        <f t="shared" si="36"/>
        <v>1973247000</v>
      </c>
      <c r="O46" s="97">
        <f t="shared" si="37"/>
        <v>1973.2470000000001</v>
      </c>
      <c r="P46" s="138">
        <f t="shared" si="38"/>
        <v>9092.9675470879993</v>
      </c>
      <c r="Q46" s="140">
        <f t="shared" si="39"/>
        <v>22580000</v>
      </c>
      <c r="R46" s="57"/>
      <c r="S46" s="57"/>
      <c r="T46" s="58"/>
      <c r="U46" s="59"/>
      <c r="W46" s="23" t="s">
        <v>91</v>
      </c>
      <c r="X46" s="24" t="s">
        <v>92</v>
      </c>
      <c r="Y46" s="24" t="s">
        <v>93</v>
      </c>
      <c r="AR46" s="5"/>
    </row>
    <row r="47" spans="1:44" ht="33" thickTop="1" thickBot="1">
      <c r="A47" s="65">
        <f t="shared" si="53"/>
        <v>2024</v>
      </c>
      <c r="B47" s="91">
        <f t="shared" si="56"/>
        <v>16560000</v>
      </c>
      <c r="C47" s="67">
        <f t="shared" si="51"/>
        <v>1.0133064E+17</v>
      </c>
      <c r="D47" s="67">
        <f t="shared" si="52"/>
        <v>101330.64</v>
      </c>
      <c r="E47" s="68">
        <f t="shared" si="29"/>
        <v>6407622754.2720003</v>
      </c>
      <c r="F47" s="69">
        <f t="shared" si="30"/>
        <v>6407.6227542720007</v>
      </c>
      <c r="G47" s="93">
        <f t="shared" si="54"/>
        <v>1950000</v>
      </c>
      <c r="H47" s="67">
        <f t="shared" si="31"/>
        <v>1.193205E+16</v>
      </c>
      <c r="I47" s="67">
        <f t="shared" si="32"/>
        <v>11932.05</v>
      </c>
      <c r="J47" s="68">
        <f t="shared" si="33"/>
        <v>857914395</v>
      </c>
      <c r="K47" s="106">
        <f t="shared" si="34"/>
        <v>857.91439500000001</v>
      </c>
      <c r="L47" s="96">
        <f t="shared" si="55"/>
        <v>4520000</v>
      </c>
      <c r="M47" s="90">
        <f t="shared" si="35"/>
        <v>2770760</v>
      </c>
      <c r="N47" s="68">
        <f t="shared" si="36"/>
        <v>2008801000</v>
      </c>
      <c r="O47" s="97">
        <f t="shared" si="37"/>
        <v>2008.8009999999999</v>
      </c>
      <c r="P47" s="138">
        <f t="shared" si="38"/>
        <v>9274.338149272</v>
      </c>
      <c r="Q47" s="140">
        <f t="shared" si="39"/>
        <v>23030000</v>
      </c>
      <c r="R47" s="57"/>
      <c r="S47" s="57"/>
      <c r="T47" s="58"/>
      <c r="U47" s="59"/>
      <c r="W47" s="23" t="s">
        <v>94</v>
      </c>
      <c r="X47" s="24" t="s">
        <v>95</v>
      </c>
      <c r="Y47" s="24" t="s">
        <v>96</v>
      </c>
      <c r="AE47" s="18" t="s">
        <v>30</v>
      </c>
      <c r="AF47" s="18"/>
      <c r="AG47" s="18"/>
      <c r="AH47" s="19"/>
      <c r="AR47" s="5"/>
    </row>
    <row r="48" spans="1:44" ht="33" thickTop="1" thickBot="1">
      <c r="A48" s="64">
        <v>2025</v>
      </c>
      <c r="B48" s="91">
        <v>16600000</v>
      </c>
      <c r="C48" s="67">
        <f t="shared" si="51"/>
        <v>1.015754E+17</v>
      </c>
      <c r="D48" s="67">
        <f t="shared" si="52"/>
        <v>101575.4</v>
      </c>
      <c r="E48" s="68">
        <f t="shared" si="29"/>
        <v>6423100103.9200001</v>
      </c>
      <c r="F48" s="69">
        <f t="shared" si="30"/>
        <v>6423.10010392</v>
      </c>
      <c r="G48" s="103">
        <v>2000000</v>
      </c>
      <c r="H48" s="67">
        <f t="shared" si="31"/>
        <v>1.2238E+16</v>
      </c>
      <c r="I48" s="67">
        <f t="shared" si="32"/>
        <v>12238</v>
      </c>
      <c r="J48" s="68">
        <f t="shared" si="33"/>
        <v>879912200</v>
      </c>
      <c r="K48" s="106">
        <f t="shared" si="34"/>
        <v>879.91219999999998</v>
      </c>
      <c r="L48" s="132">
        <v>4600000</v>
      </c>
      <c r="M48" s="90">
        <f t="shared" si="35"/>
        <v>2819800</v>
      </c>
      <c r="N48" s="68">
        <f t="shared" si="36"/>
        <v>2044355000</v>
      </c>
      <c r="O48" s="97">
        <f t="shared" si="37"/>
        <v>2044.355</v>
      </c>
      <c r="P48" s="138">
        <f t="shared" si="38"/>
        <v>9347.3673039200003</v>
      </c>
      <c r="Q48" s="140">
        <f t="shared" si="39"/>
        <v>23200000</v>
      </c>
      <c r="R48" s="35"/>
      <c r="S48" s="35"/>
      <c r="T48" s="35"/>
      <c r="U48" s="35"/>
      <c r="W48" s="23" t="s">
        <v>97</v>
      </c>
      <c r="X48" s="24" t="s">
        <v>98</v>
      </c>
      <c r="Y48" s="24" t="s">
        <v>99</v>
      </c>
      <c r="AE48" s="18" t="s">
        <v>31</v>
      </c>
      <c r="AF48" s="18" t="s">
        <v>34</v>
      </c>
      <c r="AG48" s="18" t="s">
        <v>32</v>
      </c>
      <c r="AH48" s="19"/>
      <c r="AR48" s="5"/>
    </row>
    <row r="49" spans="1:44" ht="16.5" thickBot="1">
      <c r="A49" s="65">
        <f>+(($A$111-$A$106)/5)+(A48)</f>
        <v>2026</v>
      </c>
      <c r="B49" s="91">
        <f>+(($B$53-$B$48)/5)+(B48)</f>
        <v>16940000</v>
      </c>
      <c r="C49" s="67">
        <f t="shared" si="51"/>
        <v>1.0365586E+17</v>
      </c>
      <c r="D49" s="67">
        <f t="shared" si="52"/>
        <v>103655.86</v>
      </c>
      <c r="E49" s="68">
        <f t="shared" si="29"/>
        <v>6554657575.9280005</v>
      </c>
      <c r="F49" s="69">
        <f t="shared" si="30"/>
        <v>6554.6575759280004</v>
      </c>
      <c r="G49" s="93">
        <f>+(($G$53-$G$48)/5)+(G48)</f>
        <v>3720000</v>
      </c>
      <c r="H49" s="67">
        <f t="shared" si="31"/>
        <v>2.276268E+16</v>
      </c>
      <c r="I49" s="67">
        <f t="shared" si="32"/>
        <v>22762.68</v>
      </c>
      <c r="J49" s="68">
        <f t="shared" si="33"/>
        <v>1636636692</v>
      </c>
      <c r="K49" s="106">
        <f t="shared" si="34"/>
        <v>1636.636692</v>
      </c>
      <c r="L49" s="96">
        <f>+(($L$53-$L$48)/5)+(L48)</f>
        <v>4680000</v>
      </c>
      <c r="M49" s="90">
        <f t="shared" si="35"/>
        <v>2868840</v>
      </c>
      <c r="N49" s="68">
        <f t="shared" si="36"/>
        <v>2079909000</v>
      </c>
      <c r="O49" s="97">
        <f t="shared" si="37"/>
        <v>2079.9090000000001</v>
      </c>
      <c r="P49" s="138">
        <f t="shared" si="38"/>
        <v>10271.203267928</v>
      </c>
      <c r="Q49" s="140">
        <f t="shared" si="39"/>
        <v>25340000</v>
      </c>
      <c r="R49" s="35"/>
      <c r="S49" s="35"/>
      <c r="T49" s="35"/>
      <c r="U49" s="35"/>
      <c r="W49" s="23" t="s">
        <v>100</v>
      </c>
      <c r="X49" s="24" t="s">
        <v>101</v>
      </c>
      <c r="Y49" s="24" t="s">
        <v>102</v>
      </c>
      <c r="AE49" s="18" t="s">
        <v>33</v>
      </c>
      <c r="AF49" s="18" t="s">
        <v>35</v>
      </c>
      <c r="AG49" s="18" t="s">
        <v>37</v>
      </c>
      <c r="AH49" s="19" t="s">
        <v>36</v>
      </c>
      <c r="AR49" s="5"/>
    </row>
    <row r="50" spans="1:44" ht="33" thickTop="1" thickBot="1">
      <c r="A50" s="65">
        <f t="shared" ref="A50:A52" si="57">+(($A$111-$A$106)/5)+(A49)</f>
        <v>2027</v>
      </c>
      <c r="B50" s="91">
        <f t="shared" ref="B50:B52" si="58">+(($B$53-$B$48)/5)+(B49)</f>
        <v>17280000</v>
      </c>
      <c r="C50" s="67">
        <f t="shared" si="51"/>
        <v>1.0573632E+17</v>
      </c>
      <c r="D50" s="67">
        <f t="shared" si="52"/>
        <v>105736.32000000001</v>
      </c>
      <c r="E50" s="68">
        <f t="shared" si="29"/>
        <v>6686215047.9360008</v>
      </c>
      <c r="F50" s="69">
        <f t="shared" si="30"/>
        <v>6686.2150479360007</v>
      </c>
      <c r="G50" s="93">
        <f t="shared" ref="G50:G52" si="59">+(($G$53-$G$48)/5)+(G49)</f>
        <v>5440000</v>
      </c>
      <c r="H50" s="67">
        <f t="shared" si="31"/>
        <v>3.328736E+16</v>
      </c>
      <c r="I50" s="67">
        <f t="shared" si="32"/>
        <v>33287.360000000001</v>
      </c>
      <c r="J50" s="68">
        <f t="shared" si="33"/>
        <v>2393361184</v>
      </c>
      <c r="K50" s="106">
        <f t="shared" si="34"/>
        <v>2393.3611839999999</v>
      </c>
      <c r="L50" s="96">
        <f t="shared" ref="L50:L52" si="60">+(($L$53-$L$48)/5)+(L49)</f>
        <v>4760000</v>
      </c>
      <c r="M50" s="90">
        <f t="shared" si="35"/>
        <v>2917880</v>
      </c>
      <c r="N50" s="68">
        <f t="shared" si="36"/>
        <v>2115463000</v>
      </c>
      <c r="O50" s="97">
        <f t="shared" si="37"/>
        <v>2115.4630000000002</v>
      </c>
      <c r="P50" s="138">
        <f t="shared" si="38"/>
        <v>11195.039231936</v>
      </c>
      <c r="Q50" s="140">
        <f t="shared" si="39"/>
        <v>27480000</v>
      </c>
      <c r="R50" s="35"/>
      <c r="S50" s="35"/>
      <c r="T50" s="35"/>
      <c r="U50" s="35"/>
      <c r="W50" s="23" t="s">
        <v>103</v>
      </c>
      <c r="X50" s="24" t="s">
        <v>104</v>
      </c>
      <c r="Y50" s="24" t="s">
        <v>105</v>
      </c>
      <c r="AR50" s="5"/>
    </row>
    <row r="51" spans="1:44" ht="17.25" thickTop="1" thickBot="1">
      <c r="A51" s="65">
        <f t="shared" si="57"/>
        <v>2028</v>
      </c>
      <c r="B51" s="91">
        <f t="shared" si="58"/>
        <v>17620000</v>
      </c>
      <c r="C51" s="67">
        <f t="shared" si="51"/>
        <v>1.0781678E+17</v>
      </c>
      <c r="D51" s="67">
        <f t="shared" si="52"/>
        <v>107816.78</v>
      </c>
      <c r="E51" s="68">
        <f t="shared" si="29"/>
        <v>6817772519.9440002</v>
      </c>
      <c r="F51" s="69">
        <f t="shared" si="30"/>
        <v>6817.7725199440001</v>
      </c>
      <c r="G51" s="93">
        <f t="shared" si="59"/>
        <v>7160000</v>
      </c>
      <c r="H51" s="67">
        <f t="shared" si="31"/>
        <v>4.381204E+16</v>
      </c>
      <c r="I51" s="67">
        <f t="shared" si="32"/>
        <v>43812.04</v>
      </c>
      <c r="J51" s="68">
        <f t="shared" si="33"/>
        <v>3150085676</v>
      </c>
      <c r="K51" s="106">
        <f t="shared" si="34"/>
        <v>3150.0856760000001</v>
      </c>
      <c r="L51" s="96">
        <f t="shared" si="60"/>
        <v>4840000</v>
      </c>
      <c r="M51" s="90">
        <f t="shared" si="35"/>
        <v>2966920</v>
      </c>
      <c r="N51" s="68">
        <f t="shared" si="36"/>
        <v>2151017000</v>
      </c>
      <c r="O51" s="97">
        <f t="shared" si="37"/>
        <v>2151.0169999999998</v>
      </c>
      <c r="P51" s="138">
        <f t="shared" si="38"/>
        <v>12118.875195944</v>
      </c>
      <c r="Q51" s="140">
        <f t="shared" si="39"/>
        <v>29620000</v>
      </c>
      <c r="R51" s="35"/>
      <c r="S51" s="35"/>
      <c r="T51" s="35"/>
      <c r="U51" s="35"/>
      <c r="W51" s="23" t="s">
        <v>106</v>
      </c>
      <c r="X51" s="24" t="s">
        <v>107</v>
      </c>
      <c r="Y51" s="24" t="s">
        <v>108</v>
      </c>
      <c r="AR51" s="5"/>
    </row>
    <row r="52" spans="1:44" ht="33" thickTop="1" thickBot="1">
      <c r="A52" s="65">
        <f t="shared" si="57"/>
        <v>2029</v>
      </c>
      <c r="B52" s="91">
        <f t="shared" si="58"/>
        <v>17960000</v>
      </c>
      <c r="C52" s="67">
        <f t="shared" si="51"/>
        <v>1.0989724E+17</v>
      </c>
      <c r="D52" s="67">
        <f t="shared" si="52"/>
        <v>109897.24</v>
      </c>
      <c r="E52" s="68">
        <f t="shared" si="29"/>
        <v>6949329991.9520006</v>
      </c>
      <c r="F52" s="69">
        <f>+E52/1000000</f>
        <v>6949.3299919520005</v>
      </c>
      <c r="G52" s="93">
        <f t="shared" si="59"/>
        <v>8880000</v>
      </c>
      <c r="H52" s="67">
        <f t="shared" si="31"/>
        <v>5.433672E+16</v>
      </c>
      <c r="I52" s="67">
        <f t="shared" si="32"/>
        <v>54336.72</v>
      </c>
      <c r="J52" s="68">
        <f t="shared" si="33"/>
        <v>3906810168</v>
      </c>
      <c r="K52" s="106">
        <f t="shared" si="34"/>
        <v>3906.810168</v>
      </c>
      <c r="L52" s="96">
        <f t="shared" si="60"/>
        <v>4920000</v>
      </c>
      <c r="M52" s="90">
        <f t="shared" si="35"/>
        <v>3015960</v>
      </c>
      <c r="N52" s="68">
        <f t="shared" si="36"/>
        <v>2186571000</v>
      </c>
      <c r="O52" s="97">
        <f t="shared" si="37"/>
        <v>2186.5709999999999</v>
      </c>
      <c r="P52" s="138">
        <f t="shared" si="38"/>
        <v>13042.711159951999</v>
      </c>
      <c r="Q52" s="140">
        <f t="shared" si="39"/>
        <v>31760000</v>
      </c>
      <c r="R52" s="35"/>
      <c r="S52" s="35"/>
      <c r="T52" s="35"/>
      <c r="U52" s="35"/>
      <c r="W52" s="23" t="s">
        <v>109</v>
      </c>
      <c r="X52" s="24" t="s">
        <v>110</v>
      </c>
      <c r="Y52" s="24" t="s">
        <v>111</v>
      </c>
      <c r="AR52" s="5"/>
    </row>
    <row r="53" spans="1:44" ht="17.25" customHeight="1" thickTop="1" thickBot="1">
      <c r="A53" s="64">
        <v>2030</v>
      </c>
      <c r="B53" s="128">
        <v>18300000</v>
      </c>
      <c r="C53" s="67">
        <f t="shared" si="51"/>
        <v>1.119777E+17</v>
      </c>
      <c r="D53" s="67">
        <f t="shared" si="52"/>
        <v>111977.7</v>
      </c>
      <c r="E53" s="68">
        <f t="shared" si="29"/>
        <v>7080887463.96</v>
      </c>
      <c r="F53" s="69">
        <f>+E53/1000000</f>
        <v>7080.8874639599999</v>
      </c>
      <c r="G53" s="104">
        <v>10600000</v>
      </c>
      <c r="H53" s="67">
        <f t="shared" si="31"/>
        <v>6.48614E+16</v>
      </c>
      <c r="I53" s="67">
        <f t="shared" si="32"/>
        <v>64861.4</v>
      </c>
      <c r="J53" s="68">
        <f t="shared" si="33"/>
        <v>4663534660</v>
      </c>
      <c r="K53" s="106">
        <f t="shared" si="34"/>
        <v>4663.5346600000003</v>
      </c>
      <c r="L53" s="132">
        <v>5000000</v>
      </c>
      <c r="M53" s="90">
        <f t="shared" si="35"/>
        <v>3065000</v>
      </c>
      <c r="N53" s="68">
        <f t="shared" si="36"/>
        <v>2222125000</v>
      </c>
      <c r="O53" s="97">
        <f t="shared" si="37"/>
        <v>2222.125</v>
      </c>
      <c r="P53" s="138">
        <f>F53+K53+O53</f>
        <v>13966.547123960001</v>
      </c>
      <c r="Q53" s="140">
        <f t="shared" si="39"/>
        <v>33900000</v>
      </c>
      <c r="R53" s="35"/>
      <c r="S53" s="35"/>
      <c r="T53" s="35"/>
      <c r="U53" s="35"/>
      <c r="W53" s="23" t="s">
        <v>112</v>
      </c>
      <c r="X53" s="24" t="s">
        <v>113</v>
      </c>
      <c r="Y53" s="24" t="s">
        <v>114</v>
      </c>
      <c r="AR53" s="5"/>
    </row>
    <row r="54" spans="1:44" ht="18.75" customHeight="1" thickBot="1">
      <c r="B54" s="133">
        <f>B53/Q53</f>
        <v>0.53982300884955747</v>
      </c>
      <c r="C54" s="133"/>
      <c r="D54" s="133"/>
      <c r="E54" s="134"/>
      <c r="F54" s="134"/>
      <c r="G54" s="135">
        <f>G53/Q53</f>
        <v>0.31268436578171094</v>
      </c>
      <c r="H54" s="136"/>
      <c r="I54" s="136"/>
      <c r="J54" s="136"/>
      <c r="K54" s="136"/>
      <c r="L54" s="136">
        <f>L53/Q53</f>
        <v>0.14749262536873156</v>
      </c>
      <c r="M54" s="137"/>
      <c r="N54" s="137"/>
      <c r="O54" s="137"/>
      <c r="P54" s="137"/>
      <c r="Q54" s="137">
        <f>SUM(B54:L54)</f>
        <v>0.99999999999999989</v>
      </c>
      <c r="R54" s="14"/>
      <c r="S54" s="14"/>
      <c r="W54" s="23" t="s">
        <v>115</v>
      </c>
      <c r="X54" s="24" t="s">
        <v>113</v>
      </c>
      <c r="Y54" s="24" t="s">
        <v>116</v>
      </c>
      <c r="AR54" s="5"/>
    </row>
    <row r="55" spans="1:44" ht="18" customHeight="1" thickTop="1">
      <c r="A55" s="172"/>
      <c r="B55" s="173"/>
      <c r="C55" s="174"/>
      <c r="D55" s="174"/>
      <c r="E55" s="174"/>
      <c r="F55" s="133">
        <f>F53/$P$53</f>
        <v>0.50698912201517154</v>
      </c>
      <c r="H55" s="173"/>
      <c r="I55" s="173"/>
      <c r="J55" s="173"/>
      <c r="K55" s="133">
        <f>K53/$P$53</f>
        <v>0.33390748755643235</v>
      </c>
      <c r="L55" s="173"/>
      <c r="M55" s="173"/>
      <c r="N55" s="173"/>
      <c r="O55" s="133">
        <f>O53/$P$53</f>
        <v>0.15910339042839605</v>
      </c>
      <c r="P55" s="173"/>
      <c r="Q55" s="175"/>
      <c r="R55" s="14"/>
      <c r="S55" s="14"/>
      <c r="AR55" s="5"/>
    </row>
    <row r="56" spans="1:44">
      <c r="B56" s="36"/>
      <c r="C56" s="36"/>
      <c r="D56" s="36"/>
      <c r="E56" s="38"/>
      <c r="F56" s="36"/>
      <c r="G56" s="37"/>
      <c r="H56" s="36"/>
      <c r="I56" s="36"/>
      <c r="J56" s="36"/>
      <c r="K56" s="36"/>
      <c r="L56" s="36"/>
      <c r="M56" s="36"/>
      <c r="N56" s="36"/>
      <c r="O56" s="36"/>
      <c r="P56" s="36"/>
      <c r="W56" t="s">
        <v>142</v>
      </c>
      <c r="X56">
        <v>0.61299999999999999</v>
      </c>
      <c r="AR56" s="5"/>
    </row>
    <row r="57" spans="1:44">
      <c r="A57" s="4"/>
      <c r="B57" s="4"/>
      <c r="C57" s="39"/>
      <c r="D57" s="39"/>
      <c r="E57" s="30"/>
      <c r="F57" s="30"/>
      <c r="G57" s="4"/>
      <c r="H57" s="4"/>
      <c r="I57" s="4"/>
      <c r="J57" s="4"/>
      <c r="K57" s="4"/>
      <c r="L57" s="11"/>
      <c r="M57" s="11"/>
      <c r="N57" s="11"/>
      <c r="O57" s="11"/>
      <c r="P57" s="11"/>
      <c r="U57" t="s">
        <v>131</v>
      </c>
      <c r="AD57" t="s">
        <v>130</v>
      </c>
      <c r="AE57" t="s">
        <v>133</v>
      </c>
      <c r="AO57" s="48"/>
    </row>
    <row r="58" spans="1:44" ht="15" customHeight="1">
      <c r="A58" s="4" t="s">
        <v>134</v>
      </c>
      <c r="B58" s="45" t="s">
        <v>135</v>
      </c>
      <c r="C58" s="4"/>
      <c r="D58" s="4"/>
      <c r="E58" s="4"/>
      <c r="F58" s="4"/>
      <c r="G58" s="40"/>
      <c r="H58" s="40"/>
      <c r="I58" s="40"/>
      <c r="J58" s="40"/>
      <c r="K58" s="40"/>
      <c r="L58" s="40"/>
      <c r="M58" s="40"/>
      <c r="N58" s="40"/>
      <c r="O58" s="40"/>
      <c r="P58" s="40"/>
      <c r="AO58" s="48"/>
    </row>
    <row r="59" spans="1:44" ht="19.5" customHeight="1">
      <c r="AO59" s="48"/>
    </row>
    <row r="60" spans="1:44">
      <c r="C60" s="4"/>
      <c r="D60" s="4"/>
      <c r="E60" s="4"/>
      <c r="F60" s="4"/>
      <c r="G60" s="4"/>
      <c r="H60" s="4"/>
      <c r="I60" s="4"/>
      <c r="L60" s="44"/>
      <c r="AO60" s="48"/>
    </row>
    <row r="61" spans="1:44">
      <c r="C61" s="4"/>
      <c r="D61" s="4"/>
      <c r="E61" s="4"/>
      <c r="F61" s="4"/>
      <c r="G61" s="4"/>
      <c r="H61" s="4"/>
      <c r="I61" s="4"/>
      <c r="L61" s="44"/>
      <c r="AO61" s="48"/>
    </row>
    <row r="62" spans="1:44">
      <c r="L62" s="44"/>
      <c r="AO62" s="48"/>
    </row>
    <row r="63" spans="1:44">
      <c r="H63" s="12"/>
      <c r="I63" s="12"/>
      <c r="J63" s="4"/>
      <c r="L63" s="44"/>
      <c r="AO63" s="48"/>
    </row>
    <row r="64" spans="1:44">
      <c r="H64" s="12"/>
      <c r="I64" s="12"/>
      <c r="J64" s="4"/>
      <c r="L64" s="44"/>
    </row>
    <row r="65" spans="8:12">
      <c r="H65" s="12"/>
      <c r="I65" s="34"/>
      <c r="J65" s="4"/>
      <c r="L65" s="4"/>
    </row>
    <row r="66" spans="8:12">
      <c r="H66" s="12"/>
      <c r="I66" s="34"/>
      <c r="J66" s="4"/>
    </row>
    <row r="67" spans="8:12">
      <c r="H67" s="12"/>
      <c r="I67" s="34"/>
      <c r="J67" s="4"/>
    </row>
    <row r="68" spans="8:12">
      <c r="H68" s="12"/>
      <c r="I68" s="12"/>
      <c r="J68" s="4"/>
    </row>
    <row r="69" spans="8:12">
      <c r="H69" s="12"/>
      <c r="I69" s="12"/>
      <c r="J69" s="4"/>
    </row>
    <row r="70" spans="8:12">
      <c r="H70" s="12"/>
      <c r="I70" s="12"/>
      <c r="J70" s="4"/>
    </row>
    <row r="71" spans="8:12">
      <c r="H71" s="12"/>
      <c r="I71" s="12"/>
      <c r="J71" s="4"/>
    </row>
    <row r="72" spans="8:12">
      <c r="H72" s="4"/>
      <c r="I72" s="15"/>
      <c r="J72" s="4"/>
    </row>
    <row r="73" spans="8:12">
      <c r="H73" s="4"/>
      <c r="I73" s="15"/>
      <c r="J73" s="4"/>
    </row>
    <row r="74" spans="8:12">
      <c r="H74" s="4"/>
      <c r="I74" s="15"/>
      <c r="J74" s="4"/>
    </row>
    <row r="75" spans="8:12">
      <c r="H75" s="4"/>
      <c r="I75" s="15"/>
      <c r="J75" s="4"/>
    </row>
    <row r="76" spans="8:12">
      <c r="H76" s="4"/>
      <c r="I76" s="15"/>
      <c r="J76" s="4"/>
    </row>
    <row r="77" spans="8:12">
      <c r="H77" s="4"/>
      <c r="I77" s="15"/>
      <c r="J77" s="4"/>
    </row>
    <row r="78" spans="8:12">
      <c r="H78" s="4"/>
      <c r="I78" s="15"/>
      <c r="J78" s="4"/>
    </row>
    <row r="79" spans="8:12">
      <c r="H79" s="4"/>
      <c r="I79" s="15"/>
      <c r="J79" s="4"/>
    </row>
    <row r="80" spans="8:12">
      <c r="H80" s="4"/>
      <c r="I80" s="15"/>
      <c r="J80" s="4"/>
    </row>
    <row r="81" spans="1:41">
      <c r="H81" s="4"/>
      <c r="I81" s="15"/>
      <c r="J81" s="4"/>
    </row>
    <row r="82" spans="1:41">
      <c r="H82" s="4"/>
      <c r="I82" s="15"/>
      <c r="J82" s="4"/>
    </row>
    <row r="83" spans="1:41">
      <c r="H83" s="4"/>
      <c r="I83" s="4"/>
      <c r="J83" s="4"/>
    </row>
    <row r="88" spans="1:41" ht="25.5">
      <c r="A88" s="117" t="s">
        <v>137</v>
      </c>
      <c r="B88" s="2"/>
      <c r="C88" s="2"/>
      <c r="D88" s="2"/>
      <c r="E88" s="2"/>
      <c r="F88" s="2"/>
      <c r="G88" s="2"/>
      <c r="H88" s="2"/>
      <c r="I88" s="2"/>
      <c r="J88" s="2"/>
      <c r="K88" s="2"/>
      <c r="L88" s="2"/>
      <c r="M88" s="2"/>
      <c r="N88" s="2"/>
      <c r="O88" s="2"/>
      <c r="P88" s="2"/>
      <c r="Q88" s="2"/>
      <c r="R88" s="2"/>
      <c r="S88" s="2"/>
    </row>
    <row r="89" spans="1:41" ht="15.75" customHeight="1">
      <c r="A89" s="29"/>
      <c r="B89" s="202" t="s">
        <v>123</v>
      </c>
      <c r="C89" s="202"/>
      <c r="D89" s="202"/>
      <c r="E89" s="202"/>
      <c r="F89" s="202"/>
      <c r="G89" s="202" t="s">
        <v>124</v>
      </c>
      <c r="H89" s="202"/>
      <c r="I89" s="202"/>
      <c r="J89" s="202"/>
      <c r="K89" s="202"/>
      <c r="L89" s="202" t="s">
        <v>125</v>
      </c>
      <c r="M89" s="202"/>
      <c r="N89" s="202"/>
      <c r="O89" s="202"/>
      <c r="P89" s="202"/>
      <c r="Q89" s="197" t="s">
        <v>16</v>
      </c>
      <c r="R89" s="198"/>
      <c r="S89" s="198"/>
      <c r="T89" s="198"/>
      <c r="U89" s="199"/>
      <c r="V89" s="197" t="s">
        <v>143</v>
      </c>
      <c r="W89" s="198"/>
      <c r="X89" s="198"/>
      <c r="Y89" s="199"/>
      <c r="Z89" s="195" t="s">
        <v>176</v>
      </c>
      <c r="AA89" s="200" t="s">
        <v>178</v>
      </c>
      <c r="AB89" s="54"/>
      <c r="AC89" s="54"/>
      <c r="AD89" s="54"/>
      <c r="AE89" s="54"/>
      <c r="AK89" s="4"/>
      <c r="AL89" s="4"/>
      <c r="AM89" s="4"/>
      <c r="AN89" s="4"/>
      <c r="AO89" s="4"/>
    </row>
    <row r="90" spans="1:41" ht="60">
      <c r="A90" s="50" t="s">
        <v>0</v>
      </c>
      <c r="B90" s="74" t="s">
        <v>126</v>
      </c>
      <c r="C90" s="61" t="s">
        <v>118</v>
      </c>
      <c r="D90" s="61" t="s">
        <v>146</v>
      </c>
      <c r="E90" s="52" t="s">
        <v>171</v>
      </c>
      <c r="F90" s="71" t="s">
        <v>172</v>
      </c>
      <c r="G90" s="72" t="s">
        <v>127</v>
      </c>
      <c r="H90" s="61" t="s">
        <v>118</v>
      </c>
      <c r="I90" s="61" t="s">
        <v>146</v>
      </c>
      <c r="J90" s="52" t="s">
        <v>173</v>
      </c>
      <c r="K90" s="70" t="s">
        <v>172</v>
      </c>
      <c r="L90" s="77" t="s">
        <v>128</v>
      </c>
      <c r="M90" s="61" t="s">
        <v>118</v>
      </c>
      <c r="N90" s="61" t="s">
        <v>146</v>
      </c>
      <c r="O90" s="52" t="s">
        <v>173</v>
      </c>
      <c r="P90" s="79" t="s">
        <v>174</v>
      </c>
      <c r="Q90" s="80" t="s">
        <v>132</v>
      </c>
      <c r="R90" s="61" t="s">
        <v>118</v>
      </c>
      <c r="S90" s="61" t="s">
        <v>146</v>
      </c>
      <c r="T90" s="51" t="s">
        <v>117</v>
      </c>
      <c r="U90" s="62" t="s">
        <v>144</v>
      </c>
      <c r="V90" s="76" t="s">
        <v>141</v>
      </c>
      <c r="W90" s="63" t="s">
        <v>145</v>
      </c>
      <c r="X90" s="63" t="s">
        <v>117</v>
      </c>
      <c r="Y90" s="62" t="s">
        <v>175</v>
      </c>
      <c r="Z90" s="196"/>
      <c r="AA90" s="201"/>
      <c r="AB90" s="61"/>
      <c r="AC90" s="61"/>
      <c r="AD90" s="52"/>
      <c r="AE90" s="99"/>
      <c r="AK90" s="4"/>
      <c r="AL90" s="4"/>
      <c r="AM90" s="4"/>
      <c r="AN90" s="4"/>
      <c r="AO90" s="4"/>
    </row>
    <row r="91" spans="1:41" s="60" customFormat="1">
      <c r="A91" s="65">
        <v>2010</v>
      </c>
      <c r="B91" s="82">
        <f>3.8*10^6</f>
        <v>3800000</v>
      </c>
      <c r="C91" s="41">
        <f>B91*6.119*10^9</f>
        <v>2.32522E+16</v>
      </c>
      <c r="D91" s="41">
        <f>+C91/(10^12)</f>
        <v>23252.2</v>
      </c>
      <c r="E91" s="42">
        <f>$AK$38*D91</f>
        <v>1732028475.3600001</v>
      </c>
      <c r="F91" s="83">
        <f>+E91/1000000</f>
        <v>1732.0284753600001</v>
      </c>
      <c r="G91" s="84">
        <f>12.7*10^6</f>
        <v>12700000</v>
      </c>
      <c r="H91" s="41">
        <f>G91*6.119*10^9</f>
        <v>7.77113E+16</v>
      </c>
      <c r="I91" s="41">
        <f>+H91/(10^12)</f>
        <v>77711.3</v>
      </c>
      <c r="J91" s="42">
        <f>$AK$39*I91</f>
        <v>5617656623.4400005</v>
      </c>
      <c r="K91" s="85">
        <f>+J91/1000000</f>
        <v>5617.6566234400007</v>
      </c>
      <c r="L91" s="86">
        <f>0.1*10^6</f>
        <v>100000</v>
      </c>
      <c r="M91" s="41">
        <f>L91*6.119*10^9</f>
        <v>611900000000000</v>
      </c>
      <c r="N91" s="41">
        <f>+M91/(10^12)</f>
        <v>611.9</v>
      </c>
      <c r="O91" s="42">
        <f>$AK$40*N91</f>
        <v>58172109.199999996</v>
      </c>
      <c r="P91" s="87">
        <f>+O91/1000000</f>
        <v>58.172109199999994</v>
      </c>
      <c r="Q91" s="88">
        <f>0.1*10^6</f>
        <v>100000</v>
      </c>
      <c r="R91" s="41">
        <f>Q91*6.119*10^9</f>
        <v>611900000000000</v>
      </c>
      <c r="S91" s="41">
        <f>+R91/(10^12)</f>
        <v>611.9</v>
      </c>
      <c r="T91" s="42">
        <f>$AK$41*S91</f>
        <v>38693374.119999997</v>
      </c>
      <c r="U91" s="98">
        <f>+T91/1000000</f>
        <v>38.693374119999994</v>
      </c>
      <c r="V91" s="89">
        <v>1300000</v>
      </c>
      <c r="W91" s="90">
        <f>V91*0.613</f>
        <v>796900</v>
      </c>
      <c r="X91" s="68">
        <f>W91*0.725*1000</f>
        <v>577752500</v>
      </c>
      <c r="Y91" s="97">
        <f>X91/1000000</f>
        <v>577.75250000000005</v>
      </c>
      <c r="Z91" s="138">
        <f>F91+K91+P91+U91+AE91+Y91</f>
        <v>8024.3030821200009</v>
      </c>
      <c r="AA91" s="150">
        <f>B91+G91+L91+Q91+V91</f>
        <v>18000000</v>
      </c>
      <c r="AB91" s="41"/>
      <c r="AC91" s="41"/>
      <c r="AD91" s="42"/>
      <c r="AE91" s="100"/>
      <c r="AK91" s="46"/>
      <c r="AL91" s="46"/>
      <c r="AM91" s="46"/>
      <c r="AN91" s="46"/>
      <c r="AO91" s="46"/>
    </row>
    <row r="92" spans="1:41" s="60" customFormat="1">
      <c r="A92" s="65">
        <f>+(($A$96-$A$91)/5)+(A91)</f>
        <v>2011</v>
      </c>
      <c r="B92" s="91">
        <f>+(($B$96-$B$91)/5)+(B91)</f>
        <v>4200000</v>
      </c>
      <c r="C92" s="92">
        <f>+(($C$96-$C$91)/5)+(C91)</f>
        <v>2.56998E+16</v>
      </c>
      <c r="D92" s="92">
        <f>+(($D$96-$D$91)/5)+(D91)</f>
        <v>25699.8</v>
      </c>
      <c r="E92" s="42">
        <f t="shared" ref="E92:E111" si="61">$AK$38*D92</f>
        <v>1914347262.24</v>
      </c>
      <c r="F92" s="83">
        <f>+E92/1000000</f>
        <v>1914.34726224</v>
      </c>
      <c r="G92" s="93">
        <f>+(($G$96-$G$91)/5)+(G91)</f>
        <v>13980000</v>
      </c>
      <c r="H92" s="41">
        <f t="shared" ref="H92:H111" si="62">G92*6.119*10^9</f>
        <v>8.554362E+16</v>
      </c>
      <c r="I92" s="41">
        <f t="shared" ref="I92:I111" si="63">+H92/(10^12)</f>
        <v>85543.62</v>
      </c>
      <c r="J92" s="42">
        <f t="shared" ref="J92:J111" si="64">$AK$39*I92</f>
        <v>6183845637.4560003</v>
      </c>
      <c r="K92" s="85">
        <f t="shared" ref="K92:K111" si="65">+J92/1000000</f>
        <v>6183.8456374560001</v>
      </c>
      <c r="L92" s="94">
        <f>+(($L$96-$L$91)/5)+(L91)</f>
        <v>100000</v>
      </c>
      <c r="M92" s="41">
        <f t="shared" ref="M92:M111" si="66">L92*6.119*10^9</f>
        <v>611900000000000</v>
      </c>
      <c r="N92" s="41">
        <f t="shared" ref="N92:N111" si="67">+M92/(10^12)</f>
        <v>611.9</v>
      </c>
      <c r="O92" s="42">
        <f t="shared" ref="O92:O111" si="68">$AK$40*N92</f>
        <v>58172109.199999996</v>
      </c>
      <c r="P92" s="87">
        <f t="shared" ref="P92:P111" si="69">+O92/1000000</f>
        <v>58.172109199999994</v>
      </c>
      <c r="Q92" s="95">
        <f>+(($Q$96-$Q$91)/5)+(Q91)</f>
        <v>120000</v>
      </c>
      <c r="R92" s="41">
        <f t="shared" ref="R92:R111" si="70">Q92*6.119*10^9</f>
        <v>734280000000000</v>
      </c>
      <c r="S92" s="41">
        <f t="shared" ref="S92:S111" si="71">+R92/(10^12)</f>
        <v>734.28</v>
      </c>
      <c r="T92" s="42">
        <f t="shared" ref="T92:T111" si="72">$AK$41*S92</f>
        <v>46432048.943999998</v>
      </c>
      <c r="U92" s="98">
        <f t="shared" ref="U92:U111" si="73">+T92/1000000</f>
        <v>46.432048944000002</v>
      </c>
      <c r="V92" s="96">
        <f>+(($V$96-$V$91)/5)+(V91)</f>
        <v>1420000</v>
      </c>
      <c r="W92" s="90">
        <f t="shared" ref="W92:W95" si="74">V92*0.613</f>
        <v>870460</v>
      </c>
      <c r="X92" s="68">
        <f t="shared" ref="X92:X95" si="75">W92*0.725*1000</f>
        <v>631083500</v>
      </c>
      <c r="Y92" s="97">
        <f t="shared" ref="Y92:Y95" si="76">X92/1000000</f>
        <v>631.08349999999996</v>
      </c>
      <c r="Z92" s="138">
        <f t="shared" ref="Z92:Z111" si="77">F92+K92+P92+U92+AE92+Y92</f>
        <v>8833.8805578400006</v>
      </c>
      <c r="AA92" s="150">
        <f t="shared" ref="AA92:AA111" si="78">B92+G92+L92+Q92+V92</f>
        <v>19820000</v>
      </c>
      <c r="AB92" s="41"/>
      <c r="AC92" s="41"/>
      <c r="AD92" s="42"/>
      <c r="AE92" s="100"/>
      <c r="AK92" s="46"/>
      <c r="AL92" s="46"/>
      <c r="AM92" s="46"/>
      <c r="AN92" s="46"/>
      <c r="AO92" s="46"/>
    </row>
    <row r="93" spans="1:41" s="60" customFormat="1">
      <c r="A93" s="65">
        <f t="shared" ref="A93:A95" si="79">+(($A$96-$A$91)/5)+(A92)</f>
        <v>2012</v>
      </c>
      <c r="B93" s="91">
        <f t="shared" ref="B93:B95" si="80">+(($B$96-$B$91)/5)+(B92)</f>
        <v>4600000</v>
      </c>
      <c r="C93" s="92">
        <f t="shared" ref="C93:C95" si="81">+(($C$96-$C$91)/5)+(C92)</f>
        <v>2.81474E+16</v>
      </c>
      <c r="D93" s="92">
        <f t="shared" ref="D93:D95" si="82">+(($D$96-$D$91)/5)+(D92)</f>
        <v>28147.399999999998</v>
      </c>
      <c r="E93" s="42">
        <f t="shared" si="61"/>
        <v>2096666049.1199999</v>
      </c>
      <c r="F93" s="83">
        <f t="shared" ref="F93:F95" si="83">+E93/1000000</f>
        <v>2096.66604912</v>
      </c>
      <c r="G93" s="93">
        <f t="shared" ref="G93:G95" si="84">+(($G$96-$G$91)/5)+(G92)</f>
        <v>15260000</v>
      </c>
      <c r="H93" s="41">
        <f t="shared" si="62"/>
        <v>9.337594E+16</v>
      </c>
      <c r="I93" s="41">
        <f t="shared" si="63"/>
        <v>93375.94</v>
      </c>
      <c r="J93" s="42">
        <f t="shared" si="64"/>
        <v>6750034651.4720001</v>
      </c>
      <c r="K93" s="85">
        <f t="shared" si="65"/>
        <v>6750.0346514720004</v>
      </c>
      <c r="L93" s="94">
        <f t="shared" ref="L93:L95" si="85">+(($L$96-$L$91)/5)+(L92)</f>
        <v>100000</v>
      </c>
      <c r="M93" s="41">
        <f t="shared" si="66"/>
        <v>611900000000000</v>
      </c>
      <c r="N93" s="41">
        <f t="shared" si="67"/>
        <v>611.9</v>
      </c>
      <c r="O93" s="42">
        <f t="shared" si="68"/>
        <v>58172109.199999996</v>
      </c>
      <c r="P93" s="87">
        <f t="shared" si="69"/>
        <v>58.172109199999994</v>
      </c>
      <c r="Q93" s="95">
        <f>+(($Q$96-$Q$91)/5)+(Q92)</f>
        <v>140000</v>
      </c>
      <c r="R93" s="41">
        <f t="shared" si="70"/>
        <v>856660000000000</v>
      </c>
      <c r="S93" s="41">
        <f t="shared" si="71"/>
        <v>856.66</v>
      </c>
      <c r="T93" s="42">
        <f t="shared" si="72"/>
        <v>54170723.767999999</v>
      </c>
      <c r="U93" s="98">
        <f t="shared" si="73"/>
        <v>54.170723768000002</v>
      </c>
      <c r="V93" s="96">
        <f>+(($V$96-$V$91)/5)+(V92)</f>
        <v>1540000</v>
      </c>
      <c r="W93" s="90">
        <f t="shared" si="74"/>
        <v>944020</v>
      </c>
      <c r="X93" s="68">
        <f t="shared" si="75"/>
        <v>684414500</v>
      </c>
      <c r="Y93" s="97">
        <f t="shared" si="76"/>
        <v>684.41449999999998</v>
      </c>
      <c r="Z93" s="138">
        <f t="shared" si="77"/>
        <v>9643.4580335600021</v>
      </c>
      <c r="AA93" s="150">
        <f t="shared" si="78"/>
        <v>21640000</v>
      </c>
      <c r="AB93" s="41"/>
      <c r="AC93" s="41"/>
      <c r="AD93" s="42"/>
      <c r="AE93" s="100"/>
      <c r="AK93" s="46"/>
      <c r="AL93" s="46"/>
      <c r="AM93" s="46"/>
      <c r="AN93" s="46"/>
      <c r="AO93" s="46"/>
    </row>
    <row r="94" spans="1:41" s="60" customFormat="1">
      <c r="A94" s="65">
        <f t="shared" si="79"/>
        <v>2013</v>
      </c>
      <c r="B94" s="91">
        <f t="shared" si="80"/>
        <v>5000000</v>
      </c>
      <c r="C94" s="92">
        <f t="shared" si="81"/>
        <v>3.0595E+16</v>
      </c>
      <c r="D94" s="92">
        <f t="shared" si="82"/>
        <v>30594.999999999996</v>
      </c>
      <c r="E94" s="42">
        <f t="shared" si="61"/>
        <v>2278984836</v>
      </c>
      <c r="F94" s="83">
        <f t="shared" si="83"/>
        <v>2278.9848360000001</v>
      </c>
      <c r="G94" s="93">
        <f t="shared" si="84"/>
        <v>16540000</v>
      </c>
      <c r="H94" s="41">
        <f t="shared" si="62"/>
        <v>1.0120826E+17</v>
      </c>
      <c r="I94" s="41">
        <f t="shared" si="63"/>
        <v>101208.26</v>
      </c>
      <c r="J94" s="42">
        <f t="shared" si="64"/>
        <v>7316223665.4879999</v>
      </c>
      <c r="K94" s="85">
        <f t="shared" si="65"/>
        <v>7316.2236654879998</v>
      </c>
      <c r="L94" s="94">
        <f t="shared" si="85"/>
        <v>100000</v>
      </c>
      <c r="M94" s="41">
        <f t="shared" si="66"/>
        <v>611900000000000</v>
      </c>
      <c r="N94" s="41">
        <f t="shared" si="67"/>
        <v>611.9</v>
      </c>
      <c r="O94" s="42">
        <f t="shared" si="68"/>
        <v>58172109.199999996</v>
      </c>
      <c r="P94" s="87">
        <f t="shared" si="69"/>
        <v>58.172109199999994</v>
      </c>
      <c r="Q94" s="95">
        <f>+(($Q$96-$Q$91)/5)+(Q93)</f>
        <v>160000</v>
      </c>
      <c r="R94" s="41">
        <f t="shared" si="70"/>
        <v>979040000000000</v>
      </c>
      <c r="S94" s="41">
        <f t="shared" si="71"/>
        <v>979.04</v>
      </c>
      <c r="T94" s="42">
        <f t="shared" si="72"/>
        <v>61909398.592</v>
      </c>
      <c r="U94" s="98">
        <f t="shared" si="73"/>
        <v>61.909398592000002</v>
      </c>
      <c r="V94" s="96">
        <f>+(($V$96-$V$91)/5)+(V93)</f>
        <v>1660000</v>
      </c>
      <c r="W94" s="90">
        <f t="shared" si="74"/>
        <v>1017580</v>
      </c>
      <c r="X94" s="68">
        <f t="shared" si="75"/>
        <v>737745500</v>
      </c>
      <c r="Y94" s="97">
        <f t="shared" si="76"/>
        <v>737.74549999999999</v>
      </c>
      <c r="Z94" s="138">
        <f t="shared" si="77"/>
        <v>10453.035509280002</v>
      </c>
      <c r="AA94" s="150">
        <f t="shared" si="78"/>
        <v>23460000</v>
      </c>
      <c r="AB94" s="41"/>
      <c r="AC94" s="41"/>
      <c r="AD94" s="42"/>
      <c r="AE94" s="100"/>
      <c r="AK94" s="46"/>
      <c r="AL94" s="46"/>
      <c r="AM94" s="46"/>
      <c r="AN94" s="46"/>
      <c r="AO94" s="46"/>
    </row>
    <row r="95" spans="1:41" s="60" customFormat="1">
      <c r="A95" s="65">
        <f t="shared" si="79"/>
        <v>2014</v>
      </c>
      <c r="B95" s="91">
        <f t="shared" si="80"/>
        <v>5400000</v>
      </c>
      <c r="C95" s="92">
        <f t="shared" si="81"/>
        <v>3.30426E+16</v>
      </c>
      <c r="D95" s="92">
        <f t="shared" si="82"/>
        <v>33042.6</v>
      </c>
      <c r="E95" s="42">
        <f t="shared" si="61"/>
        <v>2461303622.8800001</v>
      </c>
      <c r="F95" s="83">
        <f t="shared" si="83"/>
        <v>2461.3036228800001</v>
      </c>
      <c r="G95" s="93">
        <f t="shared" si="84"/>
        <v>17820000</v>
      </c>
      <c r="H95" s="41">
        <f t="shared" si="62"/>
        <v>1.0904058E+17</v>
      </c>
      <c r="I95" s="41">
        <f t="shared" si="63"/>
        <v>109040.58</v>
      </c>
      <c r="J95" s="42">
        <f t="shared" si="64"/>
        <v>7882412679.5040007</v>
      </c>
      <c r="K95" s="85">
        <f t="shared" si="65"/>
        <v>7882.4126795040011</v>
      </c>
      <c r="L95" s="94">
        <f t="shared" si="85"/>
        <v>100000</v>
      </c>
      <c r="M95" s="41">
        <f t="shared" si="66"/>
        <v>611900000000000</v>
      </c>
      <c r="N95" s="41">
        <f t="shared" si="67"/>
        <v>611.9</v>
      </c>
      <c r="O95" s="42">
        <f t="shared" si="68"/>
        <v>58172109.199999996</v>
      </c>
      <c r="P95" s="87">
        <f t="shared" si="69"/>
        <v>58.172109199999994</v>
      </c>
      <c r="Q95" s="95">
        <f>+(($Q$96-$Q$91)/5)+(Q94)</f>
        <v>180000</v>
      </c>
      <c r="R95" s="41">
        <f t="shared" si="70"/>
        <v>1101420000000000</v>
      </c>
      <c r="S95" s="41">
        <f t="shared" si="71"/>
        <v>1101.42</v>
      </c>
      <c r="T95" s="42">
        <f t="shared" si="72"/>
        <v>69648073.416000009</v>
      </c>
      <c r="U95" s="98">
        <f t="shared" si="73"/>
        <v>69.648073416000003</v>
      </c>
      <c r="V95" s="96">
        <f>+(($V$96-$V$91)/5)+(V94)</f>
        <v>1780000</v>
      </c>
      <c r="W95" s="90">
        <f t="shared" si="74"/>
        <v>1091140</v>
      </c>
      <c r="X95" s="68">
        <f t="shared" si="75"/>
        <v>791076500</v>
      </c>
      <c r="Y95" s="97">
        <f t="shared" si="76"/>
        <v>791.07650000000001</v>
      </c>
      <c r="Z95" s="138">
        <f t="shared" si="77"/>
        <v>11262.612985</v>
      </c>
      <c r="AA95" s="150">
        <f t="shared" si="78"/>
        <v>25280000</v>
      </c>
      <c r="AB95" s="41"/>
      <c r="AC95" s="41"/>
      <c r="AD95" s="42"/>
      <c r="AE95" s="100"/>
      <c r="AK95" s="46"/>
      <c r="AL95" s="46"/>
      <c r="AM95" s="46"/>
      <c r="AN95" s="46"/>
      <c r="AO95" s="46"/>
    </row>
    <row r="96" spans="1:41" s="60" customFormat="1">
      <c r="A96" s="65">
        <v>2015</v>
      </c>
      <c r="B96" s="82">
        <f>5.8*10^6</f>
        <v>5800000</v>
      </c>
      <c r="C96" s="41">
        <f>B96*6.119*10^9</f>
        <v>3.54902E+16</v>
      </c>
      <c r="D96" s="41">
        <f>+C96/(10^12)</f>
        <v>35490.199999999997</v>
      </c>
      <c r="E96" s="42">
        <f t="shared" si="61"/>
        <v>2643622409.7599998</v>
      </c>
      <c r="F96" s="83">
        <f t="shared" ref="F96:F111" si="86">+E96/1000000</f>
        <v>2643.6224097599998</v>
      </c>
      <c r="G96" s="84">
        <f>19.1*10^6</f>
        <v>19100000</v>
      </c>
      <c r="H96" s="41">
        <f t="shared" si="62"/>
        <v>1.168729E+17</v>
      </c>
      <c r="I96" s="41">
        <f t="shared" si="63"/>
        <v>116872.9</v>
      </c>
      <c r="J96" s="42">
        <f t="shared" si="64"/>
        <v>8448601693.5199995</v>
      </c>
      <c r="K96" s="85">
        <f t="shared" si="65"/>
        <v>8448.6016935199987</v>
      </c>
      <c r="L96" s="86">
        <f>0.1*10^6</f>
        <v>100000</v>
      </c>
      <c r="M96" s="41">
        <f t="shared" si="66"/>
        <v>611900000000000</v>
      </c>
      <c r="N96" s="41">
        <f t="shared" si="67"/>
        <v>611.9</v>
      </c>
      <c r="O96" s="42">
        <f t="shared" si="68"/>
        <v>58172109.199999996</v>
      </c>
      <c r="P96" s="87">
        <f t="shared" si="69"/>
        <v>58.172109199999994</v>
      </c>
      <c r="Q96" s="88">
        <f>0.2*10^6</f>
        <v>200000</v>
      </c>
      <c r="R96" s="41">
        <f t="shared" si="70"/>
        <v>1223800000000000</v>
      </c>
      <c r="S96" s="41">
        <f t="shared" si="71"/>
        <v>1223.8</v>
      </c>
      <c r="T96" s="42">
        <f t="shared" si="72"/>
        <v>77386748.239999995</v>
      </c>
      <c r="U96" s="98">
        <f t="shared" si="73"/>
        <v>77.386748239999989</v>
      </c>
      <c r="V96" s="89">
        <v>1900000</v>
      </c>
      <c r="W96" s="90">
        <f t="shared" ref="W96:W111" si="87">V96*0.613</f>
        <v>1164700</v>
      </c>
      <c r="X96" s="68">
        <f t="shared" ref="X96:X111" si="88">W96*0.725*1000</f>
        <v>844407500</v>
      </c>
      <c r="Y96" s="97">
        <f t="shared" ref="Y96:Y111" si="89">X96/1000000</f>
        <v>844.40750000000003</v>
      </c>
      <c r="Z96" s="138">
        <f t="shared" si="77"/>
        <v>12072.190460719998</v>
      </c>
      <c r="AA96" s="150">
        <f t="shared" si="78"/>
        <v>27100000</v>
      </c>
      <c r="AB96" s="41"/>
      <c r="AC96" s="41"/>
      <c r="AD96" s="42"/>
      <c r="AE96" s="100"/>
      <c r="AK96" s="46"/>
      <c r="AL96" s="46"/>
      <c r="AM96" s="46"/>
      <c r="AN96" s="46"/>
      <c r="AO96" s="46"/>
    </row>
    <row r="97" spans="1:41" s="60" customFormat="1">
      <c r="A97" s="65">
        <f>+(($A$101-$A$96)/5)+(A96)</f>
        <v>2016</v>
      </c>
      <c r="B97" s="91">
        <f>+(($B$101-$B$96)/5)+(B96)</f>
        <v>6380000</v>
      </c>
      <c r="C97" s="41">
        <f t="shared" ref="C97:C111" si="90">B97*6.119*10^9</f>
        <v>3.903922E+16</v>
      </c>
      <c r="D97" s="41">
        <f t="shared" ref="D97:D111" si="91">+C97/(10^12)</f>
        <v>39039.22</v>
      </c>
      <c r="E97" s="42">
        <f t="shared" si="61"/>
        <v>2907984650.7360001</v>
      </c>
      <c r="F97" s="83">
        <f t="shared" si="86"/>
        <v>2907.9846507360003</v>
      </c>
      <c r="G97" s="93">
        <f>+(($G$101-$G$96)/5)+(G96)</f>
        <v>21020000</v>
      </c>
      <c r="H97" s="41">
        <f t="shared" si="62"/>
        <v>1.2862138E+17</v>
      </c>
      <c r="I97" s="41">
        <f t="shared" si="63"/>
        <v>128621.38</v>
      </c>
      <c r="J97" s="42">
        <f t="shared" si="64"/>
        <v>9297885214.5440006</v>
      </c>
      <c r="K97" s="85">
        <f t="shared" si="65"/>
        <v>9297.8852145440014</v>
      </c>
      <c r="L97" s="94">
        <f>+(($L$101-$L$96)/5)+(L96)</f>
        <v>120000</v>
      </c>
      <c r="M97" s="41">
        <f t="shared" si="66"/>
        <v>734280000000000</v>
      </c>
      <c r="N97" s="41">
        <f t="shared" si="67"/>
        <v>734.28</v>
      </c>
      <c r="O97" s="42">
        <f t="shared" si="68"/>
        <v>69806531.039999992</v>
      </c>
      <c r="P97" s="87">
        <f t="shared" si="69"/>
        <v>69.806531039999996</v>
      </c>
      <c r="Q97" s="95">
        <f>+(($Q$101-$Q$96)/5)+(Q96)</f>
        <v>200000</v>
      </c>
      <c r="R97" s="41">
        <f t="shared" si="70"/>
        <v>1223800000000000</v>
      </c>
      <c r="S97" s="41">
        <f t="shared" si="71"/>
        <v>1223.8</v>
      </c>
      <c r="T97" s="42">
        <f t="shared" si="72"/>
        <v>77386748.239999995</v>
      </c>
      <c r="U97" s="98">
        <f t="shared" si="73"/>
        <v>77.386748239999989</v>
      </c>
      <c r="V97" s="96">
        <f>+(($V$101-$V$96)/5)+(V96)</f>
        <v>2100000</v>
      </c>
      <c r="W97" s="90">
        <f t="shared" si="87"/>
        <v>1287300</v>
      </c>
      <c r="X97" s="68">
        <f t="shared" si="88"/>
        <v>933292500</v>
      </c>
      <c r="Y97" s="97">
        <f t="shared" si="89"/>
        <v>933.29250000000002</v>
      </c>
      <c r="Z97" s="138">
        <f t="shared" si="77"/>
        <v>13286.355644560001</v>
      </c>
      <c r="AA97" s="150">
        <f t="shared" si="78"/>
        <v>29820000</v>
      </c>
      <c r="AB97" s="41"/>
      <c r="AC97" s="41"/>
      <c r="AD97" s="42"/>
      <c r="AE97" s="100"/>
      <c r="AK97" s="46"/>
      <c r="AL97" s="46"/>
      <c r="AM97" s="46"/>
      <c r="AN97" s="46"/>
      <c r="AO97" s="46"/>
    </row>
    <row r="98" spans="1:41" s="60" customFormat="1">
      <c r="A98" s="65">
        <f t="shared" ref="A98:A100" si="92">+(($A$101-$A$96)/5)+(A97)</f>
        <v>2017</v>
      </c>
      <c r="B98" s="91">
        <f t="shared" ref="B98:B100" si="93">+(($B$101-$B$96)/5)+(B97)</f>
        <v>6960000</v>
      </c>
      <c r="C98" s="41">
        <f t="shared" si="90"/>
        <v>4.258824E+16</v>
      </c>
      <c r="D98" s="41">
        <f t="shared" si="91"/>
        <v>42588.24</v>
      </c>
      <c r="E98" s="42">
        <f t="shared" si="61"/>
        <v>3172346891.7119999</v>
      </c>
      <c r="F98" s="83">
        <f t="shared" si="86"/>
        <v>3172.3468917119999</v>
      </c>
      <c r="G98" s="93">
        <f t="shared" ref="G98:G100" si="94">+(($G$101-$G$96)/5)+(G97)</f>
        <v>22940000</v>
      </c>
      <c r="H98" s="41">
        <f t="shared" si="62"/>
        <v>1.4036986E+17</v>
      </c>
      <c r="I98" s="41">
        <f t="shared" si="63"/>
        <v>140369.85999999999</v>
      </c>
      <c r="J98" s="42">
        <f t="shared" si="64"/>
        <v>10147168735.567999</v>
      </c>
      <c r="K98" s="85">
        <f t="shared" si="65"/>
        <v>10147.168735567999</v>
      </c>
      <c r="L98" s="94">
        <f t="shared" ref="L98:L100" si="95">+(($L$101-$L$96)/5)+(L97)</f>
        <v>140000</v>
      </c>
      <c r="M98" s="41">
        <f t="shared" si="66"/>
        <v>856660000000000</v>
      </c>
      <c r="N98" s="41">
        <f t="shared" si="67"/>
        <v>856.66</v>
      </c>
      <c r="O98" s="42">
        <f t="shared" si="68"/>
        <v>81440952.879999995</v>
      </c>
      <c r="P98" s="87">
        <f t="shared" si="69"/>
        <v>81.440952879999998</v>
      </c>
      <c r="Q98" s="95">
        <f>+(($Q$101-$Q$96)/5)+(Q97)</f>
        <v>200000</v>
      </c>
      <c r="R98" s="41">
        <f t="shared" si="70"/>
        <v>1223800000000000</v>
      </c>
      <c r="S98" s="41">
        <f t="shared" si="71"/>
        <v>1223.8</v>
      </c>
      <c r="T98" s="42">
        <f t="shared" si="72"/>
        <v>77386748.239999995</v>
      </c>
      <c r="U98" s="98">
        <f t="shared" si="73"/>
        <v>77.386748239999989</v>
      </c>
      <c r="V98" s="96">
        <f>+(($V$101-$V$96)/5)+(V97)</f>
        <v>2300000</v>
      </c>
      <c r="W98" s="90">
        <f t="shared" si="87"/>
        <v>1409900</v>
      </c>
      <c r="X98" s="68">
        <f t="shared" si="88"/>
        <v>1022177500</v>
      </c>
      <c r="Y98" s="97">
        <f t="shared" si="89"/>
        <v>1022.1775</v>
      </c>
      <c r="Z98" s="138">
        <f t="shared" si="77"/>
        <v>14500.520828399998</v>
      </c>
      <c r="AA98" s="150">
        <f t="shared" si="78"/>
        <v>32540000</v>
      </c>
      <c r="AB98" s="41"/>
      <c r="AC98" s="41"/>
      <c r="AD98" s="42"/>
      <c r="AE98" s="100"/>
      <c r="AK98" s="46"/>
      <c r="AL98" s="46"/>
      <c r="AM98" s="46"/>
      <c r="AN98" s="46"/>
      <c r="AO98" s="46"/>
    </row>
    <row r="99" spans="1:41" s="60" customFormat="1">
      <c r="A99" s="65">
        <f t="shared" si="92"/>
        <v>2018</v>
      </c>
      <c r="B99" s="91">
        <f t="shared" si="93"/>
        <v>7540000</v>
      </c>
      <c r="C99" s="41">
        <f t="shared" si="90"/>
        <v>4.613726E+16</v>
      </c>
      <c r="D99" s="41">
        <f t="shared" si="91"/>
        <v>46137.26</v>
      </c>
      <c r="E99" s="42">
        <f t="shared" si="61"/>
        <v>3436709132.6880002</v>
      </c>
      <c r="F99" s="83">
        <f t="shared" si="86"/>
        <v>3436.7091326880004</v>
      </c>
      <c r="G99" s="93">
        <f t="shared" si="94"/>
        <v>24860000</v>
      </c>
      <c r="H99" s="41">
        <f t="shared" si="62"/>
        <v>1.5211834E+17</v>
      </c>
      <c r="I99" s="41">
        <f t="shared" si="63"/>
        <v>152118.34</v>
      </c>
      <c r="J99" s="42">
        <f t="shared" si="64"/>
        <v>10996452256.592001</v>
      </c>
      <c r="K99" s="85">
        <f t="shared" si="65"/>
        <v>10996.452256592002</v>
      </c>
      <c r="L99" s="94">
        <f t="shared" si="95"/>
        <v>160000</v>
      </c>
      <c r="M99" s="41">
        <f t="shared" si="66"/>
        <v>979040000000000</v>
      </c>
      <c r="N99" s="41">
        <f t="shared" si="67"/>
        <v>979.04</v>
      </c>
      <c r="O99" s="42">
        <f t="shared" si="68"/>
        <v>93075374.719999999</v>
      </c>
      <c r="P99" s="87">
        <f t="shared" si="69"/>
        <v>93.075374719999999</v>
      </c>
      <c r="Q99" s="95">
        <f>+(($Q$101-$Q$96)/5)+(Q98)</f>
        <v>200000</v>
      </c>
      <c r="R99" s="41">
        <f t="shared" si="70"/>
        <v>1223800000000000</v>
      </c>
      <c r="S99" s="41">
        <f t="shared" si="71"/>
        <v>1223.8</v>
      </c>
      <c r="T99" s="42">
        <f t="shared" si="72"/>
        <v>77386748.239999995</v>
      </c>
      <c r="U99" s="98">
        <f t="shared" si="73"/>
        <v>77.386748239999989</v>
      </c>
      <c r="V99" s="96">
        <f>+(($V$101-$V$96)/5)+(V98)</f>
        <v>2500000</v>
      </c>
      <c r="W99" s="90">
        <f t="shared" si="87"/>
        <v>1532500</v>
      </c>
      <c r="X99" s="68">
        <f t="shared" si="88"/>
        <v>1111062500</v>
      </c>
      <c r="Y99" s="97">
        <f t="shared" si="89"/>
        <v>1111.0625</v>
      </c>
      <c r="Z99" s="138">
        <f t="shared" si="77"/>
        <v>15714.686012240001</v>
      </c>
      <c r="AA99" s="150">
        <f t="shared" si="78"/>
        <v>35260000</v>
      </c>
      <c r="AB99" s="41"/>
      <c r="AC99" s="41"/>
      <c r="AD99" s="42"/>
      <c r="AE99" s="100"/>
      <c r="AK99" s="46"/>
      <c r="AL99" s="46"/>
      <c r="AM99" s="46"/>
      <c r="AN99" s="46"/>
      <c r="AO99" s="46"/>
    </row>
    <row r="100" spans="1:41" s="60" customFormat="1">
      <c r="A100" s="65">
        <f t="shared" si="92"/>
        <v>2019</v>
      </c>
      <c r="B100" s="91">
        <f t="shared" si="93"/>
        <v>8120000</v>
      </c>
      <c r="C100" s="41">
        <f t="shared" si="90"/>
        <v>4.968628E+16</v>
      </c>
      <c r="D100" s="41">
        <f t="shared" si="91"/>
        <v>49686.28</v>
      </c>
      <c r="E100" s="42">
        <f t="shared" si="61"/>
        <v>3701071373.664</v>
      </c>
      <c r="F100" s="83">
        <f t="shared" si="86"/>
        <v>3701.071373664</v>
      </c>
      <c r="G100" s="93">
        <f t="shared" si="94"/>
        <v>26780000</v>
      </c>
      <c r="H100" s="41">
        <f t="shared" si="62"/>
        <v>1.6386682E+17</v>
      </c>
      <c r="I100" s="41">
        <f t="shared" si="63"/>
        <v>163866.82</v>
      </c>
      <c r="J100" s="42">
        <f t="shared" si="64"/>
        <v>11845735777.616001</v>
      </c>
      <c r="K100" s="85">
        <f t="shared" si="65"/>
        <v>11845.735777616001</v>
      </c>
      <c r="L100" s="94">
        <f t="shared" si="95"/>
        <v>180000</v>
      </c>
      <c r="M100" s="41">
        <f t="shared" si="66"/>
        <v>1101420000000000</v>
      </c>
      <c r="N100" s="41">
        <f t="shared" si="67"/>
        <v>1101.42</v>
      </c>
      <c r="O100" s="42">
        <f t="shared" si="68"/>
        <v>104709796.56</v>
      </c>
      <c r="P100" s="87">
        <f t="shared" si="69"/>
        <v>104.70979656</v>
      </c>
      <c r="Q100" s="95">
        <f>+(($Q$101-$Q$96)/5)+(Q99)</f>
        <v>200000</v>
      </c>
      <c r="R100" s="41">
        <f t="shared" si="70"/>
        <v>1223800000000000</v>
      </c>
      <c r="S100" s="41">
        <f t="shared" si="71"/>
        <v>1223.8</v>
      </c>
      <c r="T100" s="42">
        <f t="shared" si="72"/>
        <v>77386748.239999995</v>
      </c>
      <c r="U100" s="98">
        <f t="shared" si="73"/>
        <v>77.386748239999989</v>
      </c>
      <c r="V100" s="96">
        <f>+(($V$101-$V$96)/5)+(V99)</f>
        <v>2700000</v>
      </c>
      <c r="W100" s="90">
        <f t="shared" si="87"/>
        <v>1655100</v>
      </c>
      <c r="X100" s="68">
        <f t="shared" si="88"/>
        <v>1199947500</v>
      </c>
      <c r="Y100" s="97">
        <f t="shared" si="89"/>
        <v>1199.9475</v>
      </c>
      <c r="Z100" s="138">
        <f t="shared" si="77"/>
        <v>16928.851196080002</v>
      </c>
      <c r="AA100" s="150">
        <f t="shared" si="78"/>
        <v>37980000</v>
      </c>
      <c r="AB100" s="41"/>
      <c r="AC100" s="41"/>
      <c r="AD100" s="42"/>
      <c r="AE100" s="100"/>
      <c r="AK100" s="46"/>
      <c r="AL100" s="46"/>
      <c r="AM100" s="46"/>
      <c r="AN100" s="46"/>
      <c r="AO100" s="46"/>
    </row>
    <row r="101" spans="1:41" s="60" customFormat="1">
      <c r="A101" s="65">
        <v>2020</v>
      </c>
      <c r="B101" s="82">
        <f>8.7*10^6</f>
        <v>8700000</v>
      </c>
      <c r="C101" s="41">
        <f t="shared" si="90"/>
        <v>5.32353E+16</v>
      </c>
      <c r="D101" s="41">
        <f t="shared" si="91"/>
        <v>53235.3</v>
      </c>
      <c r="E101" s="42">
        <f t="shared" si="61"/>
        <v>3965433614.6400003</v>
      </c>
      <c r="F101" s="83">
        <f t="shared" si="86"/>
        <v>3965.4336146400005</v>
      </c>
      <c r="G101" s="84">
        <f>28.7*10^6</f>
        <v>28700000</v>
      </c>
      <c r="H101" s="41">
        <f t="shared" si="62"/>
        <v>1.756153E+17</v>
      </c>
      <c r="I101" s="41">
        <f t="shared" si="63"/>
        <v>175615.3</v>
      </c>
      <c r="J101" s="42">
        <f t="shared" si="64"/>
        <v>12695019298.639999</v>
      </c>
      <c r="K101" s="85">
        <f t="shared" si="65"/>
        <v>12695.01929864</v>
      </c>
      <c r="L101" s="86">
        <f>0.2*10^6</f>
        <v>200000</v>
      </c>
      <c r="M101" s="41">
        <f t="shared" si="66"/>
        <v>1223800000000000</v>
      </c>
      <c r="N101" s="41">
        <f t="shared" si="67"/>
        <v>1223.8</v>
      </c>
      <c r="O101" s="42">
        <f t="shared" si="68"/>
        <v>116344218.39999999</v>
      </c>
      <c r="P101" s="87">
        <f t="shared" si="69"/>
        <v>116.34421839999999</v>
      </c>
      <c r="Q101" s="88">
        <f>0.2*10^6</f>
        <v>200000</v>
      </c>
      <c r="R101" s="41">
        <f t="shared" si="70"/>
        <v>1223800000000000</v>
      </c>
      <c r="S101" s="41">
        <f t="shared" si="71"/>
        <v>1223.8</v>
      </c>
      <c r="T101" s="42">
        <f t="shared" si="72"/>
        <v>77386748.239999995</v>
      </c>
      <c r="U101" s="98">
        <f t="shared" si="73"/>
        <v>77.386748239999989</v>
      </c>
      <c r="V101" s="89">
        <v>2900000</v>
      </c>
      <c r="W101" s="90">
        <f t="shared" si="87"/>
        <v>1777700</v>
      </c>
      <c r="X101" s="68">
        <f t="shared" si="88"/>
        <v>1288832500</v>
      </c>
      <c r="Y101" s="97">
        <f t="shared" si="89"/>
        <v>1288.8325</v>
      </c>
      <c r="Z101" s="138">
        <f t="shared" si="77"/>
        <v>18143.016379920002</v>
      </c>
      <c r="AA101" s="150">
        <f t="shared" si="78"/>
        <v>40700000</v>
      </c>
      <c r="AB101" s="41"/>
      <c r="AC101" s="41"/>
      <c r="AD101" s="42"/>
      <c r="AE101" s="100"/>
      <c r="AK101" s="46"/>
      <c r="AL101" s="149"/>
      <c r="AM101" s="149"/>
      <c r="AN101" s="149"/>
      <c r="AO101" s="149"/>
    </row>
    <row r="102" spans="1:41" s="60" customFormat="1">
      <c r="A102" s="65">
        <f>+(($A$106-$A$101)/5)+(A101)</f>
        <v>2021</v>
      </c>
      <c r="B102" s="91">
        <f>+(($B$106-$B$101)/5)+(B101)</f>
        <v>9580000</v>
      </c>
      <c r="C102" s="41">
        <f t="shared" si="90"/>
        <v>5.862002E+16</v>
      </c>
      <c r="D102" s="41">
        <f t="shared" si="91"/>
        <v>58620.02</v>
      </c>
      <c r="E102" s="42">
        <f t="shared" si="61"/>
        <v>4366534945.776</v>
      </c>
      <c r="F102" s="83">
        <f t="shared" si="86"/>
        <v>4366.5349457760003</v>
      </c>
      <c r="G102" s="93">
        <f>+(($G$106-$G$101)/5)+(G101)</f>
        <v>31600000</v>
      </c>
      <c r="H102" s="41">
        <f t="shared" si="62"/>
        <v>1.933604E+17</v>
      </c>
      <c r="I102" s="41">
        <f t="shared" si="63"/>
        <v>193360.4</v>
      </c>
      <c r="J102" s="42">
        <f t="shared" si="64"/>
        <v>13977791283.52</v>
      </c>
      <c r="K102" s="85">
        <f t="shared" si="65"/>
        <v>13977.79128352</v>
      </c>
      <c r="L102" s="94">
        <f>+(($L$106-$L$101)/5)+(L101)</f>
        <v>220000</v>
      </c>
      <c r="M102" s="41">
        <f t="shared" si="66"/>
        <v>1346180000000000</v>
      </c>
      <c r="N102" s="41">
        <f t="shared" si="67"/>
        <v>1346.18</v>
      </c>
      <c r="O102" s="42">
        <f t="shared" si="68"/>
        <v>127978640.24000001</v>
      </c>
      <c r="P102" s="87">
        <f t="shared" si="69"/>
        <v>127.97864024</v>
      </c>
      <c r="Q102" s="95">
        <f>+(($Q$106-$Q$101)/5)+(Q101)</f>
        <v>240000</v>
      </c>
      <c r="R102" s="41">
        <f t="shared" si="70"/>
        <v>1468560000000000</v>
      </c>
      <c r="S102" s="41">
        <f t="shared" si="71"/>
        <v>1468.56</v>
      </c>
      <c r="T102" s="42">
        <f t="shared" si="72"/>
        <v>92864097.887999997</v>
      </c>
      <c r="U102" s="98">
        <f t="shared" si="73"/>
        <v>92.864097888000003</v>
      </c>
      <c r="V102" s="96">
        <f>+(($V$107-$V$101)/5)+(V101)</f>
        <v>3288000</v>
      </c>
      <c r="W102" s="90">
        <f t="shared" si="87"/>
        <v>2015544</v>
      </c>
      <c r="X102" s="68">
        <f t="shared" si="88"/>
        <v>1461269400</v>
      </c>
      <c r="Y102" s="97">
        <f t="shared" si="89"/>
        <v>1461.2693999999999</v>
      </c>
      <c r="Z102" s="138">
        <f t="shared" si="77"/>
        <v>20026.438367423998</v>
      </c>
      <c r="AA102" s="150">
        <f t="shared" si="78"/>
        <v>44928000</v>
      </c>
      <c r="AB102" s="41"/>
      <c r="AC102" s="41"/>
      <c r="AD102" s="42"/>
      <c r="AE102" s="100"/>
      <c r="AK102" s="46"/>
      <c r="AL102" s="46"/>
      <c r="AM102" s="46"/>
      <c r="AN102" s="46"/>
      <c r="AO102" s="46"/>
    </row>
    <row r="103" spans="1:41" s="60" customFormat="1">
      <c r="A103" s="65">
        <f t="shared" ref="A103:A105" si="96">+(($A$106-$A$101)/5)+(A102)</f>
        <v>2022</v>
      </c>
      <c r="B103" s="91">
        <f t="shared" ref="B103:B105" si="97">+(($B$106-$B$101)/5)+(B102)</f>
        <v>10460000</v>
      </c>
      <c r="C103" s="41">
        <f t="shared" si="90"/>
        <v>6.400474E+16</v>
      </c>
      <c r="D103" s="41">
        <f t="shared" si="91"/>
        <v>64004.74</v>
      </c>
      <c r="E103" s="42">
        <f t="shared" si="61"/>
        <v>4767636276.9119997</v>
      </c>
      <c r="F103" s="83">
        <f t="shared" si="86"/>
        <v>4767.6362769119996</v>
      </c>
      <c r="G103" s="93">
        <f t="shared" ref="G103:G105" si="98">+(($G$106-$G$101)/5)+(G102)</f>
        <v>34500000</v>
      </c>
      <c r="H103" s="41">
        <f t="shared" si="62"/>
        <v>2.111055E+17</v>
      </c>
      <c r="I103" s="41">
        <f t="shared" si="63"/>
        <v>211105.5</v>
      </c>
      <c r="J103" s="42">
        <f t="shared" si="64"/>
        <v>15260563268.400002</v>
      </c>
      <c r="K103" s="85">
        <f t="shared" si="65"/>
        <v>15260.563268400001</v>
      </c>
      <c r="L103" s="94">
        <f t="shared" ref="L103:L105" si="99">+(($L$106-$L$101)/5)+(L102)</f>
        <v>240000</v>
      </c>
      <c r="M103" s="41">
        <f t="shared" si="66"/>
        <v>1468560000000000</v>
      </c>
      <c r="N103" s="41">
        <f t="shared" si="67"/>
        <v>1468.56</v>
      </c>
      <c r="O103" s="42">
        <f t="shared" si="68"/>
        <v>139613062.07999998</v>
      </c>
      <c r="P103" s="87">
        <f t="shared" si="69"/>
        <v>139.61306207999999</v>
      </c>
      <c r="Q103" s="95">
        <f>+(($Q$106-$Q$101)/5)+(Q102)</f>
        <v>280000</v>
      </c>
      <c r="R103" s="41">
        <f t="shared" si="70"/>
        <v>1713320000000000</v>
      </c>
      <c r="S103" s="41">
        <f t="shared" si="71"/>
        <v>1713.32</v>
      </c>
      <c r="T103" s="42">
        <f t="shared" si="72"/>
        <v>108341447.536</v>
      </c>
      <c r="U103" s="98">
        <f t="shared" si="73"/>
        <v>108.341447536</v>
      </c>
      <c r="V103" s="96">
        <f>+(($V$107-$V$101)/5)+(V102)</f>
        <v>3676000</v>
      </c>
      <c r="W103" s="90">
        <f t="shared" si="87"/>
        <v>2253388</v>
      </c>
      <c r="X103" s="68">
        <f t="shared" si="88"/>
        <v>1633706300</v>
      </c>
      <c r="Y103" s="97">
        <f t="shared" si="89"/>
        <v>1633.7063000000001</v>
      </c>
      <c r="Z103" s="138">
        <f t="shared" si="77"/>
        <v>21909.860354928001</v>
      </c>
      <c r="AA103" s="150">
        <f t="shared" si="78"/>
        <v>49156000</v>
      </c>
      <c r="AB103" s="41"/>
      <c r="AC103" s="41"/>
      <c r="AD103" s="42"/>
      <c r="AE103" s="100"/>
      <c r="AK103" s="46"/>
      <c r="AL103" s="46"/>
      <c r="AM103" s="46"/>
      <c r="AN103" s="46"/>
      <c r="AO103" s="46"/>
    </row>
    <row r="104" spans="1:41" s="60" customFormat="1">
      <c r="A104" s="65">
        <f t="shared" si="96"/>
        <v>2023</v>
      </c>
      <c r="B104" s="91">
        <f t="shared" si="97"/>
        <v>11340000</v>
      </c>
      <c r="C104" s="41">
        <f t="shared" si="90"/>
        <v>6.938946E+16</v>
      </c>
      <c r="D104" s="41">
        <f t="shared" si="91"/>
        <v>69389.460000000006</v>
      </c>
      <c r="E104" s="42">
        <f t="shared" si="61"/>
        <v>5168737608.0480003</v>
      </c>
      <c r="F104" s="83">
        <f t="shared" si="86"/>
        <v>5168.7376080480008</v>
      </c>
      <c r="G104" s="93">
        <f t="shared" si="98"/>
        <v>37400000</v>
      </c>
      <c r="H104" s="41">
        <f t="shared" si="62"/>
        <v>2.288506E+17</v>
      </c>
      <c r="I104" s="41">
        <f t="shared" si="63"/>
        <v>228850.6</v>
      </c>
      <c r="J104" s="42">
        <f t="shared" si="64"/>
        <v>16543335253.280001</v>
      </c>
      <c r="K104" s="85">
        <f t="shared" si="65"/>
        <v>16543.335253280002</v>
      </c>
      <c r="L104" s="94">
        <f t="shared" si="99"/>
        <v>260000</v>
      </c>
      <c r="M104" s="41">
        <f t="shared" si="66"/>
        <v>1590940000000000</v>
      </c>
      <c r="N104" s="41">
        <f t="shared" si="67"/>
        <v>1590.94</v>
      </c>
      <c r="O104" s="42">
        <f t="shared" si="68"/>
        <v>151247483.92000002</v>
      </c>
      <c r="P104" s="87">
        <f t="shared" si="69"/>
        <v>151.24748392000001</v>
      </c>
      <c r="Q104" s="95">
        <f>+(($Q$106-$Q$101)/5)+(Q103)</f>
        <v>320000</v>
      </c>
      <c r="R104" s="41">
        <f t="shared" si="70"/>
        <v>1958080000000000</v>
      </c>
      <c r="S104" s="41">
        <f t="shared" si="71"/>
        <v>1958.08</v>
      </c>
      <c r="T104" s="42">
        <f t="shared" si="72"/>
        <v>123818797.184</v>
      </c>
      <c r="U104" s="98">
        <f t="shared" si="73"/>
        <v>123.818797184</v>
      </c>
      <c r="V104" s="96">
        <f>+(($V$107-$V$101)/5)+(V103)</f>
        <v>4064000</v>
      </c>
      <c r="W104" s="90">
        <f t="shared" si="87"/>
        <v>2491232</v>
      </c>
      <c r="X104" s="68">
        <f t="shared" si="88"/>
        <v>1806143200</v>
      </c>
      <c r="Y104" s="97">
        <f t="shared" si="89"/>
        <v>1806.1432</v>
      </c>
      <c r="Z104" s="138">
        <f t="shared" si="77"/>
        <v>23793.282342432001</v>
      </c>
      <c r="AA104" s="150">
        <f t="shared" si="78"/>
        <v>53384000</v>
      </c>
      <c r="AB104" s="41"/>
      <c r="AC104" s="41"/>
      <c r="AD104" s="42"/>
      <c r="AE104" s="100"/>
      <c r="AK104" s="46"/>
      <c r="AL104" s="46"/>
      <c r="AM104" s="46"/>
      <c r="AN104" s="46"/>
      <c r="AO104" s="46"/>
    </row>
    <row r="105" spans="1:41" s="60" customFormat="1">
      <c r="A105" s="65">
        <f t="shared" si="96"/>
        <v>2024</v>
      </c>
      <c r="B105" s="91">
        <f t="shared" si="97"/>
        <v>12220000</v>
      </c>
      <c r="C105" s="41">
        <f t="shared" si="90"/>
        <v>7.477418E+16</v>
      </c>
      <c r="D105" s="41">
        <f t="shared" si="91"/>
        <v>74774.179999999993</v>
      </c>
      <c r="E105" s="42">
        <f t="shared" si="61"/>
        <v>5569838939.184</v>
      </c>
      <c r="F105" s="83">
        <f t="shared" si="86"/>
        <v>5569.8389391840001</v>
      </c>
      <c r="G105" s="93">
        <f t="shared" si="98"/>
        <v>40300000</v>
      </c>
      <c r="H105" s="41">
        <f t="shared" si="62"/>
        <v>2.465957E+17</v>
      </c>
      <c r="I105" s="41">
        <f t="shared" si="63"/>
        <v>246595.7</v>
      </c>
      <c r="J105" s="42">
        <f t="shared" si="64"/>
        <v>17826107238.16</v>
      </c>
      <c r="K105" s="85">
        <f t="shared" si="65"/>
        <v>17826.107238159999</v>
      </c>
      <c r="L105" s="94">
        <f t="shared" si="99"/>
        <v>280000</v>
      </c>
      <c r="M105" s="41">
        <f t="shared" si="66"/>
        <v>1713320000000000</v>
      </c>
      <c r="N105" s="41">
        <f t="shared" si="67"/>
        <v>1713.32</v>
      </c>
      <c r="O105" s="42">
        <f t="shared" si="68"/>
        <v>162881905.75999999</v>
      </c>
      <c r="P105" s="87">
        <f t="shared" si="69"/>
        <v>162.88190576</v>
      </c>
      <c r="Q105" s="95">
        <f>+(($Q$106-$Q$101)/5)+(Q104)</f>
        <v>360000</v>
      </c>
      <c r="R105" s="41">
        <f t="shared" si="70"/>
        <v>2202840000000000</v>
      </c>
      <c r="S105" s="41">
        <f t="shared" si="71"/>
        <v>2202.84</v>
      </c>
      <c r="T105" s="42">
        <f t="shared" si="72"/>
        <v>139296146.83200002</v>
      </c>
      <c r="U105" s="98">
        <f t="shared" si="73"/>
        <v>139.29614683200001</v>
      </c>
      <c r="V105" s="96">
        <f>+(($V$107-$V$101)/5)+(V104)</f>
        <v>4452000</v>
      </c>
      <c r="W105" s="90">
        <f t="shared" si="87"/>
        <v>2729076</v>
      </c>
      <c r="X105" s="68">
        <f t="shared" si="88"/>
        <v>1978580099.9999998</v>
      </c>
      <c r="Y105" s="97">
        <f t="shared" si="89"/>
        <v>1978.5800999999997</v>
      </c>
      <c r="Z105" s="138">
        <f t="shared" si="77"/>
        <v>25676.704329935998</v>
      </c>
      <c r="AA105" s="150">
        <f t="shared" si="78"/>
        <v>57612000</v>
      </c>
      <c r="AB105" s="41"/>
      <c r="AC105" s="41"/>
      <c r="AD105" s="42"/>
      <c r="AE105" s="100"/>
      <c r="AK105" s="46"/>
      <c r="AL105" s="46"/>
      <c r="AM105" s="46"/>
      <c r="AN105" s="46"/>
      <c r="AO105" s="46"/>
    </row>
    <row r="106" spans="1:41" s="60" customFormat="1" ht="15.75" thickBot="1">
      <c r="A106" s="64">
        <v>2025</v>
      </c>
      <c r="B106" s="75">
        <v>13100000</v>
      </c>
      <c r="C106" s="41">
        <f t="shared" si="90"/>
        <v>8.01589E+16</v>
      </c>
      <c r="D106" s="41">
        <f t="shared" si="91"/>
        <v>80158.899999999994</v>
      </c>
      <c r="E106" s="42">
        <f t="shared" si="61"/>
        <v>5970940270.3199997</v>
      </c>
      <c r="F106" s="83">
        <f t="shared" si="86"/>
        <v>5970.9402703199994</v>
      </c>
      <c r="G106" s="73">
        <v>43200000</v>
      </c>
      <c r="H106" s="41">
        <f t="shared" si="62"/>
        <v>2.643408E+17</v>
      </c>
      <c r="I106" s="41">
        <f t="shared" si="63"/>
        <v>264340.8</v>
      </c>
      <c r="J106" s="42">
        <f t="shared" si="64"/>
        <v>19108879223.040001</v>
      </c>
      <c r="K106" s="85">
        <f t="shared" si="65"/>
        <v>19108.879223039999</v>
      </c>
      <c r="L106" s="78">
        <v>300000</v>
      </c>
      <c r="M106" s="41">
        <f t="shared" si="66"/>
        <v>1835700000000000</v>
      </c>
      <c r="N106" s="41">
        <f t="shared" si="67"/>
        <v>1835.7</v>
      </c>
      <c r="O106" s="42">
        <f t="shared" si="68"/>
        <v>174516327.59999999</v>
      </c>
      <c r="P106" s="87">
        <f t="shared" si="69"/>
        <v>174.51632759999998</v>
      </c>
      <c r="Q106" s="88">
        <v>400000</v>
      </c>
      <c r="R106" s="41">
        <f t="shared" si="70"/>
        <v>2447600000000000</v>
      </c>
      <c r="S106" s="41">
        <f t="shared" si="71"/>
        <v>2447.6</v>
      </c>
      <c r="T106" s="42">
        <f t="shared" si="72"/>
        <v>154773496.47999999</v>
      </c>
      <c r="U106" s="98">
        <f t="shared" si="73"/>
        <v>154.77349647999998</v>
      </c>
      <c r="V106" s="81">
        <v>4400000</v>
      </c>
      <c r="W106" s="90">
        <f t="shared" si="87"/>
        <v>2697200</v>
      </c>
      <c r="X106" s="68">
        <f t="shared" si="88"/>
        <v>1955470000</v>
      </c>
      <c r="Y106" s="97">
        <f t="shared" si="89"/>
        <v>1955.47</v>
      </c>
      <c r="Z106" s="138">
        <f t="shared" si="77"/>
        <v>27364.579317439999</v>
      </c>
      <c r="AA106" s="150">
        <f t="shared" si="78"/>
        <v>61400000</v>
      </c>
      <c r="AB106" s="41"/>
      <c r="AC106" s="41"/>
      <c r="AD106" s="42"/>
      <c r="AE106" s="100"/>
      <c r="AK106" s="46"/>
      <c r="AL106" s="149"/>
      <c r="AM106" s="149"/>
      <c r="AN106" s="149"/>
      <c r="AO106" s="149"/>
    </row>
    <row r="107" spans="1:41" s="60" customFormat="1">
      <c r="A107" s="65">
        <f>+(($A$111-$A$106)/5)+(A106)</f>
        <v>2026</v>
      </c>
      <c r="B107" s="91">
        <f>+(($B$111-$B$106)/5)+(B106)</f>
        <v>14400000</v>
      </c>
      <c r="C107" s="41">
        <f t="shared" si="90"/>
        <v>8.81136E+16</v>
      </c>
      <c r="D107" s="41">
        <f t="shared" si="91"/>
        <v>88113.600000000006</v>
      </c>
      <c r="E107" s="42">
        <f t="shared" si="61"/>
        <v>6563476327.6800003</v>
      </c>
      <c r="F107" s="83">
        <f t="shared" si="86"/>
        <v>6563.4763276800004</v>
      </c>
      <c r="G107" s="93">
        <f>+(($G$111-$G$106)/5)+(G106)</f>
        <v>47540000</v>
      </c>
      <c r="H107" s="41">
        <f t="shared" si="62"/>
        <v>2.9089726E+17</v>
      </c>
      <c r="I107" s="41">
        <f t="shared" si="63"/>
        <v>290897.26</v>
      </c>
      <c r="J107" s="42">
        <f t="shared" si="64"/>
        <v>21028613848.688</v>
      </c>
      <c r="K107" s="85">
        <f t="shared" si="65"/>
        <v>21028.613848688001</v>
      </c>
      <c r="L107" s="94">
        <f>+(($L$111-$L$106)/5)+(L106)</f>
        <v>320000</v>
      </c>
      <c r="M107" s="41">
        <f t="shared" si="66"/>
        <v>1958080000000000</v>
      </c>
      <c r="N107" s="41">
        <f t="shared" si="67"/>
        <v>1958.08</v>
      </c>
      <c r="O107" s="42">
        <f t="shared" si="68"/>
        <v>186150749.44</v>
      </c>
      <c r="P107" s="87">
        <f t="shared" si="69"/>
        <v>186.15074944</v>
      </c>
      <c r="Q107" s="95">
        <f>+(($Q$111-$Q$106)/5)+(Q106)</f>
        <v>420000</v>
      </c>
      <c r="R107" s="41">
        <f t="shared" si="70"/>
        <v>2569980000000000</v>
      </c>
      <c r="S107" s="41">
        <f t="shared" si="71"/>
        <v>2569.98</v>
      </c>
      <c r="T107" s="42">
        <f t="shared" si="72"/>
        <v>162512171.30400002</v>
      </c>
      <c r="U107" s="98">
        <f t="shared" si="73"/>
        <v>162.51217130400002</v>
      </c>
      <c r="V107" s="96">
        <f>+(($V$111-$V$106)/5)+(V106)</f>
        <v>4840000</v>
      </c>
      <c r="W107" s="90">
        <f t="shared" si="87"/>
        <v>2966920</v>
      </c>
      <c r="X107" s="68">
        <f t="shared" si="88"/>
        <v>2151017000</v>
      </c>
      <c r="Y107" s="97">
        <f t="shared" si="89"/>
        <v>2151.0169999999998</v>
      </c>
      <c r="Z107" s="138">
        <f t="shared" si="77"/>
        <v>30091.770097111999</v>
      </c>
      <c r="AA107" s="150">
        <f t="shared" si="78"/>
        <v>67520000</v>
      </c>
      <c r="AB107" s="41"/>
      <c r="AC107" s="41"/>
      <c r="AD107" s="42"/>
      <c r="AE107" s="100"/>
      <c r="AK107" s="46"/>
      <c r="AL107" s="46"/>
      <c r="AM107" s="46"/>
      <c r="AN107" s="46"/>
      <c r="AO107" s="46"/>
    </row>
    <row r="108" spans="1:41" s="60" customFormat="1">
      <c r="A108" s="65">
        <f t="shared" ref="A108:A110" si="100">+(($A$111-$A$106)/5)+(A107)</f>
        <v>2027</v>
      </c>
      <c r="B108" s="91">
        <f t="shared" ref="B108:B110" si="101">+(($B$111-$B$106)/5)+(B107)</f>
        <v>15700000</v>
      </c>
      <c r="C108" s="41">
        <f t="shared" si="90"/>
        <v>9.60683E+16</v>
      </c>
      <c r="D108" s="41">
        <f t="shared" si="91"/>
        <v>96068.3</v>
      </c>
      <c r="E108" s="42">
        <f t="shared" si="61"/>
        <v>7156012385.0400009</v>
      </c>
      <c r="F108" s="83">
        <f t="shared" si="86"/>
        <v>7156.0123850400005</v>
      </c>
      <c r="G108" s="93">
        <f t="shared" ref="G108:G110" si="102">+(($G$111-$G$106)/5)+(G107)</f>
        <v>51880000</v>
      </c>
      <c r="H108" s="41">
        <f t="shared" si="62"/>
        <v>3.1745372E+17</v>
      </c>
      <c r="I108" s="41">
        <f t="shared" si="63"/>
        <v>317453.71999999997</v>
      </c>
      <c r="J108" s="42">
        <f t="shared" si="64"/>
        <v>22948348474.335999</v>
      </c>
      <c r="K108" s="85">
        <f t="shared" si="65"/>
        <v>22948.348474335999</v>
      </c>
      <c r="L108" s="94">
        <f t="shared" ref="L108:L110" si="103">+(($L$111-$L$106)/5)+(L107)</f>
        <v>340000</v>
      </c>
      <c r="M108" s="41">
        <f t="shared" si="66"/>
        <v>2080460000000000</v>
      </c>
      <c r="N108" s="41">
        <f t="shared" si="67"/>
        <v>2080.46</v>
      </c>
      <c r="O108" s="42">
        <f t="shared" si="68"/>
        <v>197785171.28</v>
      </c>
      <c r="P108" s="87">
        <f t="shared" si="69"/>
        <v>197.78517128000001</v>
      </c>
      <c r="Q108" s="95">
        <f>+(($Q$111-$Q$106)/5)+(Q107)</f>
        <v>440000</v>
      </c>
      <c r="R108" s="41">
        <f t="shared" si="70"/>
        <v>2692360000000000</v>
      </c>
      <c r="S108" s="41">
        <f t="shared" si="71"/>
        <v>2692.36</v>
      </c>
      <c r="T108" s="42">
        <f t="shared" si="72"/>
        <v>170250846.12800002</v>
      </c>
      <c r="U108" s="98">
        <f t="shared" si="73"/>
        <v>170.25084612800003</v>
      </c>
      <c r="V108" s="96">
        <f>+(($V$111-$V$106)/5)+(V107)</f>
        <v>5280000</v>
      </c>
      <c r="W108" s="90">
        <f t="shared" si="87"/>
        <v>3236640</v>
      </c>
      <c r="X108" s="68">
        <f t="shared" si="88"/>
        <v>2346564000</v>
      </c>
      <c r="Y108" s="97">
        <f t="shared" si="89"/>
        <v>2346.5639999999999</v>
      </c>
      <c r="Z108" s="138">
        <f t="shared" si="77"/>
        <v>32818.960876784004</v>
      </c>
      <c r="AA108" s="150">
        <f t="shared" si="78"/>
        <v>73640000</v>
      </c>
      <c r="AB108" s="41"/>
      <c r="AC108" s="41"/>
      <c r="AD108" s="42"/>
      <c r="AE108" s="100"/>
      <c r="AK108" s="46"/>
      <c r="AL108" s="46"/>
      <c r="AM108" s="46"/>
      <c r="AN108" s="46"/>
      <c r="AO108" s="46"/>
    </row>
    <row r="109" spans="1:41" s="60" customFormat="1">
      <c r="A109" s="65">
        <f t="shared" si="100"/>
        <v>2028</v>
      </c>
      <c r="B109" s="91">
        <f t="shared" si="101"/>
        <v>17000000</v>
      </c>
      <c r="C109" s="41">
        <f t="shared" si="90"/>
        <v>1.04023E+17</v>
      </c>
      <c r="D109" s="41">
        <f t="shared" si="91"/>
        <v>104023</v>
      </c>
      <c r="E109" s="42">
        <f t="shared" si="61"/>
        <v>7748548442.4000006</v>
      </c>
      <c r="F109" s="83">
        <f t="shared" si="86"/>
        <v>7748.5484424000006</v>
      </c>
      <c r="G109" s="93">
        <f t="shared" si="102"/>
        <v>56220000</v>
      </c>
      <c r="H109" s="41">
        <f t="shared" si="62"/>
        <v>3.4401018E+17</v>
      </c>
      <c r="I109" s="41">
        <f t="shared" si="63"/>
        <v>344010.18</v>
      </c>
      <c r="J109" s="42">
        <f t="shared" si="64"/>
        <v>24868083099.984001</v>
      </c>
      <c r="K109" s="85">
        <f t="shared" si="65"/>
        <v>24868.083099984</v>
      </c>
      <c r="L109" s="94">
        <f t="shared" si="103"/>
        <v>360000</v>
      </c>
      <c r="M109" s="41">
        <f t="shared" si="66"/>
        <v>2202840000000000</v>
      </c>
      <c r="N109" s="41">
        <f t="shared" si="67"/>
        <v>2202.84</v>
      </c>
      <c r="O109" s="42">
        <f t="shared" si="68"/>
        <v>209419593.12</v>
      </c>
      <c r="P109" s="87">
        <f t="shared" si="69"/>
        <v>209.41959312</v>
      </c>
      <c r="Q109" s="95">
        <f>+(($Q$111-$Q$106)/5)+(Q108)</f>
        <v>460000</v>
      </c>
      <c r="R109" s="41">
        <f t="shared" si="70"/>
        <v>2814740000000000</v>
      </c>
      <c r="S109" s="41">
        <f t="shared" si="71"/>
        <v>2814.74</v>
      </c>
      <c r="T109" s="42">
        <f t="shared" si="72"/>
        <v>177989520.95199999</v>
      </c>
      <c r="U109" s="98">
        <f t="shared" si="73"/>
        <v>177.98952095199999</v>
      </c>
      <c r="V109" s="96">
        <f>+(($V$111-$V$106)/5)+(V108)</f>
        <v>5720000</v>
      </c>
      <c r="W109" s="90">
        <f t="shared" si="87"/>
        <v>3506360</v>
      </c>
      <c r="X109" s="68">
        <f t="shared" si="88"/>
        <v>2542111000</v>
      </c>
      <c r="Y109" s="97">
        <f t="shared" si="89"/>
        <v>2542.1109999999999</v>
      </c>
      <c r="Z109" s="138">
        <f t="shared" si="77"/>
        <v>35546.151656455993</v>
      </c>
      <c r="AA109" s="150">
        <f t="shared" si="78"/>
        <v>79760000</v>
      </c>
      <c r="AB109" s="41"/>
      <c r="AC109" s="41"/>
      <c r="AD109" s="42"/>
      <c r="AE109" s="100"/>
      <c r="AK109" s="46"/>
      <c r="AL109" s="46"/>
      <c r="AM109" s="46"/>
      <c r="AN109" s="46"/>
      <c r="AO109" s="46"/>
    </row>
    <row r="110" spans="1:41" s="60" customFormat="1">
      <c r="A110" s="65">
        <f t="shared" si="100"/>
        <v>2029</v>
      </c>
      <c r="B110" s="91">
        <f t="shared" si="101"/>
        <v>18300000</v>
      </c>
      <c r="C110" s="41">
        <f t="shared" si="90"/>
        <v>1.119777E+17</v>
      </c>
      <c r="D110" s="41">
        <f t="shared" si="91"/>
        <v>111977.7</v>
      </c>
      <c r="E110" s="42">
        <f t="shared" si="61"/>
        <v>8341084499.7600002</v>
      </c>
      <c r="F110" s="83">
        <f t="shared" si="86"/>
        <v>8341.0844997599997</v>
      </c>
      <c r="G110" s="93">
        <f t="shared" si="102"/>
        <v>60560000</v>
      </c>
      <c r="H110" s="41">
        <f t="shared" si="62"/>
        <v>3.7056664E+17</v>
      </c>
      <c r="I110" s="41">
        <f t="shared" si="63"/>
        <v>370566.64</v>
      </c>
      <c r="J110" s="42">
        <f t="shared" si="64"/>
        <v>26787817725.632004</v>
      </c>
      <c r="K110" s="85">
        <f t="shared" si="65"/>
        <v>26787.817725632005</v>
      </c>
      <c r="L110" s="94">
        <f t="shared" si="103"/>
        <v>380000</v>
      </c>
      <c r="M110" s="41">
        <f t="shared" si="66"/>
        <v>2325220000000000</v>
      </c>
      <c r="N110" s="41">
        <f t="shared" si="67"/>
        <v>2325.2199999999998</v>
      </c>
      <c r="O110" s="42">
        <f t="shared" si="68"/>
        <v>221054014.95999998</v>
      </c>
      <c r="P110" s="87">
        <f t="shared" si="69"/>
        <v>221.05401495999999</v>
      </c>
      <c r="Q110" s="95">
        <f>+(($Q$111-$Q$106)/5)+(Q109)</f>
        <v>480000</v>
      </c>
      <c r="R110" s="41">
        <f t="shared" si="70"/>
        <v>2937120000000000</v>
      </c>
      <c r="S110" s="41">
        <f t="shared" si="71"/>
        <v>2937.12</v>
      </c>
      <c r="T110" s="42">
        <f t="shared" si="72"/>
        <v>185728195.77599999</v>
      </c>
      <c r="U110" s="98">
        <f t="shared" si="73"/>
        <v>185.72819577600001</v>
      </c>
      <c r="V110" s="96">
        <f>+(($V$111-$V$106)/5)+(V109)</f>
        <v>6160000</v>
      </c>
      <c r="W110" s="90">
        <f t="shared" si="87"/>
        <v>3776080</v>
      </c>
      <c r="X110" s="68">
        <f t="shared" si="88"/>
        <v>2737658000</v>
      </c>
      <c r="Y110" s="97">
        <f t="shared" si="89"/>
        <v>2737.6579999999999</v>
      </c>
      <c r="Z110" s="138">
        <f t="shared" si="77"/>
        <v>38273.342436128005</v>
      </c>
      <c r="AA110" s="150">
        <f t="shared" si="78"/>
        <v>85880000</v>
      </c>
      <c r="AB110" s="41"/>
      <c r="AC110" s="41"/>
      <c r="AD110" s="42"/>
      <c r="AE110" s="100"/>
      <c r="AK110" s="46"/>
      <c r="AL110" s="46"/>
      <c r="AM110" s="46"/>
      <c r="AN110" s="46"/>
      <c r="AO110" s="46"/>
    </row>
    <row r="111" spans="1:41" s="60" customFormat="1" ht="15.75" thickBot="1">
      <c r="A111" s="64">
        <v>2030</v>
      </c>
      <c r="B111" s="75">
        <v>19600000</v>
      </c>
      <c r="C111" s="41">
        <f t="shared" si="90"/>
        <v>1.199324E+17</v>
      </c>
      <c r="D111" s="41">
        <f t="shared" si="91"/>
        <v>119932.4</v>
      </c>
      <c r="E111" s="42">
        <f t="shared" si="61"/>
        <v>8933620557.1200008</v>
      </c>
      <c r="F111" s="83">
        <f t="shared" si="86"/>
        <v>8933.6205571200007</v>
      </c>
      <c r="G111" s="73">
        <v>64900000</v>
      </c>
      <c r="H111" s="41">
        <f t="shared" si="62"/>
        <v>3.971231E+17</v>
      </c>
      <c r="I111" s="41">
        <f t="shared" si="63"/>
        <v>397123.1</v>
      </c>
      <c r="J111" s="42">
        <f t="shared" si="64"/>
        <v>28707552351.279999</v>
      </c>
      <c r="K111" s="85">
        <f t="shared" si="65"/>
        <v>28707.552351279999</v>
      </c>
      <c r="L111" s="78">
        <v>400000</v>
      </c>
      <c r="M111" s="41">
        <f t="shared" si="66"/>
        <v>2447600000000000</v>
      </c>
      <c r="N111" s="41">
        <f t="shared" si="67"/>
        <v>2447.6</v>
      </c>
      <c r="O111" s="42">
        <f t="shared" si="68"/>
        <v>232688436.79999998</v>
      </c>
      <c r="P111" s="87">
        <f t="shared" si="69"/>
        <v>232.68843679999998</v>
      </c>
      <c r="Q111" s="88">
        <v>500000</v>
      </c>
      <c r="R111" s="41">
        <f t="shared" si="70"/>
        <v>3059500000000000</v>
      </c>
      <c r="S111" s="41">
        <f t="shared" si="71"/>
        <v>3059.5</v>
      </c>
      <c r="T111" s="42">
        <f t="shared" si="72"/>
        <v>193466870.59999999</v>
      </c>
      <c r="U111" s="98">
        <f t="shared" si="73"/>
        <v>193.46687059999999</v>
      </c>
      <c r="V111" s="81">
        <v>6600000</v>
      </c>
      <c r="W111" s="90">
        <f t="shared" si="87"/>
        <v>4045800</v>
      </c>
      <c r="X111" s="68">
        <f t="shared" si="88"/>
        <v>2933205000</v>
      </c>
      <c r="Y111" s="97">
        <f t="shared" si="89"/>
        <v>2933.2049999999999</v>
      </c>
      <c r="Z111" s="138">
        <f t="shared" si="77"/>
        <v>41000.533215800002</v>
      </c>
      <c r="AA111" s="150">
        <f t="shared" si="78"/>
        <v>92000000</v>
      </c>
      <c r="AB111" s="41"/>
      <c r="AC111" s="41"/>
      <c r="AD111" s="42"/>
      <c r="AE111" s="100"/>
      <c r="AK111" s="46"/>
      <c r="AL111" s="149"/>
      <c r="AM111" s="149"/>
      <c r="AN111" s="149"/>
      <c r="AO111" s="149"/>
    </row>
    <row r="112" spans="1:41" s="49" customFormat="1">
      <c r="A112" s="151"/>
      <c r="B112" s="151">
        <f>B111/$AA$111</f>
        <v>0.21304347826086956</v>
      </c>
      <c r="C112" s="152"/>
      <c r="D112" s="152"/>
      <c r="E112" s="153"/>
      <c r="F112" s="153"/>
      <c r="G112" s="151">
        <f>G111/$AA$111</f>
        <v>0.70543478260869563</v>
      </c>
      <c r="H112" s="151"/>
      <c r="I112" s="151"/>
      <c r="J112" s="151"/>
      <c r="K112" s="151"/>
      <c r="L112" s="176">
        <f>L111/$AA$111</f>
        <v>4.3478260869565218E-3</v>
      </c>
      <c r="M112" s="154"/>
      <c r="N112" s="154"/>
      <c r="O112" s="154"/>
      <c r="P112" s="154"/>
      <c r="Q112" s="151">
        <f>Q111/$AA$111</f>
        <v>5.434782608695652E-3</v>
      </c>
      <c r="R112" s="155"/>
      <c r="S112" s="155"/>
      <c r="T112" s="155"/>
      <c r="U112" s="151"/>
      <c r="V112" s="151">
        <f>V111/$AA$111</f>
        <v>7.1739130434782611E-2</v>
      </c>
      <c r="W112" s="155"/>
      <c r="X112" s="155"/>
      <c r="Y112" s="155"/>
      <c r="Z112" s="155"/>
      <c r="AA112" s="151">
        <f>AA111/$AA$111</f>
        <v>1</v>
      </c>
      <c r="AD112" s="49" t="s">
        <v>130</v>
      </c>
      <c r="AE112" s="49" t="s">
        <v>133</v>
      </c>
      <c r="AK112" s="156"/>
      <c r="AL112" s="156"/>
      <c r="AM112" s="156"/>
      <c r="AN112" s="156"/>
      <c r="AO112" s="156"/>
    </row>
    <row r="113" spans="1:41" s="49" customFormat="1">
      <c r="A113" s="155"/>
      <c r="B113" s="155"/>
      <c r="C113" s="155"/>
      <c r="D113" s="155"/>
      <c r="E113" s="155"/>
      <c r="F113" s="155">
        <f>F111/$Z$111</f>
        <v>0.21789035059859496</v>
      </c>
      <c r="G113" s="155"/>
      <c r="H113" s="155"/>
      <c r="I113" s="155"/>
      <c r="J113" s="155"/>
      <c r="K113" s="155">
        <f>K111/$Z$111</f>
        <v>0.70017509772817377</v>
      </c>
      <c r="L113" s="155"/>
      <c r="M113" s="155"/>
      <c r="N113" s="155"/>
      <c r="O113" s="155"/>
      <c r="P113" s="155">
        <f>P111/$Z$111</f>
        <v>5.6752539186571103E-3</v>
      </c>
      <c r="Q113" s="155"/>
      <c r="R113" s="155"/>
      <c r="S113" s="155"/>
      <c r="T113" s="155"/>
      <c r="U113" s="155">
        <f>U111/$Z$111</f>
        <v>4.7186427937831168E-3</v>
      </c>
      <c r="V113" s="155"/>
      <c r="W113" s="155"/>
      <c r="X113" s="155"/>
      <c r="Y113" s="155">
        <f>Y111/$Z$111</f>
        <v>7.1540654960791039E-2</v>
      </c>
      <c r="Z113" s="155"/>
      <c r="AA113" s="155"/>
      <c r="AK113" s="156"/>
      <c r="AL113" s="156"/>
      <c r="AM113" s="156"/>
      <c r="AN113" s="156"/>
      <c r="AO113" s="156"/>
    </row>
    <row r="114" spans="1:41">
      <c r="AK114" s="4"/>
      <c r="AL114" s="4"/>
      <c r="AM114" s="4"/>
      <c r="AN114" s="4"/>
      <c r="AO114" s="4"/>
    </row>
    <row r="145" spans="1:10" ht="21">
      <c r="A145" s="118" t="s">
        <v>152</v>
      </c>
    </row>
    <row r="146" spans="1:10" ht="15.75" thickBot="1"/>
    <row r="147" spans="1:10">
      <c r="A147" s="119"/>
      <c r="B147" s="193" t="s">
        <v>157</v>
      </c>
      <c r="C147" s="194"/>
      <c r="D147" s="194"/>
      <c r="E147" s="194"/>
      <c r="F147" s="194"/>
      <c r="G147" s="194"/>
    </row>
    <row r="148" spans="1:10" ht="107.25" customHeight="1">
      <c r="A148" s="123" t="s">
        <v>153</v>
      </c>
      <c r="B148" s="123" t="s">
        <v>154</v>
      </c>
      <c r="C148" s="123" t="s">
        <v>155</v>
      </c>
      <c r="D148" s="123" t="s">
        <v>139</v>
      </c>
      <c r="E148" s="177" t="s">
        <v>159</v>
      </c>
      <c r="F148" s="123" t="s">
        <v>158</v>
      </c>
      <c r="G148" s="177" t="s">
        <v>177</v>
      </c>
      <c r="H148" s="123" t="s">
        <v>156</v>
      </c>
      <c r="I148" s="203" t="s">
        <v>183</v>
      </c>
      <c r="J148" s="204" t="s">
        <v>184</v>
      </c>
    </row>
    <row r="149" spans="1:10">
      <c r="A149" s="120">
        <f t="shared" ref="A149:A169" si="104">A91</f>
        <v>2010</v>
      </c>
      <c r="B149" s="122">
        <f>P33</f>
        <v>6115.99464068</v>
      </c>
      <c r="C149" s="122">
        <v>7349.04</v>
      </c>
      <c r="D149" s="122">
        <f t="shared" ref="D149:D169" si="105">Z91</f>
        <v>8024.3030821200009</v>
      </c>
      <c r="E149" s="178">
        <f t="shared" ref="E149:E169" si="106">B149+D149</f>
        <v>14140.297722800002</v>
      </c>
      <c r="F149" s="9">
        <f t="shared" ref="F149:F169" si="107">L5</f>
        <v>12105.257106360001</v>
      </c>
      <c r="G149" s="178">
        <f>F149+E149</f>
        <v>26245.554829160003</v>
      </c>
      <c r="H149" s="9">
        <f>E149+F149</f>
        <v>26245.554829160003</v>
      </c>
      <c r="I149" s="205">
        <f>E149*1000</f>
        <v>14140297.722800002</v>
      </c>
      <c r="J149" s="205">
        <f>F149*1000</f>
        <v>12105257.106360001</v>
      </c>
    </row>
    <row r="150" spans="1:10">
      <c r="A150" s="120">
        <f t="shared" si="104"/>
        <v>2011</v>
      </c>
      <c r="B150" s="122">
        <f t="shared" ref="B150:B168" si="108">P34</f>
        <v>6408.3439304480007</v>
      </c>
      <c r="C150" s="122">
        <v>7350.04</v>
      </c>
      <c r="D150" s="122">
        <f t="shared" si="105"/>
        <v>8833.8805578400006</v>
      </c>
      <c r="E150" s="178">
        <f t="shared" si="106"/>
        <v>15242.224488288</v>
      </c>
      <c r="F150" s="9">
        <f t="shared" si="107"/>
        <v>12985.639441368001</v>
      </c>
      <c r="G150" s="178">
        <f t="shared" ref="G150:G169" si="109">F150+E150</f>
        <v>28227.863929656</v>
      </c>
      <c r="H150" s="9">
        <f t="shared" ref="H150:H169" si="110">E150+F150</f>
        <v>28227.863929656</v>
      </c>
      <c r="I150" s="205">
        <f t="shared" ref="I150:I169" si="111">E150*1000</f>
        <v>15242224.488288</v>
      </c>
      <c r="J150" s="205">
        <f t="shared" ref="J150:J169" si="112">F150*1000</f>
        <v>12985639.441368001</v>
      </c>
    </row>
    <row r="151" spans="1:10">
      <c r="A151" s="120">
        <f t="shared" si="104"/>
        <v>2012</v>
      </c>
      <c r="B151" s="122">
        <f t="shared" si="108"/>
        <v>6709.0199554159999</v>
      </c>
      <c r="C151" s="122">
        <v>7351.04</v>
      </c>
      <c r="D151" s="122">
        <f t="shared" si="105"/>
        <v>9643.4580335600021</v>
      </c>
      <c r="E151" s="178">
        <f t="shared" si="106"/>
        <v>16352.477988976003</v>
      </c>
      <c r="F151" s="9">
        <f t="shared" si="107"/>
        <v>13866.021776376001</v>
      </c>
      <c r="G151" s="178">
        <f t="shared" si="109"/>
        <v>30218.499765352004</v>
      </c>
      <c r="H151" s="9">
        <f t="shared" si="110"/>
        <v>30218.499765352004</v>
      </c>
      <c r="I151" s="205">
        <f t="shared" si="111"/>
        <v>16352477.988976004</v>
      </c>
      <c r="J151" s="205">
        <f t="shared" si="112"/>
        <v>13866021.776376002</v>
      </c>
    </row>
    <row r="152" spans="1:10">
      <c r="A152" s="120">
        <f t="shared" si="104"/>
        <v>2013</v>
      </c>
      <c r="B152" s="122">
        <f t="shared" si="108"/>
        <v>7009.6959803840018</v>
      </c>
      <c r="C152" s="122">
        <v>7352.04</v>
      </c>
      <c r="D152" s="122">
        <f t="shared" si="105"/>
        <v>10453.035509280002</v>
      </c>
      <c r="E152" s="178">
        <f t="shared" si="106"/>
        <v>17462.731489664002</v>
      </c>
      <c r="F152" s="9">
        <f t="shared" si="107"/>
        <v>14746.404111383999</v>
      </c>
      <c r="G152" s="178">
        <f t="shared" si="109"/>
        <v>32209.135601048001</v>
      </c>
      <c r="H152" s="9">
        <f t="shared" si="110"/>
        <v>32209.135601048001</v>
      </c>
      <c r="I152" s="205">
        <f t="shared" si="111"/>
        <v>17462731.489664003</v>
      </c>
      <c r="J152" s="205">
        <f t="shared" si="112"/>
        <v>14746404.111383999</v>
      </c>
    </row>
    <row r="153" spans="1:10">
      <c r="A153" s="120">
        <f t="shared" si="104"/>
        <v>2014</v>
      </c>
      <c r="B153" s="122">
        <f t="shared" si="108"/>
        <v>7310.3720053519992</v>
      </c>
      <c r="C153" s="122">
        <v>7353.04</v>
      </c>
      <c r="D153" s="122">
        <f t="shared" si="105"/>
        <v>11262.612985</v>
      </c>
      <c r="E153" s="178">
        <f t="shared" si="106"/>
        <v>18572.984990352001</v>
      </c>
      <c r="F153" s="9">
        <f t="shared" si="107"/>
        <v>15626.786446392001</v>
      </c>
      <c r="G153" s="178">
        <f t="shared" si="109"/>
        <v>34199.771436744006</v>
      </c>
      <c r="H153" s="9">
        <f t="shared" si="110"/>
        <v>34199.771436744006</v>
      </c>
      <c r="I153" s="205">
        <f t="shared" si="111"/>
        <v>18572984.990352001</v>
      </c>
      <c r="J153" s="205">
        <f t="shared" si="112"/>
        <v>15626786.446392002</v>
      </c>
    </row>
    <row r="154" spans="1:10">
      <c r="A154" s="120">
        <f t="shared" si="104"/>
        <v>2015</v>
      </c>
      <c r="B154" s="122">
        <f t="shared" si="108"/>
        <v>7611.0480303200002</v>
      </c>
      <c r="C154" s="122">
        <v>7354.04</v>
      </c>
      <c r="D154" s="122">
        <f t="shared" si="105"/>
        <v>12072.190460719998</v>
      </c>
      <c r="E154" s="178">
        <f t="shared" si="106"/>
        <v>19683.23849104</v>
      </c>
      <c r="F154" s="9">
        <f t="shared" si="107"/>
        <v>16507.1687814</v>
      </c>
      <c r="G154" s="178">
        <f t="shared" si="109"/>
        <v>36190.407272440003</v>
      </c>
      <c r="H154" s="9">
        <f t="shared" si="110"/>
        <v>36190.407272440003</v>
      </c>
      <c r="I154" s="205">
        <f t="shared" si="111"/>
        <v>19683238.491039999</v>
      </c>
      <c r="J154" s="205">
        <f t="shared" si="112"/>
        <v>16507168.781399999</v>
      </c>
    </row>
    <row r="155" spans="1:10">
      <c r="A155" s="120">
        <f t="shared" si="104"/>
        <v>2016</v>
      </c>
      <c r="B155" s="122">
        <f t="shared" si="108"/>
        <v>7776.9412828559998</v>
      </c>
      <c r="C155" s="122">
        <v>7355.04</v>
      </c>
      <c r="D155" s="122">
        <f t="shared" si="105"/>
        <v>13286.355644560001</v>
      </c>
      <c r="E155" s="178">
        <f t="shared" si="106"/>
        <v>21063.296927415999</v>
      </c>
      <c r="F155" s="9">
        <f t="shared" si="107"/>
        <v>18187.598862688003</v>
      </c>
      <c r="G155" s="178">
        <f t="shared" si="109"/>
        <v>39250.895790103998</v>
      </c>
      <c r="H155" s="9">
        <f t="shared" si="110"/>
        <v>39250.895790103998</v>
      </c>
      <c r="I155" s="205">
        <f t="shared" si="111"/>
        <v>21063296.927415997</v>
      </c>
      <c r="J155" s="205">
        <f t="shared" si="112"/>
        <v>18187598.862688001</v>
      </c>
    </row>
    <row r="156" spans="1:10">
      <c r="A156" s="120">
        <f t="shared" si="104"/>
        <v>2017</v>
      </c>
      <c r="B156" s="122">
        <f t="shared" si="108"/>
        <v>7942.8345353920004</v>
      </c>
      <c r="C156" s="122">
        <v>7356.04</v>
      </c>
      <c r="D156" s="122">
        <f t="shared" si="105"/>
        <v>14500.520828399998</v>
      </c>
      <c r="E156" s="178">
        <f t="shared" si="106"/>
        <v>22443.355363791998</v>
      </c>
      <c r="F156" s="9">
        <f t="shared" si="107"/>
        <v>19017.149777114246</v>
      </c>
      <c r="G156" s="178">
        <f t="shared" si="109"/>
        <v>41460.505140906243</v>
      </c>
      <c r="H156" s="9">
        <f t="shared" si="110"/>
        <v>41460.505140906243</v>
      </c>
      <c r="I156" s="205">
        <f t="shared" si="111"/>
        <v>22443355.363791998</v>
      </c>
      <c r="J156" s="205">
        <f t="shared" si="112"/>
        <v>19017149.777114246</v>
      </c>
    </row>
    <row r="157" spans="1:10">
      <c r="A157" s="120">
        <f t="shared" si="104"/>
        <v>2018</v>
      </c>
      <c r="B157" s="122">
        <f t="shared" si="108"/>
        <v>8108.727787928</v>
      </c>
      <c r="C157" s="122">
        <v>7357.04</v>
      </c>
      <c r="D157" s="122">
        <f t="shared" si="105"/>
        <v>15714.686012240001</v>
      </c>
      <c r="E157" s="178">
        <f t="shared" si="106"/>
        <v>23823.413800168</v>
      </c>
      <c r="F157" s="9">
        <f t="shared" si="107"/>
        <v>19846.700691540493</v>
      </c>
      <c r="G157" s="178">
        <f t="shared" si="109"/>
        <v>43670.114491708489</v>
      </c>
      <c r="H157" s="9">
        <f t="shared" si="110"/>
        <v>43670.114491708489</v>
      </c>
      <c r="I157" s="205">
        <f t="shared" si="111"/>
        <v>23823413.800168</v>
      </c>
      <c r="J157" s="205">
        <f t="shared" si="112"/>
        <v>19846700.691540495</v>
      </c>
    </row>
    <row r="158" spans="1:10">
      <c r="A158" s="120">
        <f t="shared" si="104"/>
        <v>2019</v>
      </c>
      <c r="B158" s="122">
        <f t="shared" si="108"/>
        <v>8274.6210404640005</v>
      </c>
      <c r="C158" s="122">
        <v>7358.04</v>
      </c>
      <c r="D158" s="122">
        <f t="shared" si="105"/>
        <v>16928.851196080002</v>
      </c>
      <c r="E158" s="178">
        <f t="shared" si="106"/>
        <v>25203.472236544003</v>
      </c>
      <c r="F158" s="9">
        <f t="shared" si="107"/>
        <v>20676.25160596674</v>
      </c>
      <c r="G158" s="178">
        <f t="shared" si="109"/>
        <v>45879.723842510743</v>
      </c>
      <c r="H158" s="9">
        <f t="shared" si="110"/>
        <v>45879.723842510743</v>
      </c>
      <c r="I158" s="205">
        <f t="shared" si="111"/>
        <v>25203472.236544002</v>
      </c>
      <c r="J158" s="205">
        <f t="shared" si="112"/>
        <v>20676251.605966739</v>
      </c>
    </row>
    <row r="159" spans="1:10">
      <c r="A159" s="120">
        <f t="shared" si="104"/>
        <v>2020</v>
      </c>
      <c r="B159" s="122">
        <f t="shared" si="108"/>
        <v>8440.5142930000002</v>
      </c>
      <c r="C159" s="122">
        <v>7359.04</v>
      </c>
      <c r="D159" s="122">
        <f t="shared" si="105"/>
        <v>18143.016379920002</v>
      </c>
      <c r="E159" s="178">
        <f t="shared" si="106"/>
        <v>26583.530672920002</v>
      </c>
      <c r="F159" s="9">
        <f t="shared" si="107"/>
        <v>22539.174958399999</v>
      </c>
      <c r="G159" s="178">
        <f t="shared" si="109"/>
        <v>49122.705631320001</v>
      </c>
      <c r="H159" s="9">
        <f t="shared" si="110"/>
        <v>49122.705631320001</v>
      </c>
      <c r="I159" s="205">
        <f t="shared" si="111"/>
        <v>26583530.672920004</v>
      </c>
      <c r="J159" s="205">
        <f t="shared" si="112"/>
        <v>22539174.9584</v>
      </c>
    </row>
    <row r="160" spans="1:10">
      <c r="A160" s="120">
        <f t="shared" si="104"/>
        <v>2021</v>
      </c>
      <c r="B160" s="122">
        <f t="shared" si="108"/>
        <v>8730.2263427199996</v>
      </c>
      <c r="C160" s="122">
        <v>7360.04</v>
      </c>
      <c r="D160" s="122">
        <f t="shared" si="105"/>
        <v>20026.438367423998</v>
      </c>
      <c r="E160" s="178">
        <f t="shared" si="106"/>
        <v>28756.664710143996</v>
      </c>
      <c r="F160" s="9">
        <f t="shared" si="107"/>
        <v>24176.651421959999</v>
      </c>
      <c r="G160" s="178">
        <f t="shared" si="109"/>
        <v>52933.316132103995</v>
      </c>
      <c r="H160" s="9">
        <f t="shared" si="110"/>
        <v>52933.316132103995</v>
      </c>
      <c r="I160" s="205">
        <f t="shared" si="111"/>
        <v>28756664.710143995</v>
      </c>
      <c r="J160" s="205">
        <f t="shared" si="112"/>
        <v>24176651.42196</v>
      </c>
    </row>
    <row r="161" spans="1:10">
      <c r="A161" s="120">
        <f t="shared" si="104"/>
        <v>2022</v>
      </c>
      <c r="B161" s="122">
        <f t="shared" si="108"/>
        <v>8911.5969449040003</v>
      </c>
      <c r="C161" s="122">
        <v>7361.04</v>
      </c>
      <c r="D161" s="122">
        <f t="shared" si="105"/>
        <v>21909.860354928001</v>
      </c>
      <c r="E161" s="178">
        <f t="shared" si="106"/>
        <v>30821.457299832</v>
      </c>
      <c r="F161" s="9">
        <f t="shared" si="107"/>
        <v>25814.127885520003</v>
      </c>
      <c r="G161" s="178">
        <f t="shared" si="109"/>
        <v>56635.585185352</v>
      </c>
      <c r="H161" s="9">
        <f t="shared" si="110"/>
        <v>56635.585185352</v>
      </c>
      <c r="I161" s="205">
        <f t="shared" si="111"/>
        <v>30821457.299832001</v>
      </c>
      <c r="J161" s="205">
        <f t="shared" si="112"/>
        <v>25814127.885520004</v>
      </c>
    </row>
    <row r="162" spans="1:10">
      <c r="A162" s="120">
        <f t="shared" si="104"/>
        <v>2023</v>
      </c>
      <c r="B162" s="122">
        <f t="shared" si="108"/>
        <v>9092.9675470879993</v>
      </c>
      <c r="C162" s="122">
        <v>7362.04</v>
      </c>
      <c r="D162" s="122">
        <f t="shared" si="105"/>
        <v>23793.282342432001</v>
      </c>
      <c r="E162" s="178">
        <f t="shared" si="106"/>
        <v>32886.249889519997</v>
      </c>
      <c r="F162" s="9">
        <f t="shared" si="107"/>
        <v>27451.604349080004</v>
      </c>
      <c r="G162" s="178">
        <f t="shared" si="109"/>
        <v>60337.854238600004</v>
      </c>
      <c r="H162" s="9">
        <f t="shared" si="110"/>
        <v>60337.854238600004</v>
      </c>
      <c r="I162" s="205">
        <f t="shared" si="111"/>
        <v>32886249.889519997</v>
      </c>
      <c r="J162" s="205">
        <f t="shared" si="112"/>
        <v>27451604.349080004</v>
      </c>
    </row>
    <row r="163" spans="1:10">
      <c r="A163" s="120">
        <f t="shared" si="104"/>
        <v>2024</v>
      </c>
      <c r="B163" s="122">
        <f t="shared" si="108"/>
        <v>9274.338149272</v>
      </c>
      <c r="C163" s="122">
        <v>7363.04</v>
      </c>
      <c r="D163" s="122">
        <f t="shared" si="105"/>
        <v>25676.704329935998</v>
      </c>
      <c r="E163" s="178">
        <f t="shared" si="106"/>
        <v>34951.042479208001</v>
      </c>
      <c r="F163" s="9">
        <f t="shared" si="107"/>
        <v>29089.080812640001</v>
      </c>
      <c r="G163" s="178">
        <f t="shared" si="109"/>
        <v>64040.123291848002</v>
      </c>
      <c r="H163" s="9">
        <f t="shared" si="110"/>
        <v>64040.123291848002</v>
      </c>
      <c r="I163" s="205">
        <f t="shared" si="111"/>
        <v>34951042.479208</v>
      </c>
      <c r="J163" s="205">
        <f t="shared" si="112"/>
        <v>29089080.81264</v>
      </c>
    </row>
    <row r="164" spans="1:10">
      <c r="A164" s="120">
        <f t="shared" si="104"/>
        <v>2025</v>
      </c>
      <c r="B164" s="122">
        <f t="shared" si="108"/>
        <v>9347.3673039200003</v>
      </c>
      <c r="C164" s="122">
        <v>7364.04</v>
      </c>
      <c r="D164" s="122">
        <f t="shared" si="105"/>
        <v>27364.579317439999</v>
      </c>
      <c r="E164" s="178">
        <f t="shared" si="106"/>
        <v>36711.946621359995</v>
      </c>
      <c r="F164" s="9">
        <f t="shared" si="107"/>
        <v>30726.557276200001</v>
      </c>
      <c r="G164" s="178">
        <f t="shared" si="109"/>
        <v>67438.503897560004</v>
      </c>
      <c r="H164" s="9">
        <f t="shared" si="110"/>
        <v>67438.503897560004</v>
      </c>
      <c r="I164" s="205">
        <f t="shared" si="111"/>
        <v>36711946.621359996</v>
      </c>
      <c r="J164" s="205">
        <f t="shared" si="112"/>
        <v>30726557.2762</v>
      </c>
    </row>
    <row r="165" spans="1:10">
      <c r="A165" s="120">
        <f t="shared" si="104"/>
        <v>2026</v>
      </c>
      <c r="B165" s="122">
        <f t="shared" si="108"/>
        <v>10271.203267928</v>
      </c>
      <c r="C165" s="122">
        <v>7365.04</v>
      </c>
      <c r="D165" s="122">
        <f t="shared" si="105"/>
        <v>30091.770097111999</v>
      </c>
      <c r="E165" s="178">
        <f t="shared" si="106"/>
        <v>40362.973365040001</v>
      </c>
      <c r="F165" s="9">
        <f t="shared" si="107"/>
        <v>32962.676387788</v>
      </c>
      <c r="G165" s="178">
        <f t="shared" si="109"/>
        <v>73325.649752828002</v>
      </c>
      <c r="H165" s="9">
        <f t="shared" si="110"/>
        <v>73325.649752828002</v>
      </c>
      <c r="I165" s="205">
        <f t="shared" si="111"/>
        <v>40362973.365040004</v>
      </c>
      <c r="J165" s="205">
        <f t="shared" si="112"/>
        <v>32962676.387788001</v>
      </c>
    </row>
    <row r="166" spans="1:10">
      <c r="A166" s="120">
        <f t="shared" si="104"/>
        <v>2027</v>
      </c>
      <c r="B166" s="122">
        <f t="shared" si="108"/>
        <v>11195.039231936</v>
      </c>
      <c r="C166" s="122">
        <v>7366.04</v>
      </c>
      <c r="D166" s="122">
        <f t="shared" si="105"/>
        <v>32818.960876784004</v>
      </c>
      <c r="E166" s="178">
        <f t="shared" si="106"/>
        <v>44014.000108720007</v>
      </c>
      <c r="F166" s="9">
        <f t="shared" si="107"/>
        <v>35198.795499375999</v>
      </c>
      <c r="G166" s="178">
        <f t="shared" si="109"/>
        <v>79212.795608095999</v>
      </c>
      <c r="H166" s="9">
        <f t="shared" si="110"/>
        <v>79212.795608095999</v>
      </c>
      <c r="I166" s="205">
        <f t="shared" si="111"/>
        <v>44014000.108720005</v>
      </c>
      <c r="J166" s="205">
        <f t="shared" si="112"/>
        <v>35198795.499375999</v>
      </c>
    </row>
    <row r="167" spans="1:10">
      <c r="A167" s="120">
        <f t="shared" si="104"/>
        <v>2028</v>
      </c>
      <c r="B167" s="122">
        <f t="shared" si="108"/>
        <v>12118.875195944</v>
      </c>
      <c r="C167" s="122">
        <v>7367.04</v>
      </c>
      <c r="D167" s="122">
        <f t="shared" si="105"/>
        <v>35546.151656455993</v>
      </c>
      <c r="E167" s="178">
        <f t="shared" si="106"/>
        <v>47665.026852399991</v>
      </c>
      <c r="F167" s="9">
        <f t="shared" si="107"/>
        <v>37434.914610964006</v>
      </c>
      <c r="G167" s="178">
        <f t="shared" si="109"/>
        <v>85099.941463363997</v>
      </c>
      <c r="H167" s="9">
        <f t="shared" si="110"/>
        <v>85099.941463363997</v>
      </c>
      <c r="I167" s="205">
        <f t="shared" si="111"/>
        <v>47665026.85239999</v>
      </c>
      <c r="J167" s="205">
        <f t="shared" si="112"/>
        <v>37434914.610964008</v>
      </c>
    </row>
    <row r="168" spans="1:10">
      <c r="A168" s="120">
        <f t="shared" si="104"/>
        <v>2029</v>
      </c>
      <c r="B168" s="122">
        <f t="shared" si="108"/>
        <v>13042.711159951999</v>
      </c>
      <c r="C168" s="122">
        <v>7368.04</v>
      </c>
      <c r="D168" s="122">
        <f t="shared" si="105"/>
        <v>38273.342436128005</v>
      </c>
      <c r="E168" s="178">
        <f t="shared" si="106"/>
        <v>51316.053596080004</v>
      </c>
      <c r="F168" s="9">
        <f t="shared" si="107"/>
        <v>39671.033722552005</v>
      </c>
      <c r="G168" s="178">
        <f t="shared" si="109"/>
        <v>90987.08731863201</v>
      </c>
      <c r="H168" s="9">
        <f t="shared" si="110"/>
        <v>90987.08731863201</v>
      </c>
      <c r="I168" s="205">
        <f t="shared" si="111"/>
        <v>51316053.596080005</v>
      </c>
      <c r="J168" s="205">
        <f t="shared" si="112"/>
        <v>39671033.722552001</v>
      </c>
    </row>
    <row r="169" spans="1:10">
      <c r="A169" s="120">
        <f t="shared" si="104"/>
        <v>2030</v>
      </c>
      <c r="B169" s="122">
        <f t="shared" ref="B169" si="113">P53</f>
        <v>13966.547123960001</v>
      </c>
      <c r="C169" s="122">
        <v>7369.04</v>
      </c>
      <c r="D169" s="122">
        <f t="shared" si="105"/>
        <v>41000.533215800002</v>
      </c>
      <c r="E169" s="178">
        <f t="shared" si="106"/>
        <v>54967.080339760003</v>
      </c>
      <c r="F169" s="9">
        <f t="shared" si="107"/>
        <v>41907.152834139997</v>
      </c>
      <c r="G169" s="178">
        <f t="shared" si="109"/>
        <v>96874.233173899993</v>
      </c>
      <c r="H169" s="9">
        <f t="shared" si="110"/>
        <v>96874.233173899993</v>
      </c>
      <c r="I169" s="205">
        <f t="shared" si="111"/>
        <v>54967080.339760005</v>
      </c>
      <c r="J169" s="205">
        <f t="shared" si="112"/>
        <v>41907152.834139995</v>
      </c>
    </row>
    <row r="170" spans="1:10">
      <c r="A170" s="121"/>
      <c r="B170" s="125">
        <f>B169/E169</f>
        <v>0.25408930286328868</v>
      </c>
      <c r="C170" s="125"/>
      <c r="D170" s="125">
        <f>D169/E169</f>
        <v>0.74591069713671132</v>
      </c>
      <c r="E170" s="179">
        <f>E169/E169</f>
        <v>1</v>
      </c>
      <c r="F170" s="49"/>
      <c r="G170" s="180"/>
      <c r="H170" s="49"/>
    </row>
    <row r="171" spans="1:10">
      <c r="A171" s="120"/>
      <c r="B171" s="126"/>
      <c r="C171" s="126"/>
      <c r="D171" s="126"/>
      <c r="E171" s="179">
        <f>+E169/H169</f>
        <v>0.56740661101376666</v>
      </c>
      <c r="F171" s="124">
        <f>F169/H169</f>
        <v>0.4325933889862334</v>
      </c>
      <c r="G171" s="180"/>
      <c r="H171" s="124">
        <f>E171+F171</f>
        <v>1</v>
      </c>
    </row>
    <row r="172" spans="1:10">
      <c r="B172" s="49"/>
      <c r="C172" s="49"/>
      <c r="D172" s="49"/>
      <c r="E172" s="49"/>
      <c r="F172" s="49"/>
      <c r="G172" s="49"/>
      <c r="H172" s="49"/>
      <c r="I172" s="49"/>
    </row>
    <row r="183" spans="15:15">
      <c r="O183" s="31" t="s">
        <v>38</v>
      </c>
    </row>
    <row r="184" spans="15:15">
      <c r="O184" s="32" t="s">
        <v>39</v>
      </c>
    </row>
    <row r="185" spans="15:15">
      <c r="O185" s="32" t="s">
        <v>40</v>
      </c>
    </row>
    <row r="186" spans="15:15">
      <c r="O186" s="33" t="s">
        <v>41</v>
      </c>
    </row>
  </sheetData>
  <mergeCells count="18">
    <mergeCell ref="B147:G147"/>
    <mergeCell ref="Z89:Z90"/>
    <mergeCell ref="V89:Y89"/>
    <mergeCell ref="AA89:AA90"/>
    <mergeCell ref="B89:F89"/>
    <mergeCell ref="G89:K89"/>
    <mergeCell ref="L89:P89"/>
    <mergeCell ref="Q89:U89"/>
    <mergeCell ref="P31:P32"/>
    <mergeCell ref="AA34:AB34"/>
    <mergeCell ref="B31:F31"/>
    <mergeCell ref="G31:K31"/>
    <mergeCell ref="A31:A32"/>
    <mergeCell ref="B3:F3"/>
    <mergeCell ref="G3:K3"/>
    <mergeCell ref="L3:L4"/>
    <mergeCell ref="L31:O31"/>
    <mergeCell ref="M3:M4"/>
  </mergeCells>
  <pageMargins left="0.70866141732283472" right="0.70866141732283472" top="0.74803149606299213" bottom="0.74803149606299213" header="0.31496062992125984" footer="0.31496062992125984"/>
  <pageSetup scale="59"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Energi  koreksi Cici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P5GCMX</dc:creator>
  <cp:lastModifiedBy>GIGABYTE</cp:lastModifiedBy>
  <cp:lastPrinted>2012-10-03T06:46:30Z</cp:lastPrinted>
  <dcterms:created xsi:type="dcterms:W3CDTF">2012-05-22T04:37:33Z</dcterms:created>
  <dcterms:modified xsi:type="dcterms:W3CDTF">2017-03-20T06:21:50Z</dcterms:modified>
</cp:coreProperties>
</file>