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KAJI ULANG RAD GRK JABAR\REVIEW KAJI ULANG RAD GRK JABAR\LIMBAH\"/>
    </mc:Choice>
  </mc:AlternateContent>
  <bookViews>
    <workbookView xWindow="0" yWindow="0" windowWidth="10815" windowHeight="8925" tabRatio="860" activeTab="5"/>
  </bookViews>
  <sheets>
    <sheet name="data awal bMaria+bIrni" sheetId="5" r:id="rId1"/>
    <sheet name="Pengolahan data tidak akumulasi" sheetId="6" r:id="rId2"/>
    <sheet name="REKAPTDKAKUMULASI+indikasi dana" sheetId="1" r:id="rId3"/>
    <sheet name="REKAP PENURUNAN EMISI" sheetId="2" r:id="rId4"/>
    <sheet name="3R" sheetId="4" r:id="rId5"/>
    <sheet name="IPAL Aerob" sheetId="3" r:id="rId6"/>
    <sheet name="Pengolahan Thermal" sheetId="8" r:id="rId7"/>
    <sheet name="Komposting di TPA" sheetId="9" r:id="rId8"/>
  </sheets>
  <calcPr calcId="152511"/>
</workbook>
</file>

<file path=xl/calcChain.xml><?xml version="1.0" encoding="utf-8"?>
<calcChain xmlns="http://schemas.openxmlformats.org/spreadsheetml/2006/main">
  <c r="K64" i="1" l="1"/>
  <c r="K63" i="1"/>
  <c r="K62" i="1"/>
  <c r="K61" i="1"/>
  <c r="K60" i="1"/>
  <c r="K59" i="1"/>
  <c r="K58" i="1"/>
  <c r="K57" i="1"/>
  <c r="K56" i="1"/>
  <c r="K55" i="1"/>
  <c r="K54" i="1"/>
  <c r="K53" i="1"/>
  <c r="K52" i="1"/>
  <c r="K51" i="1"/>
  <c r="K50" i="1"/>
  <c r="K49" i="1"/>
  <c r="K48" i="1"/>
  <c r="K47" i="1"/>
  <c r="K46" i="1"/>
  <c r="K45" i="1"/>
  <c r="K44" i="1"/>
  <c r="K65" i="1" s="1"/>
  <c r="G59" i="1"/>
  <c r="G65" i="1" s="1"/>
  <c r="J13" i="2" l="1"/>
  <c r="J12" i="2"/>
  <c r="J11" i="2"/>
  <c r="J10" i="2"/>
  <c r="J9" i="2"/>
  <c r="J8" i="2"/>
  <c r="J7" i="2"/>
  <c r="J6" i="2"/>
  <c r="H6" i="2"/>
  <c r="H5" i="2"/>
  <c r="J5" i="2"/>
  <c r="I65" i="1" l="1"/>
  <c r="E65" i="1"/>
  <c r="E66" i="1" s="1"/>
  <c r="C65" i="1"/>
  <c r="F55" i="1"/>
  <c r="F56" i="1"/>
  <c r="F57" i="1"/>
  <c r="F58" i="1"/>
  <c r="F59" i="1"/>
  <c r="F60" i="1"/>
  <c r="F61" i="1"/>
  <c r="F62" i="1"/>
  <c r="F63" i="1"/>
  <c r="F64" i="1"/>
  <c r="G66" i="1" s="1"/>
  <c r="F54" i="1"/>
  <c r="D53" i="1"/>
  <c r="D54" i="1"/>
  <c r="D55" i="1"/>
  <c r="D56" i="1"/>
  <c r="D57" i="1"/>
  <c r="D58" i="1"/>
  <c r="D59" i="1"/>
  <c r="D60" i="1"/>
  <c r="D61" i="1"/>
  <c r="D62" i="1"/>
  <c r="D63" i="1"/>
  <c r="D64" i="1"/>
  <c r="D52" i="1"/>
  <c r="B57" i="1"/>
  <c r="B61" i="1"/>
  <c r="B55" i="1"/>
  <c r="C16" i="2"/>
  <c r="C17" i="2"/>
  <c r="B56" i="1" s="1"/>
  <c r="C18" i="2"/>
  <c r="C19" i="2"/>
  <c r="B58" i="1" s="1"/>
  <c r="C20" i="2"/>
  <c r="B59" i="1" s="1"/>
  <c r="C21" i="2"/>
  <c r="B60" i="1" s="1"/>
  <c r="C22" i="2"/>
  <c r="C23" i="2"/>
  <c r="B62" i="1" s="1"/>
  <c r="C24" i="2"/>
  <c r="B63" i="1" s="1"/>
  <c r="C25" i="2"/>
  <c r="B64" i="1" s="1"/>
  <c r="C66" i="1" l="1"/>
  <c r="F44" i="1"/>
  <c r="F45" i="1"/>
  <c r="F46" i="1"/>
  <c r="F47" i="1"/>
  <c r="F48" i="1"/>
  <c r="F49" i="1"/>
  <c r="F50" i="1"/>
  <c r="F51" i="1"/>
  <c r="F52" i="1"/>
  <c r="F53" i="1"/>
  <c r="F34" i="1" l="1"/>
  <c r="F36" i="1" s="1"/>
  <c r="F31" i="1" l="1"/>
  <c r="G31" i="1"/>
  <c r="H31" i="1"/>
  <c r="I31" i="1"/>
  <c r="J31" i="1"/>
  <c r="K31" i="1"/>
  <c r="L31" i="1"/>
  <c r="M31" i="1"/>
  <c r="N31" i="1"/>
  <c r="O31" i="1"/>
  <c r="E31" i="1"/>
  <c r="E19" i="1" l="1"/>
  <c r="F19" i="1"/>
  <c r="G19" i="1"/>
  <c r="H19" i="1"/>
  <c r="I19" i="1"/>
  <c r="J19" i="1"/>
  <c r="K19" i="1"/>
  <c r="L19" i="1"/>
  <c r="M19" i="1"/>
  <c r="F30" i="3"/>
  <c r="F31" i="3"/>
  <c r="F32" i="3"/>
  <c r="F33" i="3"/>
  <c r="F34" i="3"/>
  <c r="F35" i="3"/>
  <c r="F36" i="3"/>
  <c r="F37" i="3"/>
  <c r="F38" i="3"/>
  <c r="F39" i="3"/>
  <c r="F40" i="3"/>
  <c r="F41" i="3"/>
  <c r="F42" i="3"/>
  <c r="F43" i="3"/>
  <c r="F44" i="3"/>
  <c r="F45" i="3"/>
  <c r="F46" i="3"/>
  <c r="F47" i="3"/>
  <c r="F48" i="3"/>
  <c r="F49" i="3"/>
  <c r="F50" i="3"/>
  <c r="F51" i="3"/>
  <c r="F29" i="3"/>
  <c r="M29" i="4"/>
  <c r="M30" i="4"/>
  <c r="M31" i="4"/>
  <c r="M32" i="4"/>
  <c r="M33" i="4"/>
  <c r="M34" i="4"/>
  <c r="M35" i="4"/>
  <c r="M36" i="4"/>
  <c r="M37" i="4"/>
  <c r="M38" i="4"/>
  <c r="M39" i="4"/>
  <c r="M40" i="4"/>
  <c r="M41" i="4"/>
  <c r="M42" i="4"/>
  <c r="M43" i="4"/>
  <c r="M44" i="4"/>
  <c r="M45" i="4"/>
  <c r="M46" i="4"/>
  <c r="M47" i="4"/>
  <c r="M48" i="4"/>
  <c r="M28" i="4"/>
  <c r="D6" i="2" l="1"/>
  <c r="D7" i="2"/>
  <c r="D8" i="2"/>
  <c r="D9" i="2"/>
  <c r="D10" i="2"/>
  <c r="D11" i="2"/>
  <c r="D5" i="2"/>
  <c r="D13" i="9"/>
  <c r="D14" i="9" s="1"/>
  <c r="D15" i="9" s="1"/>
  <c r="D16" i="9" s="1"/>
  <c r="D17" i="9" s="1"/>
  <c r="D18" i="9" s="1"/>
  <c r="D19" i="9" s="1"/>
  <c r="D20" i="9" s="1"/>
  <c r="D21" i="9" s="1"/>
  <c r="D22" i="9" s="1"/>
  <c r="D23" i="9" s="1"/>
  <c r="D24" i="9" s="1"/>
  <c r="D25" i="9" s="1"/>
  <c r="D26" i="9" s="1"/>
  <c r="C13" i="9"/>
  <c r="C14" i="9" s="1"/>
  <c r="C15" i="9" s="1"/>
  <c r="C16" i="9" s="1"/>
  <c r="C17" i="9" s="1"/>
  <c r="C18" i="9" s="1"/>
  <c r="C19" i="9" s="1"/>
  <c r="C20" i="9" s="1"/>
  <c r="C21" i="9" s="1"/>
  <c r="C22" i="9" s="1"/>
  <c r="C23" i="9" s="1"/>
  <c r="C24" i="9" s="1"/>
  <c r="C25" i="9" s="1"/>
  <c r="C26" i="9" s="1"/>
  <c r="D5" i="9"/>
  <c r="E6" i="2" l="1"/>
  <c r="E7" i="2"/>
  <c r="E8" i="2"/>
  <c r="E9" i="2"/>
  <c r="E10" i="2"/>
  <c r="E11" i="2"/>
  <c r="E12" i="2"/>
  <c r="E13" i="2"/>
  <c r="E14" i="2"/>
  <c r="E5" i="2"/>
  <c r="F16" i="8" l="1"/>
  <c r="F17" i="8" s="1"/>
  <c r="F18" i="8" s="1"/>
  <c r="F19" i="8" s="1"/>
  <c r="F20" i="8" s="1"/>
  <c r="F21" i="8" s="1"/>
  <c r="F22" i="8" s="1"/>
  <c r="F23" i="8" s="1"/>
  <c r="F24" i="8" s="1"/>
  <c r="F25" i="8" s="1"/>
  <c r="F26" i="8" s="1"/>
  <c r="O18" i="6"/>
  <c r="G6" i="2"/>
  <c r="G7" i="2"/>
  <c r="G8" i="2"/>
  <c r="G9" i="2"/>
  <c r="G10" i="2"/>
  <c r="G11" i="2"/>
  <c r="G12" i="2"/>
  <c r="G13" i="2"/>
  <c r="G14" i="2"/>
  <c r="G15" i="2"/>
  <c r="G16" i="2"/>
  <c r="G17" i="2"/>
  <c r="G18" i="2"/>
  <c r="G19" i="2"/>
  <c r="G20" i="2"/>
  <c r="G21" i="2"/>
  <c r="G22" i="2"/>
  <c r="G23" i="2"/>
  <c r="G24" i="2"/>
  <c r="G25" i="2"/>
  <c r="F6" i="2"/>
  <c r="H45" i="1" s="1"/>
  <c r="J45" i="1" s="1"/>
  <c r="F7" i="2"/>
  <c r="H46" i="1" s="1"/>
  <c r="J46" i="1" s="1"/>
  <c r="F8" i="2"/>
  <c r="H47" i="1" s="1"/>
  <c r="J47" i="1" s="1"/>
  <c r="F9" i="2"/>
  <c r="H48" i="1" s="1"/>
  <c r="J48" i="1" s="1"/>
  <c r="F10" i="2"/>
  <c r="H49" i="1" s="1"/>
  <c r="J49" i="1" s="1"/>
  <c r="F11" i="2"/>
  <c r="H50" i="1" s="1"/>
  <c r="J50" i="1" s="1"/>
  <c r="F12" i="2"/>
  <c r="H51" i="1" s="1"/>
  <c r="J51" i="1" s="1"/>
  <c r="F13" i="2"/>
  <c r="H52" i="1" s="1"/>
  <c r="J52" i="1" s="1"/>
  <c r="F14" i="2"/>
  <c r="H53" i="1" s="1"/>
  <c r="J53" i="1" s="1"/>
  <c r="F15" i="2"/>
  <c r="H54" i="1" s="1"/>
  <c r="J54" i="1" s="1"/>
  <c r="F16" i="2"/>
  <c r="H55" i="1" s="1"/>
  <c r="J55" i="1" s="1"/>
  <c r="F17" i="2"/>
  <c r="H56" i="1" s="1"/>
  <c r="J56" i="1" s="1"/>
  <c r="F18" i="2"/>
  <c r="H57" i="1" s="1"/>
  <c r="J57" i="1" s="1"/>
  <c r="F19" i="2"/>
  <c r="H58" i="1" s="1"/>
  <c r="J58" i="1" s="1"/>
  <c r="F20" i="2"/>
  <c r="H59" i="1" s="1"/>
  <c r="J59" i="1" s="1"/>
  <c r="F21" i="2"/>
  <c r="H60" i="1" s="1"/>
  <c r="J60" i="1" s="1"/>
  <c r="F22" i="2"/>
  <c r="H61" i="1" s="1"/>
  <c r="J61" i="1" s="1"/>
  <c r="F23" i="2"/>
  <c r="H62" i="1" s="1"/>
  <c r="J62" i="1" s="1"/>
  <c r="F24" i="2"/>
  <c r="H63" i="1" s="1"/>
  <c r="J63" i="1" s="1"/>
  <c r="F25" i="2"/>
  <c r="H64" i="1" s="1"/>
  <c r="F5" i="2"/>
  <c r="H44" i="1" s="1"/>
  <c r="J44" i="1" s="1"/>
  <c r="C6" i="2"/>
  <c r="C7" i="2"/>
  <c r="C8" i="2"/>
  <c r="H8" i="2" s="1"/>
  <c r="C9" i="2"/>
  <c r="H9" i="2" s="1"/>
  <c r="C10" i="2"/>
  <c r="C11" i="2"/>
  <c r="C12" i="2"/>
  <c r="H12" i="2" s="1"/>
  <c r="C13" i="2"/>
  <c r="H13" i="2" s="1"/>
  <c r="C14" i="2"/>
  <c r="H16" i="2"/>
  <c r="H17" i="2"/>
  <c r="H18" i="2"/>
  <c r="H20" i="2"/>
  <c r="H21" i="2"/>
  <c r="H24" i="2"/>
  <c r="H25" i="2"/>
  <c r="C5" i="2"/>
  <c r="F23" i="6"/>
  <c r="E23" i="6"/>
  <c r="G76" i="5"/>
  <c r="G75" i="5"/>
  <c r="K5" i="4"/>
  <c r="K6" i="4" s="1"/>
  <c r="K7" i="4" s="1"/>
  <c r="K8" i="4" s="1"/>
  <c r="K9" i="4" s="1"/>
  <c r="K10" i="4" s="1"/>
  <c r="K11" i="4" s="1"/>
  <c r="K12" i="4" s="1"/>
  <c r="K13" i="4" s="1"/>
  <c r="K14" i="4" s="1"/>
  <c r="K15" i="4" s="1"/>
  <c r="K16" i="4" s="1"/>
  <c r="K17" i="4" s="1"/>
  <c r="K18" i="4" s="1"/>
  <c r="K19" i="4" s="1"/>
  <c r="K20" i="4" s="1"/>
  <c r="K21" i="4" s="1"/>
  <c r="K22" i="4" s="1"/>
  <c r="K23" i="4" s="1"/>
  <c r="K24" i="4" s="1"/>
  <c r="K25" i="4" s="1"/>
  <c r="H14" i="2" l="1"/>
  <c r="H10" i="2"/>
  <c r="I6" i="2"/>
  <c r="H22" i="2"/>
  <c r="J22" i="2" s="1"/>
  <c r="J64" i="1"/>
  <c r="K66" i="1" s="1"/>
  <c r="I66" i="1"/>
  <c r="I5" i="2"/>
  <c r="I18" i="2"/>
  <c r="J18" i="2"/>
  <c r="J26" i="2"/>
  <c r="J25" i="2"/>
  <c r="I25" i="2"/>
  <c r="I13" i="2"/>
  <c r="J24" i="2"/>
  <c r="I24" i="2"/>
  <c r="J20" i="2"/>
  <c r="I20" i="2"/>
  <c r="J16" i="2"/>
  <c r="I16" i="2"/>
  <c r="I12" i="2"/>
  <c r="I8" i="2"/>
  <c r="I14" i="2"/>
  <c r="J14" i="2"/>
  <c r="I10" i="2"/>
  <c r="I21" i="2"/>
  <c r="J21" i="2"/>
  <c r="J17" i="2"/>
  <c r="I17" i="2"/>
  <c r="I9" i="2"/>
  <c r="H23" i="2"/>
  <c r="H19" i="2"/>
  <c r="H15" i="2"/>
  <c r="H11" i="2"/>
  <c r="H7" i="2"/>
  <c r="F23" i="1"/>
  <c r="G23" i="1"/>
  <c r="H23" i="1"/>
  <c r="I23" i="1"/>
  <c r="J23" i="1"/>
  <c r="K23" i="1"/>
  <c r="L23" i="1"/>
  <c r="M23" i="1"/>
  <c r="N23" i="1"/>
  <c r="O23" i="1"/>
  <c r="E23" i="1"/>
  <c r="W20" i="1"/>
  <c r="W31" i="1" s="1"/>
  <c r="X20" i="1"/>
  <c r="X31" i="1" s="1"/>
  <c r="Y20" i="1"/>
  <c r="Y31" i="1" s="1"/>
  <c r="Z20" i="1"/>
  <c r="Z31" i="1" s="1"/>
  <c r="AA20" i="1"/>
  <c r="AA31" i="1" s="1"/>
  <c r="AB20" i="1"/>
  <c r="AB31" i="1" s="1"/>
  <c r="AC20" i="1"/>
  <c r="AC31" i="1" s="1"/>
  <c r="AD20" i="1"/>
  <c r="AD31" i="1" s="1"/>
  <c r="V20" i="1"/>
  <c r="V31" i="1" s="1"/>
  <c r="U20" i="1"/>
  <c r="U31" i="1" s="1"/>
  <c r="N21" i="1"/>
  <c r="O21" i="1"/>
  <c r="E25" i="6"/>
  <c r="E21" i="1" s="1"/>
  <c r="F25" i="6"/>
  <c r="F21" i="1" s="1"/>
  <c r="U19" i="1"/>
  <c r="L11" i="1"/>
  <c r="Y16" i="1"/>
  <c r="W16" i="1"/>
  <c r="U16" i="1"/>
  <c r="V15" i="1"/>
  <c r="X15" i="1"/>
  <c r="T18" i="6"/>
  <c r="Y15" i="1" s="1"/>
  <c r="R18" i="6"/>
  <c r="W15" i="1" s="1"/>
  <c r="P18" i="6"/>
  <c r="U15" i="1" s="1"/>
  <c r="O15" i="1"/>
  <c r="U18" i="6"/>
  <c r="Z15" i="1" s="1"/>
  <c r="V18" i="6"/>
  <c r="AA15" i="1" s="1"/>
  <c r="W18" i="6"/>
  <c r="AB15" i="1" s="1"/>
  <c r="X18" i="6"/>
  <c r="AC15" i="1" s="1"/>
  <c r="Y18" i="6"/>
  <c r="AD15" i="1" s="1"/>
  <c r="I22" i="2" l="1"/>
  <c r="I19" i="2"/>
  <c r="J19" i="2"/>
  <c r="I15" i="2"/>
  <c r="J15" i="2"/>
  <c r="I7" i="2"/>
  <c r="I23" i="2"/>
  <c r="J23" i="2"/>
  <c r="I11" i="2"/>
  <c r="L13" i="1"/>
  <c r="E13" i="9"/>
  <c r="E14" i="9" s="1"/>
  <c r="E15" i="9" s="1"/>
  <c r="E16" i="9" s="1"/>
  <c r="E17" i="9" s="1"/>
  <c r="E18" i="9" s="1"/>
  <c r="E19" i="9" s="1"/>
  <c r="E20" i="9" s="1"/>
  <c r="E21" i="9" s="1"/>
  <c r="E22" i="9" s="1"/>
  <c r="E23" i="9" s="1"/>
  <c r="E24" i="9" s="1"/>
  <c r="E25" i="9" s="1"/>
  <c r="E26" i="9" s="1"/>
  <c r="AG80" i="6"/>
  <c r="AG79" i="6" s="1"/>
  <c r="AG78" i="6" s="1"/>
  <c r="AG77" i="6" s="1"/>
  <c r="AG76" i="6" s="1"/>
  <c r="AG75" i="6" s="1"/>
  <c r="AG74" i="6" s="1"/>
  <c r="AG53" i="6"/>
  <c r="AG52" i="6" s="1"/>
  <c r="AG51" i="6" s="1"/>
  <c r="AG50" i="6" s="1"/>
  <c r="AG49" i="6" s="1"/>
  <c r="AG48" i="6" s="1"/>
  <c r="AG47" i="6" s="1"/>
  <c r="D38" i="6"/>
  <c r="D37" i="6"/>
  <c r="D36" i="6"/>
  <c r="D35" i="6"/>
  <c r="N31" i="6"/>
  <c r="Y23" i="6"/>
  <c r="Y25" i="6" s="1"/>
  <c r="AD21" i="1" s="1"/>
  <c r="X23" i="6"/>
  <c r="X25" i="6" s="1"/>
  <c r="AC21" i="1" s="1"/>
  <c r="W23" i="6"/>
  <c r="W25" i="6" s="1"/>
  <c r="AB21" i="1" s="1"/>
  <c r="V23" i="6"/>
  <c r="V25" i="6" s="1"/>
  <c r="AA21" i="1" s="1"/>
  <c r="U23" i="6"/>
  <c r="U25" i="6" s="1"/>
  <c r="Z21" i="1" s="1"/>
  <c r="T23" i="6"/>
  <c r="T25" i="6" s="1"/>
  <c r="Y21" i="1" s="1"/>
  <c r="S23" i="6"/>
  <c r="S25" i="6" s="1"/>
  <c r="X21" i="1" s="1"/>
  <c r="R23" i="6"/>
  <c r="R25" i="6" s="1"/>
  <c r="W21" i="1" s="1"/>
  <c r="Q23" i="6"/>
  <c r="Q25" i="6" s="1"/>
  <c r="V21" i="1" s="1"/>
  <c r="P23" i="6"/>
  <c r="P25" i="6" s="1"/>
  <c r="U21" i="1" s="1"/>
  <c r="M23" i="6"/>
  <c r="M25" i="6" s="1"/>
  <c r="M21" i="1" s="1"/>
  <c r="L23" i="6"/>
  <c r="L25" i="6" s="1"/>
  <c r="L21" i="1" s="1"/>
  <c r="K23" i="6"/>
  <c r="K25" i="6" s="1"/>
  <c r="K21" i="1" s="1"/>
  <c r="J23" i="6"/>
  <c r="J25" i="6" s="1"/>
  <c r="J21" i="1" s="1"/>
  <c r="I23" i="6"/>
  <c r="I25" i="6" s="1"/>
  <c r="I21" i="1" s="1"/>
  <c r="H23" i="6"/>
  <c r="H25" i="6" s="1"/>
  <c r="H21" i="1" s="1"/>
  <c r="G23" i="6"/>
  <c r="G25" i="6" s="1"/>
  <c r="G21" i="1" s="1"/>
  <c r="K2" i="6"/>
  <c r="J2" i="6" s="1"/>
  <c r="I2" i="6" s="1"/>
  <c r="H2" i="6" s="1"/>
  <c r="G2" i="6" s="1"/>
  <c r="F2" i="6" s="1"/>
  <c r="E2" i="6" s="1"/>
  <c r="D32" i="5" l="1"/>
  <c r="D31" i="5"/>
  <c r="D30" i="5"/>
  <c r="D29" i="5"/>
  <c r="U22" i="1" l="1"/>
  <c r="P24" i="1" s="1"/>
  <c r="V19" i="1"/>
  <c r="W19" i="1" l="1"/>
  <c r="V22" i="1"/>
  <c r="W22" i="1" l="1"/>
  <c r="X19" i="1"/>
  <c r="Y19" i="1" l="1"/>
  <c r="X22" i="1"/>
  <c r="Y22" i="1" l="1"/>
  <c r="Z19" i="1"/>
  <c r="E27" i="1"/>
  <c r="AA19" i="1" l="1"/>
  <c r="Z22" i="1"/>
  <c r="F27" i="1"/>
  <c r="G27" i="1"/>
  <c r="H27" i="1"/>
  <c r="I27" i="1"/>
  <c r="J27" i="1"/>
  <c r="K27" i="1"/>
  <c r="L27" i="1"/>
  <c r="M27" i="1"/>
  <c r="N27" i="1"/>
  <c r="O27" i="1"/>
  <c r="AA22" i="1" l="1"/>
  <c r="AB19" i="1"/>
  <c r="AC19" i="1" l="1"/>
  <c r="AB22" i="1"/>
  <c r="AC22" i="1" l="1"/>
  <c r="AD19" i="1"/>
  <c r="AD22" i="1" l="1"/>
</calcChain>
</file>

<file path=xl/comments1.xml><?xml version="1.0" encoding="utf-8"?>
<comments xmlns="http://schemas.openxmlformats.org/spreadsheetml/2006/main">
  <authors>
    <author>Cici</author>
  </authors>
  <commentList>
    <comment ref="I9" authorId="0" shapeId="0">
      <text>
        <r>
          <rPr>
            <b/>
            <sz val="9"/>
            <color indexed="81"/>
            <rFont val="Tahoma"/>
            <family val="2"/>
          </rPr>
          <t>Cici:</t>
        </r>
        <r>
          <rPr>
            <sz val="9"/>
            <color indexed="81"/>
            <rFont val="Tahoma"/>
            <family val="2"/>
          </rPr>
          <t xml:space="preserve">
jumlah yang di TPA memang sama ya dengan yang di WTE ( PLTSa)</t>
        </r>
      </text>
    </comment>
    <comment ref="E11" authorId="0" shapeId="0">
      <text>
        <r>
          <rPr>
            <b/>
            <sz val="9"/>
            <color indexed="81"/>
            <rFont val="Tahoma"/>
            <family val="2"/>
          </rPr>
          <t>Cici:</t>
        </r>
        <r>
          <rPr>
            <sz val="9"/>
            <color indexed="81"/>
            <rFont val="Tahoma"/>
            <family val="2"/>
          </rPr>
          <t xml:space="preserve">
ini untuk biaya investasi ya ? Sampa selesai konstruksi ?
</t>
        </r>
      </text>
    </comment>
    <comment ref="H13"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I13"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 ref="AC21" authorId="0" shapeId="0">
      <text>
        <r>
          <rPr>
            <b/>
            <sz val="9"/>
            <color indexed="81"/>
            <rFont val="Tahoma"/>
            <family val="2"/>
          </rPr>
          <t>Cici:</t>
        </r>
        <r>
          <rPr>
            <sz val="9"/>
            <color indexed="81"/>
            <rFont val="Tahoma"/>
            <family val="2"/>
          </rPr>
          <t xml:space="preserve">
ini untuk biaya investasi ya ? Sampa selesai konstruksi ?
</t>
        </r>
      </text>
    </comment>
    <comment ref="AE24"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AA25" authorId="0" shapeId="0">
      <text>
        <r>
          <rPr>
            <b/>
            <sz val="9"/>
            <color indexed="81"/>
            <rFont val="Tahoma"/>
            <family val="2"/>
          </rPr>
          <t>Cici:</t>
        </r>
        <r>
          <rPr>
            <sz val="9"/>
            <color indexed="81"/>
            <rFont val="Tahoma"/>
            <family val="2"/>
          </rPr>
          <t xml:space="preserve">
jumlah yang di TPA memang sama ya dengan yang di WTE ( PLTSa)</t>
        </r>
      </text>
    </comment>
    <comment ref="AE25"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List>
</comments>
</file>

<file path=xl/comments2.xml><?xml version="1.0" encoding="utf-8"?>
<comments xmlns="http://schemas.openxmlformats.org/spreadsheetml/2006/main">
  <authors>
    <author>Cici</author>
  </authors>
  <commentList>
    <comment ref="P8" authorId="0" shapeId="0">
      <text>
        <r>
          <rPr>
            <b/>
            <sz val="9"/>
            <color indexed="81"/>
            <rFont val="Tahoma"/>
            <family val="2"/>
          </rPr>
          <t>Cici:</t>
        </r>
        <r>
          <rPr>
            <sz val="9"/>
            <color indexed="81"/>
            <rFont val="Tahoma"/>
            <family val="2"/>
          </rPr>
          <t xml:space="preserve">
jumlah yang di TPA memang sama ya dengan yang di WTE ( PLTSa)</t>
        </r>
      </text>
    </comment>
    <comment ref="L11" authorId="0" shapeId="0">
      <text>
        <r>
          <rPr>
            <b/>
            <sz val="9"/>
            <color indexed="81"/>
            <rFont val="Tahoma"/>
            <family val="2"/>
          </rPr>
          <t>Cici:</t>
        </r>
        <r>
          <rPr>
            <sz val="9"/>
            <color indexed="81"/>
            <rFont val="Tahoma"/>
            <family val="2"/>
          </rPr>
          <t xml:space="preserve">
ini untuk biaya investasi ya ? Sampa selesai konstruksi ?
</t>
        </r>
      </text>
    </comment>
    <comment ref="P13"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 ref="O16"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AO54" authorId="0" shapeId="0">
      <text>
        <r>
          <rPr>
            <b/>
            <sz val="9"/>
            <color indexed="81"/>
            <rFont val="Tahoma"/>
            <family val="2"/>
          </rPr>
          <t>Cici:</t>
        </r>
        <r>
          <rPr>
            <sz val="9"/>
            <color indexed="81"/>
            <rFont val="Tahoma"/>
            <family val="2"/>
          </rPr>
          <t xml:space="preserve">
ini untuk biaya investasi ya ? Sampa selesai konstruksi ?
</t>
        </r>
      </text>
    </comment>
    <comment ref="AQ57"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AM58" authorId="0" shapeId="0">
      <text>
        <r>
          <rPr>
            <b/>
            <sz val="9"/>
            <color indexed="81"/>
            <rFont val="Tahoma"/>
            <family val="2"/>
          </rPr>
          <t>Cici:</t>
        </r>
        <r>
          <rPr>
            <sz val="9"/>
            <color indexed="81"/>
            <rFont val="Tahoma"/>
            <family val="2"/>
          </rPr>
          <t xml:space="preserve">
jumlah yang di TPA memang sama ya dengan yang di WTE ( PLTSa)</t>
        </r>
      </text>
    </comment>
    <comment ref="AQ58"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List>
</comments>
</file>

<file path=xl/sharedStrings.xml><?xml version="1.0" encoding="utf-8"?>
<sst xmlns="http://schemas.openxmlformats.org/spreadsheetml/2006/main" count="876" uniqueCount="241">
  <si>
    <t>No</t>
  </si>
  <si>
    <t>Katagori</t>
  </si>
  <si>
    <t>Luas/ Indikasi Pembiayaan/ Penurunan Emisi</t>
  </si>
  <si>
    <t>Sumber Pendanaan</t>
  </si>
  <si>
    <t>Tahun</t>
  </si>
  <si>
    <t>Rencana Pembangunan Fasilitas Pengolahan Air Limbah Secara Terpusat (off site) aerobik</t>
  </si>
  <si>
    <t>Indikasi pembiayaan (Ribu rupiah)</t>
  </si>
  <si>
    <t>Rencana TPA</t>
  </si>
  <si>
    <t>Luas (Ha)</t>
  </si>
  <si>
    <t>Kapasitas tampung TPA (ton/hari)</t>
  </si>
  <si>
    <t>Jumlah jiwa  terlayani TPA (jiwa)</t>
  </si>
  <si>
    <t>Rencana Waste to Energy (PLTSa)</t>
  </si>
  <si>
    <t>Kapasitas tampung PLTSa / Jumlah jiwa  terlayani PLTSa</t>
  </si>
  <si>
    <t>APBD Provinsi Jawa Barat, APBN, KPBU</t>
  </si>
  <si>
    <t>Penduduk terlayani (jiwa)</t>
  </si>
  <si>
    <t>Jumlah sampah terkelola per tahun (ton sampah/tahun)</t>
  </si>
  <si>
    <t>Sampah dikompos  (ton/tahun)</t>
  </si>
  <si>
    <t>Jumlah TPS 3R</t>
  </si>
  <si>
    <t>Kapasitas TPS 3 R (m3/unit/ hari)</t>
  </si>
  <si>
    <t>Penurunan Emisi Bank Sampah Kertas (ton CO2e)</t>
  </si>
  <si>
    <t>Penurunan Emisi Komposting (ton CO2e)</t>
  </si>
  <si>
    <t>APBN, APBD Prov.</t>
  </si>
  <si>
    <t>2,142.960</t>
  </si>
  <si>
    <t>TPK Sarimukti</t>
  </si>
  <si>
    <t>Volume sampah (ton/hari)</t>
  </si>
  <si>
    <t>Penurunan Emisi (ton CO2e)</t>
  </si>
  <si>
    <t>Daur ulang materlal kertas (ton/tahun)</t>
  </si>
  <si>
    <t>Kapasitas IPAL (m3/hari)</t>
  </si>
  <si>
    <t xml:space="preserve">Rencana Pembangunan dan Operasional TPS Terpadu 3R/Komposting
</t>
  </si>
  <si>
    <t>Pengomposan (ton/hari)</t>
  </si>
  <si>
    <t>-</t>
  </si>
  <si>
    <t>Rencana Pembangunan dan Operasional TPS Terpadu 3R/Komposting</t>
  </si>
  <si>
    <t>Komposting</t>
  </si>
  <si>
    <t>komposting di TPA</t>
  </si>
  <si>
    <t>Penurunan Emisi (ton CO2e) (akumulasi)</t>
  </si>
  <si>
    <t>Daur ulang materlal kertas (ton/tahun) (sudah akumulasi)</t>
  </si>
  <si>
    <t>Penurunan Emisi Kompos (ton CO2e)</t>
  </si>
  <si>
    <t>Pengomposan (ton/tahun)</t>
  </si>
  <si>
    <t xml:space="preserve">Komposting di TPA </t>
  </si>
  <si>
    <t xml:space="preserve">Kapasitas tampung PLTSa (ton/tahun) </t>
  </si>
  <si>
    <t xml:space="preserve">selisih </t>
  </si>
  <si>
    <t>jumlah jiwa  terlayani IPAL terpusat</t>
  </si>
  <si>
    <t>Pembangunan Fasilitas Pengolahan Air Limbah secara terpusat (off site) aerobik (Redisain IPAL bojongsoang)</t>
  </si>
  <si>
    <t>Jumlah (Ton CO2 eq)</t>
  </si>
  <si>
    <t>Jumlah (Ribu Ton CO2 eq)</t>
  </si>
  <si>
    <t>Penurunan Emisi Bank Sampah Kertas (ton CO2e) (sudah akumulasi)</t>
  </si>
  <si>
    <t>Akumulasi Sampah dikompos  (ton/tahun)</t>
  </si>
  <si>
    <t>Akumulasi Daur ulang materlal kertas (ton/tahun))</t>
  </si>
  <si>
    <t>Akumulasi Jumlah TPS 3R</t>
  </si>
  <si>
    <t>Indikasi pembiayaan pendirian TPS3R baru  (Ribu rupiah) (Tidak akumulasi)</t>
  </si>
  <si>
    <t>katagori</t>
  </si>
  <si>
    <t>Luas / indikasi pembiayaan/ penurunan emisi</t>
  </si>
  <si>
    <t>Sumber pendanaan</t>
  </si>
  <si>
    <t xml:space="preserve">tahun </t>
  </si>
  <si>
    <r>
      <t>Rencana Pembangunan Fasilitas Pengolahan Air Limbah secara terpusat (</t>
    </r>
    <r>
      <rPr>
        <i/>
        <sz val="9"/>
        <color rgb="FF000000"/>
        <rFont val="Calibri"/>
        <family val="2"/>
        <scheme val="minor"/>
      </rPr>
      <t>off site</t>
    </r>
    <r>
      <rPr>
        <sz val="9"/>
        <color rgb="FF000000"/>
        <rFont val="Calibri"/>
        <family val="2"/>
        <scheme val="minor"/>
      </rPr>
      <t>) aerobik)</t>
    </r>
  </si>
  <si>
    <t>Jumlah jiwa  terlayani IPAL terpusat</t>
  </si>
  <si>
    <t>Nama IPAL &amp; Lokasi pelayanan</t>
  </si>
  <si>
    <t xml:space="preserve">Teknologti IPAL </t>
  </si>
  <si>
    <t xml:space="preserve">Rencana TPA </t>
  </si>
  <si>
    <t>Luas</t>
  </si>
  <si>
    <t>TPK Sarimukti (25,2 Ha)</t>
  </si>
  <si>
    <t>TPK Sarimukti (25,2 Ha), TPPAS Regional Lulut Nambo (55 Ha)</t>
  </si>
  <si>
    <t>TPPAS Regional Lulut Nambo (55 Ha),  TPPAS Regional Legok Nangka (78,1 Ha)</t>
  </si>
  <si>
    <t xml:space="preserve">, TPPAS Regional Lulut Nambo (55 Ha),  TPPAS Regional Legok Nangka (78,1 Ha), </t>
  </si>
  <si>
    <t xml:space="preserve"> TPPAS Regional Lulut Nambo (55 Ha),  TPPAS Regional Legok Nangka (78,1 Ha), TPPAS Regional Ciayumajakuning (60 Ha)</t>
  </si>
  <si>
    <t>TPPAS Regional Lulut Nambo (55 Ha),  TPPAS Regional Legok Nangka (78,1 Ha), TPPAS Regional Ciayumajakuning (60 Ha), TPPAS Regional Bekarpur (60 Ha)</t>
  </si>
  <si>
    <t xml:space="preserve"> TPPAS Regional Lulut Nambo (55 Ha), TPPAS Regional Legok Nangka (78,1 Ha),  TPPAS Regional Ciayumajakuning (60 Ha), TPPAS Regional Bekarpur (60 Ha)</t>
  </si>
  <si>
    <t xml:space="preserve"> TPPAS Regional Lulut Nambo (55 Ha), TPPAS Regional Legok Nangka (78,1 Ha), TPPAS Regional Ciayumajakuning (60 Ha), TPPAS Regional Bekarpur (60 Ha)</t>
  </si>
  <si>
    <t xml:space="preserve"> TPPAS Regional Legok Nangka (78,1 Ha), TPPAS Regional Lulut Nambo (55 Ha), TPPAS Regional Ciayumajakuning (60 Ha), TPPAS Regional Bekarpur (60 Ha)</t>
  </si>
  <si>
    <t>Kapasitas tampung TPA</t>
  </si>
  <si>
    <t>TPK Sarimukti  (1800 Ton/Hari)</t>
  </si>
  <si>
    <t>TPK Sarimukti  (1800 Ton/Hari), TPPAS Regional Lulut Nambo (1650 Ton/Hari)</t>
  </si>
  <si>
    <t>TPPAS Regional Lulut Nambo (1650 Ton/Hari), TPPAS Regional Legok Nangka (1800 Ton/Hari)</t>
  </si>
  <si>
    <t>TPPAS Regional Lulut Nambo (1650 Ton/Hari), TPPAS Regional Legok Nangka (1800 Ton/Hari), TPPAS Regional Ciayumajakuning (1000 Ton/Hari)</t>
  </si>
  <si>
    <t>TPPAS Regional Lulut Nambo (1650 Ton/Hari), TPPAS Regional Legok Nangka (1800 Ton/Hari), TPPAS Regional Ciayumajakuning (1000 Ton/Hari), TPPAS Regional Bekarpur (2000 ton/hari)</t>
  </si>
  <si>
    <t>Jumlah jiwa  terlayani TPA</t>
  </si>
  <si>
    <t>TPK Sarimukti  (2.250.000 Jiwa)</t>
  </si>
  <si>
    <t>TPK Sarimukti  (2.250.000 Jiwa), TPPAS Regional Lulut Nambo (2.062.500 Jiwa)</t>
  </si>
  <si>
    <t>TPPAS Regional Lulut Nambo (2.062.500 Jiwa), TPPAS Regional Legok Nangka (2.250.000 Jiwa)</t>
  </si>
  <si>
    <t>TPPAS Regional Lulut Nambo (2.062.500 Jiwa), TPPAS Regional Legok Nangka (2.250.000 Jiwa), TPPAS Regional Ciayumajakuning (1.250.000 Jiwa)</t>
  </si>
  <si>
    <t>TPPAS Regional Lulut Nambo (2.062.500 Jiwa), TPPAS Regional Legok Nangka (2.250.000 Jiwa), TPPAS Regional Ciayumajakuning (1.250.000 Jiwa), TPPAS Regional Bekarpur (2.500.000 Jiwa)</t>
  </si>
  <si>
    <t xml:space="preserve"> TPPAS Regional Legok Nangka (3,5 Triliun), TPPAS Regional Lulut Nambo (800 Milyar)</t>
  </si>
  <si>
    <t>Nama TPA &amp; Lokasi pelayanan</t>
  </si>
  <si>
    <t>TPK Sarimukti (Kota Bandung, Kota Cimahi, Kab. Bandung, Kab. Bandung Barat)</t>
  </si>
  <si>
    <t>TPK Sarimukti (Kota Bandung, Kota Cimahi, Kab. Bandung, Kab. Bandung Barat), TPPAS Regional Lulut Nambo (Kota Bogor, Kota Depok dan Kab. Bogor)</t>
  </si>
  <si>
    <t xml:space="preserve">TPPAS Regional Lulut Nambo (Kota Bogor, Kota Depok dan Kab. Bogor),  TPPAS Regional Legok Nangka (Kota Bandung, Kota Cimahi, Kab. Bandung, Kab. Bandung Barat, Kab. Sumedang, Kab. Garut), </t>
  </si>
  <si>
    <t xml:space="preserve"> TPPAS Regional Lulut Nambo (Kota Bogor, Kota Depok dan Kab. Bogor), TPPAS Regional Legok Nangka (Kota Bandung, Kota Cimahi, Kab. Bandung, Kab. Bandung Barat, Kab. Sumedang, Kab. Garut), </t>
  </si>
  <si>
    <t>TPPAS Regional Lulut Nambo (Kota Bogor, Kota Depok dan Kab. Bogor), TPPAS Regional Legok Nangka (Kota Bandung, Kota Cimahi, Kab. Bandung, Kab. Bandung Barat, Kab. Sumedang, Kab. Garut),  TPPAS Regional Ciayumajakuning (Kota Cirebon, Kab. Cirebon dan  Kab. Indramayu)</t>
  </si>
  <si>
    <t xml:space="preserve"> TPPAS Regional Lulut Nambo (Kota Bogor, Kota Depok dan Kab. Bogor), TPPAS Regional Legok Nangka (Kota Bandung, Kota Cimahi, Kab. Bandung, Kab. Bandung Barat, Kab. Sumedang, Kab. Garut),  TPPAS Regional Ciayumajakuning (Kota Cirebon, Kab. Cirebon dan  Kab. Indramayu)</t>
  </si>
  <si>
    <t xml:space="preserve"> TPPAS Regional Lulut Nambo (Kota Bogor, Kota Depok dan Kab. Bogor), TPPAS Regional Legok Nangka (Kota Bandung, Kota Cimahi, Kab. Bandung, Kab. Bandung Barat, Kab. Sumedang, Kab. Garut),  TPPAS Regional Ciayumajakuning (Kota Cirebon, Kab. Cirebon dan  Kab. Indramayu dan ), TPPAS Regional Bekarpur (Kota Bekasi, Kab. Bekasi, Kab. Karawang, Kab. Purwakarta)</t>
  </si>
  <si>
    <t>TPPAS Regional Lulut Nambo (Kota Bogor, Kota Depok dan Kab. Bogor), TPPAS Regional Legok Nangka (Kota Bandung, Kota Cimahi, Kab. Bandung, Kab. Bandung Barat, Kab. Sumedang, Kab. Garut),  TPPAS Regional Ciayumajakuning (Kota Cirebon, Kab. Cirebon dan  Kab. Indramayu dan ), TPPAS Regional Bekarpur (Kota Bekasi, Kab. Bekasi, Kab. Karawang, Kab. Purwakarta)</t>
  </si>
  <si>
    <t>TPPAS Regional Lulut Nambo (Kota Bogor, Kota Depok dan Kab. Bogor), TPPAS Regional Legok Nangka (Kota Bandung, Kota Cimahi, Kab. Bandung, Kab. Bandung Barat, Kab. Sumedang, Kab. Garut), , TPPAS Regional Ciayumajakuning (Kota Cirebon, Kab. Cirebon dan  Kab. Indramayu dan ), TPPAS Regional Bekarpur (Kota Bekasi, Kab. Bekasi, Kab. Karawang, Kab. Purwakarta)</t>
  </si>
  <si>
    <t xml:space="preserve">Teknologi TPA </t>
  </si>
  <si>
    <r>
      <t>TPK Sarimukti (Controled Landfill dengan teknologi pengolahan</t>
    </r>
    <r>
      <rPr>
        <b/>
        <sz val="9"/>
        <color rgb="FF000000"/>
        <rFont val="Calibri"/>
        <family val="2"/>
        <scheme val="minor"/>
      </rPr>
      <t xml:space="preserve"> </t>
    </r>
    <r>
      <rPr>
        <sz val="9"/>
        <color rgb="FF000000"/>
        <rFont val="Calibri"/>
        <family val="2"/>
        <scheme val="minor"/>
      </rPr>
      <t xml:space="preserve">sampah </t>
    </r>
    <r>
      <rPr>
        <b/>
        <sz val="9"/>
        <color rgb="FF000000"/>
        <rFont val="Calibri"/>
        <family val="2"/>
        <scheme val="minor"/>
      </rPr>
      <t>"Kompos</t>
    </r>
    <r>
      <rPr>
        <sz val="9"/>
        <color rgb="FF000000"/>
        <rFont val="Calibri"/>
        <family val="2"/>
        <scheme val="minor"/>
      </rPr>
      <t>)</t>
    </r>
  </si>
  <si>
    <r>
      <t>TPK Sarimukti (Controled Landfill dengan teknologi pengolahan sampah "</t>
    </r>
    <r>
      <rPr>
        <b/>
        <sz val="9"/>
        <color rgb="FF000000"/>
        <rFont val="Calibri"/>
        <family val="2"/>
        <scheme val="minor"/>
      </rPr>
      <t>Kompos"</t>
    </r>
    <r>
      <rPr>
        <sz val="9"/>
        <color rgb="FF000000"/>
        <rFont val="Calibri"/>
        <family val="2"/>
        <scheme val="minor"/>
      </rPr>
      <t>)</t>
    </r>
  </si>
  <si>
    <r>
      <t xml:space="preserve">TPK Sarimukti (Controled Landfill dengan </t>
    </r>
    <r>
      <rPr>
        <b/>
        <sz val="9"/>
        <color rgb="FF000000"/>
        <rFont val="Calibri"/>
        <family val="2"/>
        <scheme val="minor"/>
      </rPr>
      <t>Pengolahan Kompos</t>
    </r>
    <r>
      <rPr>
        <sz val="9"/>
        <color rgb="FF000000"/>
        <rFont val="Calibri"/>
        <family val="2"/>
        <scheme val="minor"/>
      </rPr>
      <t>)</t>
    </r>
  </si>
  <si>
    <r>
      <t>TPK Sarimukti (Controled Landfill dengan Pengolahan Kompos), TPPAS Regional Lulut Nambo  (Sanitary Landfill dengan teknologi pengolahan sampah “</t>
    </r>
    <r>
      <rPr>
        <b/>
        <sz val="9"/>
        <color rgb="FF000000"/>
        <rFont val="Calibri"/>
        <family val="2"/>
        <scheme val="minor"/>
      </rPr>
      <t>Refused Delivered Fuel (RDF)”</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</si>
  <si>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</si>
  <si>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xml:space="preserve">), TPPAS Regional Ciayumajakuning (Sanitary Landfill dengan teknologi pengolahan sampah </t>
    </r>
    <r>
      <rPr>
        <b/>
        <sz val="9"/>
        <color rgb="FF000000"/>
        <rFont val="Calibri"/>
        <family val="2"/>
        <scheme val="minor"/>
      </rPr>
      <t>“Refused Delivered Fuel (RDF)”</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</si>
  <si>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</si>
  <si>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
    </r>
    <r>
      <rPr>
        <sz val="9"/>
        <color rgb="FF000000"/>
        <rFont val="Calibri"/>
        <family val="2"/>
        <scheme val="minor"/>
      </rPr>
      <t xml:space="preserve">TPPAS Regional Bekarpur </t>
    </r>
    <r>
      <rPr>
        <b/>
        <sz val="9"/>
        <color rgb="FF000000"/>
        <rFont val="Calibri"/>
        <family val="2"/>
        <scheme val="minor"/>
      </rPr>
      <t>(Sanitary landfill dengan  teknologi pengolahan sampah 'PLTSA/ Waste )</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</si>
  <si>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t>
    </r>
    <r>
      <rPr>
        <sz val="9"/>
        <color rgb="FF000000"/>
        <rFont val="Calibri"/>
        <family val="2"/>
        <scheme val="minor"/>
      </rPr>
      <t xml:space="preserve">PPAS Regional Bekarpur </t>
    </r>
    <r>
      <rPr>
        <b/>
        <sz val="9"/>
        <color rgb="FF000000"/>
        <rFont val="Calibri"/>
        <family val="2"/>
        <scheme val="minor"/>
      </rPr>
      <t>(Sanitary landfill dengan  teknologi pengolahan sampah 'PLTSA/ Waste )</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</si>
  <si>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t>
    </r>
    <r>
      <rPr>
        <sz val="9"/>
        <color rgb="FF000000"/>
        <rFont val="Calibri"/>
        <family val="2"/>
        <scheme val="minor"/>
      </rPr>
      <t>PPAS Regional Bekarpur</t>
    </r>
    <r>
      <rPr>
        <b/>
        <sz val="9"/>
        <color rgb="FF000000"/>
        <rFont val="Calibri"/>
        <family val="2"/>
        <scheme val="minor"/>
      </rPr>
      <t xml:space="preserve"> (Sanitary landfill dengan  teknologi pengolahan sampah 'PLTSA/ Waste )</t>
    </r>
  </si>
  <si>
    <t>TPPAS Regional Legok Nangka (1800 ton/hari')</t>
  </si>
  <si>
    <t>TPPAS Regional Legok Nangka (1800 ton/hari), TPPAS Regional Bekarpur (2000 ton/hari)</t>
  </si>
  <si>
    <t>TPPAS Regional Legok Nangka (2.250.000 jiwa)</t>
  </si>
  <si>
    <t>TPPAS Regional Legok Nangka (2.250.000 jiwa), TPPAS Regional Bekarpur (2.500.000 jiwa)</t>
  </si>
  <si>
    <t>Nama PLTSa &amp; Lokasi pelayanan</t>
  </si>
  <si>
    <t>TPPAS Regional Legok Nangka (Kota Bandung, Kota Cimahi, Kab. Bandung, Kab. Bandung Barat, Kab. Sumedang, Kab. Garut)</t>
  </si>
  <si>
    <t>TPPAS Regional Legok Nangka (Kota Bandung, Kota Cimahi, Kab. Bandung, Kab. Bandung Barat, Kab. Sumedang, Kab. Garut),  TPPAS Regional Bekarpur (Kota Bekasi, Kab. Bekasi, Kab. Karawang, Kab. Purwakarta)</t>
  </si>
  <si>
    <t>Teknologi PLTSa</t>
  </si>
  <si>
    <t>Wasto to Energy</t>
  </si>
  <si>
    <t>Rencana Pembangunan dan</t>
  </si>
  <si>
    <t>Jumlah sampah terkelola per tahun (ribu ton sampah/tahun)</t>
  </si>
  <si>
    <t>Operasional TPS</t>
  </si>
  <si>
    <t>Terpadu 3R/</t>
  </si>
  <si>
    <t xml:space="preserve">Kapasitas TPS 3 R </t>
  </si>
  <si>
    <t>ton/hari</t>
  </si>
  <si>
    <t>jiwa</t>
  </si>
  <si>
    <t>Lena</t>
  </si>
  <si>
    <t>Luna</t>
  </si>
  <si>
    <t>Ciayumajakuning</t>
  </si>
  <si>
    <t>Bekarpur</t>
  </si>
  <si>
    <t>0,8 Kg</t>
  </si>
  <si>
    <t>timbulan sampah yang dihasilkan per jiwa (Kota besar</t>
  </si>
  <si>
    <t xml:space="preserve">IPAL Bojong Soang </t>
  </si>
  <si>
    <t xml:space="preserve">Teknologi IPAL </t>
  </si>
  <si>
    <t>IPAL Semi Aereob</t>
  </si>
  <si>
    <t xml:space="preserve">upaya 3 R di TPA </t>
  </si>
  <si>
    <t xml:space="preserve">% sampah yang dikompos </t>
  </si>
  <si>
    <t xml:space="preserve"> TPPAS Regional Legok Nangka (3,5 Triliun) </t>
  </si>
  <si>
    <t>Pengolahan Thermal</t>
  </si>
  <si>
    <t xml:space="preserve"> TPPAS Regional Lulut Nambo (55 Ha)</t>
  </si>
  <si>
    <t xml:space="preserve"> TPPAS Regional Legok Nangka (78,1 Ha)</t>
  </si>
  <si>
    <t xml:space="preserve"> TPPAS Regional Ciayumajakuning (60 Ha)</t>
  </si>
  <si>
    <t xml:space="preserve"> TPPAS Regional Bekarpur (60 Ha)</t>
  </si>
  <si>
    <t>TPPAS Regional Lulut Nambo (1650 Ton/Hari)</t>
  </si>
  <si>
    <t>TPPAS Regional Ciayumajakuning (1000 Ton/Hari)</t>
  </si>
  <si>
    <t>TPPAS Regional Bekarpur (2000 ton/hari)</t>
  </si>
  <si>
    <t>TPPAS Regional Lulut Nambo (2.062.500 Jiwa)</t>
  </si>
  <si>
    <t>TPPAS Regional Ciayumajakuning (1.250.000 Jiwa)</t>
  </si>
  <si>
    <t>TPPAS Regional Bekarpur (2.500.000 jiwa)</t>
  </si>
  <si>
    <t>TPPAS Regional Lulut Nambo (800 Milyar)</t>
  </si>
  <si>
    <t xml:space="preserve"> TPPAS Regional Legok Nangka (3,5 Triliun)</t>
  </si>
  <si>
    <t>Nama TPPAS &amp; Lokasi pelayanan</t>
  </si>
  <si>
    <t>TPPAS Regional Lulut Nambo (Kota Bogor, Kota Depok dan Kab. Bogor)</t>
  </si>
  <si>
    <t xml:space="preserve"> TPPAS Regional Ciayumajakuning (Kota Cirebon, Kab. Cirebon dan  Kab. Indramayu)</t>
  </si>
  <si>
    <t>TPPAS Regional Bekarpur (Kota Bekasi, Kab. Bekasi, Kab. Karawang, Kab. Purwakarta)</t>
  </si>
  <si>
    <t xml:space="preserve">Rencana Pembangun- an dan Operasional TPS Terpadu 3R/ Komposting
</t>
  </si>
  <si>
    <t xml:space="preserve">Penurunan Emisi Bank Sampah Kertas (ton CO2e) </t>
  </si>
  <si>
    <t xml:space="preserve"> </t>
  </si>
  <si>
    <t>1650 Ton/Hari</t>
  </si>
  <si>
    <t>2.062.500 Jiwa</t>
  </si>
  <si>
    <t>800 Milyar</t>
  </si>
  <si>
    <t>Sanitary Landfill &amp; “Refused Delivered Fuel (RDF)”</t>
  </si>
  <si>
    <t>1800 ton/hari</t>
  </si>
  <si>
    <t xml:space="preserve"> 2.250.000 jiwa</t>
  </si>
  <si>
    <t>3,5 Triliun</t>
  </si>
  <si>
    <t xml:space="preserve">Sanitary landfill &amp; PLTSA/ Waste </t>
  </si>
  <si>
    <t>1000 Ton/Hari</t>
  </si>
  <si>
    <t>1.250.000 Jiwa</t>
  </si>
  <si>
    <t>2000 ton/hari</t>
  </si>
  <si>
    <t>2.500.000 jiwa</t>
  </si>
  <si>
    <t>Sanitary Landfill &amp; PLTSA/ Waste to energy</t>
  </si>
  <si>
    <t>PENGOLAHAN THERMAL</t>
  </si>
  <si>
    <t>TAHUN</t>
  </si>
  <si>
    <t xml:space="preserve">KOMPOSTING DI TPA </t>
  </si>
  <si>
    <t>17300 m3/hari</t>
  </si>
  <si>
    <t>(bojongsoang)</t>
  </si>
  <si>
    <t>Kapasitas tampung TPA / Jumlah jiwa  terlayani TPA</t>
  </si>
  <si>
    <t>Nama PLTSa &amp; Lokais pelayanan</t>
  </si>
  <si>
    <t>APBN, APDB Prov.</t>
  </si>
  <si>
    <t>912.5</t>
  </si>
  <si>
    <t>547.5</t>
  </si>
  <si>
    <t>Sampah dikompos  (ribu ton/tahun)</t>
  </si>
  <si>
    <t>Daurulang materlal kertas (ribu ton/tahun)</t>
  </si>
  <si>
    <r>
      <t>Rencana Pembangunan Fasilitas Pengolahan Air Limbah secara terpusat (</t>
    </r>
    <r>
      <rPr>
        <i/>
        <sz val="20"/>
        <color rgb="FF000000"/>
        <rFont val="Calibri"/>
        <family val="2"/>
      </rPr>
      <t>off site</t>
    </r>
    <r>
      <rPr>
        <sz val="20"/>
        <color rgb="FF000000"/>
        <rFont val="Calibri"/>
        <family val="2"/>
      </rPr>
      <t>) aerobik)</t>
    </r>
  </si>
  <si>
    <t>data dari bu Maria. DATA INI AKUMULATIF</t>
  </si>
  <si>
    <t>data dari  bu irni .  DATA INI TIDAK AKUMULATIF</t>
  </si>
  <si>
    <r>
      <t>TPPAS Regional Lulut Nambo  (50 % Sanitary Landfill, 50% teknologi pengolahan sampah “</t>
    </r>
    <r>
      <rPr>
        <b/>
        <sz val="9"/>
        <color rgb="FF000000"/>
        <rFont val="Calibri"/>
        <family val="2"/>
        <scheme val="minor"/>
      </rPr>
      <t>Refused Delivered Fuel (RDF))”</t>
    </r>
  </si>
  <si>
    <r>
      <t xml:space="preserve">TPPAS Regional Legok Nangka </t>
    </r>
    <r>
      <rPr>
        <b/>
        <sz val="9"/>
        <color rgb="FF000000"/>
        <rFont val="Calibri"/>
        <family val="2"/>
        <scheme val="minor"/>
      </rPr>
      <t>(50% Sanitary landfill, 50% teknologi pengolahan sampah 'PLTSA/ Waste )</t>
    </r>
  </si>
  <si>
    <r>
      <t xml:space="preserve">TPPAS Regional Bekarpur </t>
    </r>
    <r>
      <rPr>
        <b/>
        <sz val="9"/>
        <color rgb="FF000000"/>
        <rFont val="Calibri"/>
        <family val="2"/>
        <scheme val="minor"/>
      </rPr>
      <t>(50% Sanitary landfill, 50% teknologi pengolahan sampah 'PLTSA/ Waste )</t>
    </r>
  </si>
  <si>
    <t>TPPAS Regional Ciayumajakuning (50% Sanitary Landfill, 50% teknologi pengolahan sampah “Refused Delivered Fuel (RDF))”</t>
  </si>
  <si>
    <t xml:space="preserve">Teknologi yang digunakan </t>
  </si>
  <si>
    <t>Prosentase sampah diolah dengan teknologi thermal</t>
  </si>
  <si>
    <t>Kapasitas pegolahan thermal+non thermal (ton/hari)</t>
  </si>
  <si>
    <t>Kapasitas pengolahan teknologi thermal (ton/tahun)</t>
  </si>
  <si>
    <t>Prosentase Pengomposan</t>
  </si>
  <si>
    <t>Jumlah jiwa  terlayani TPPK (jiwa)</t>
  </si>
  <si>
    <t>=</t>
  </si>
  <si>
    <t>Sampah dikompos tdk akumulasi (ton/tahun)</t>
  </si>
  <si>
    <t>Daur ulang kertas tdk akumulasi (ton/tahun)</t>
  </si>
  <si>
    <t>Akumulasi penurunan emisi dari Daur ulang materlal kertas (ton/tahun))</t>
  </si>
  <si>
    <t>Sampah dikompos</t>
  </si>
  <si>
    <t xml:space="preserve">Daur ulang kertas </t>
  </si>
  <si>
    <t>Kapasitas TPS3R</t>
  </si>
  <si>
    <t>60% Sampah dikompos  (ton/tahun)</t>
  </si>
  <si>
    <t>5% Daur ulang materlal kertas (ton/tahun) (sudah akumulasi)</t>
  </si>
  <si>
    <t>Prosentase Teknologi thermal (%)</t>
  </si>
  <si>
    <t>Penambahan Kapasitas Teknologi thermal (ton/tahun)</t>
  </si>
  <si>
    <t xml:space="preserve">Kapasitas TPPAS (ton/hari) </t>
  </si>
  <si>
    <t>Akumulasi Kapasitas Teknologi thermal (ton/tahun)</t>
  </si>
  <si>
    <t>Akumulasi Pengomposan (ton/tahun)</t>
  </si>
  <si>
    <t>Akumulasi Kapasitas tampung TPA (ton/hari)</t>
  </si>
  <si>
    <t>TPK Sarimukti (Controled Landfill dengan teknologi pengolahan sampah "Kompos)</t>
  </si>
  <si>
    <t>TAHUN BERJLAAN AKSI MITIGASI YANG DIMULAI (TIDAK AKUMULATIF)</t>
  </si>
  <si>
    <t xml:space="preserve">Tahun </t>
  </si>
  <si>
    <t>TPPAS Regional Lulut Nambo  (50 % Sanitary Landfill, 50% teknologi pengolahan sampah “Refused Delivered Fuel (RDF))”</t>
  </si>
  <si>
    <t>TPPAS Regional Legok Nangka (50% Sanitary landfill, 50% teknologi pengolahan sampah 'PLTSA/ Waste )</t>
  </si>
  <si>
    <t>TPPAS Regional Bekarpur (50% Sanitary landfill, 50% teknologi pengolahan sampah 'PLTSA/ Waste )</t>
  </si>
  <si>
    <t>tahun</t>
  </si>
  <si>
    <t>Penurunan emisi dari Aksi Mitigasi Pengelolaan Sampah Melalui Pengolahan Thermal</t>
  </si>
  <si>
    <t>Rencana  Aksi Mitigasi Pengelolaan Sampah Melalui Pengolahan Thermal</t>
  </si>
  <si>
    <t>Penurunan emisi dari Aksi Mitigasi Pengelolaan Sampah Melalui TPS 3R</t>
  </si>
  <si>
    <t>Rencana  Aksi Mitigasi Pengelolaan Sampah Melalui TPS 3R</t>
  </si>
  <si>
    <t>Rencana Pembangunan Fasilitas Pengolahan Air Limbah secara terpusat (off site) aerobik)</t>
  </si>
  <si>
    <t>Jumlah jiwa  terlayani IPAL terpusat (kiwa)</t>
  </si>
  <si>
    <t>YANG INI TIDAK AKUMULASI</t>
  </si>
  <si>
    <t>Akumulasi Kapasitas IPAL   (m3/hari)</t>
  </si>
  <si>
    <t>Akumulasi Penurunan Emisi (ton CO2e)</t>
  </si>
  <si>
    <t>BaU Baseline (Ton CO2 eq)</t>
  </si>
  <si>
    <t>Rencana Pembangunan Fasilitas Pengolahan Air Limbah Secara Terpusat (off site) aerobik (Ton CO2 eq)</t>
  </si>
  <si>
    <t>Komposting di TPA  (Ton CO2 eq)</t>
  </si>
  <si>
    <t>Prngolahan thermal (PLTSa + RDF) (Ton CO2 eq)</t>
  </si>
  <si>
    <t>Daur Ulang Kertas (Ton CO2 eq)</t>
  </si>
  <si>
    <t>Komposting (Ton CO2 eq)</t>
  </si>
  <si>
    <t xml:space="preserve">PENURUNAN EMISI AKUMULASI </t>
  </si>
  <si>
    <t xml:space="preserve">Prosentase Penurunan Emisi </t>
  </si>
  <si>
    <t>ton dikompos /tahun</t>
  </si>
  <si>
    <t>ribu Rp</t>
  </si>
  <si>
    <t>ribu Rp/ton dikompos</t>
  </si>
  <si>
    <t xml:space="preserve">dari data PEP </t>
  </si>
  <si>
    <t>Rencana Pembangunan Fasilitas Pengolahan Air Limbah Secara Terpusat (off site) aerobik (Re-desain IPAL Bojongsoang)</t>
  </si>
  <si>
    <t>Rencana Komposting di TPA</t>
  </si>
  <si>
    <t>Total</t>
  </si>
  <si>
    <t>Biaya (Ribu rupiah)</t>
  </si>
  <si>
    <t>Jumlah</t>
  </si>
  <si>
    <t>Biaya Penurunan Emisi (Ribu Rp/ton CO2 eq)</t>
  </si>
  <si>
    <t>Emisi Setelah Pelaksanaan Aksi Mitigasi (ton CO2 eq)</t>
  </si>
  <si>
    <t>SESUDAH</t>
  </si>
  <si>
    <t>SEBELUM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</si>
</sst>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Rp&quot;* #,##0_);_(&quot;Rp&quot;* \(#,##0\);_(&quot;Rp&quot;* &quot;-&quot;_);_(@_)"/>
    <numFmt numFmtId="164" formatCode="#,##0.0"/>
    <numFmt numFmtId="165" formatCode="0.0"/>
  </numFmts>
  <fonts count="43" x14ac:knownFonts="1">
    <font>
      <sz val="11"/>
      <color theme="1"/>
      <name val="Calibri"/>
      <family val="2"/>
      <charset val="1"/>
      <scheme val="minor"/>
    </font>
    <font>
      <sz val="11"/>
      <color theme="1"/>
      <name val="Cambria"/>
      <family val="1"/>
      <scheme val="major"/>
    </font>
    <font>
      <b/>
      <sz val="11"/>
      <color theme="1"/>
      <name val="Cambria"/>
      <family val="1"/>
      <scheme val="major"/>
    </font>
    <font>
      <sz val="11"/>
      <color rgb="FF000000"/>
      <name val="Cambria"/>
      <family val="1"/>
      <scheme val="major"/>
    </font>
    <font>
      <sz val="10"/>
      <color theme="1"/>
      <name val="Cambria"/>
      <family val="1"/>
      <scheme val="major"/>
    </font>
    <font>
      <sz val="10"/>
      <color rgb="FFFFC000"/>
      <name val="Cambria"/>
      <family val="1"/>
      <scheme val="major"/>
    </font>
    <font>
      <sz val="11"/>
      <color rgb="FFFFC000"/>
      <name val="Calibri"/>
      <family val="2"/>
      <charset val="1"/>
      <scheme val="minor"/>
    </font>
    <font>
      <b/>
      <sz val="11"/>
      <color rgb="FFFFC000"/>
      <name val="Cambria"/>
      <family val="1"/>
      <scheme val="major"/>
    </font>
    <font>
      <sz val="11"/>
      <color rgb="FFFFC000"/>
      <name val="Cambria"/>
      <family val="1"/>
      <scheme val="major"/>
    </font>
    <font>
      <sz val="11"/>
      <name val="Calibri"/>
      <family val="2"/>
      <scheme val="minor"/>
    </font>
    <font>
      <b/>
      <sz val="11"/>
      <name val="Calibri"/>
      <family val="2"/>
      <scheme val="minor"/>
    </font>
    <font>
      <b/>
      <sz val="11"/>
      <color theme="0"/>
      <name val="Calibri"/>
      <family val="2"/>
      <scheme val="minor"/>
    </font>
    <font>
      <sz val="11"/>
      <color theme="0"/>
      <name val="Calibri"/>
      <family val="2"/>
      <charset val="1"/>
      <scheme val="minor"/>
    </font>
    <font>
      <sz val="11"/>
      <color rgb="FFFF0000"/>
      <name val="Calibri"/>
      <family val="2"/>
      <scheme val="minor"/>
    </font>
    <font>
      <sz val="9"/>
      <color rgb="FF000000"/>
      <name val="Calibri"/>
      <family val="2"/>
      <scheme val="minor"/>
    </font>
    <font>
      <i/>
      <sz val="9"/>
      <color rgb="FF000000"/>
      <name val="Calibri"/>
      <family val="2"/>
      <scheme val="minor"/>
    </font>
    <font>
      <sz val="16"/>
      <color rgb="FF000000"/>
      <name val="Calibri"/>
      <family val="2"/>
      <scheme val="minor"/>
    </font>
    <font>
      <b/>
      <sz val="9"/>
      <color rgb="FF000000"/>
      <name val="Calibri"/>
      <family val="2"/>
      <scheme val="minor"/>
    </font>
    <font>
      <b/>
      <sz val="9"/>
      <color indexed="81"/>
      <name val="Tahoma"/>
      <family val="2"/>
    </font>
    <font>
      <sz val="9"/>
      <color indexed="81"/>
      <name val="Tahoma"/>
      <family val="2"/>
    </font>
    <font>
      <sz val="11"/>
      <color rgb="FF000000"/>
      <name val="Calibri"/>
      <family val="2"/>
      <scheme val="minor"/>
    </font>
    <font>
      <sz val="16"/>
      <name val="Calibri"/>
      <family val="2"/>
      <scheme val="minor"/>
    </font>
    <font>
      <sz val="11"/>
      <color theme="1"/>
      <name val="Calibri"/>
      <family val="2"/>
      <scheme val="minor"/>
    </font>
    <font>
      <b/>
      <sz val="20"/>
      <color rgb="FF000000"/>
      <name val="Calibri"/>
      <family val="2"/>
    </font>
    <font>
      <sz val="20"/>
      <color rgb="FF000000"/>
      <name val="Calibri"/>
      <family val="2"/>
    </font>
    <font>
      <i/>
      <sz val="20"/>
      <color rgb="FF000000"/>
      <name val="Calibri"/>
      <family val="2"/>
    </font>
    <font>
      <sz val="20"/>
      <color rgb="FFFF0000"/>
      <name val="Calibri"/>
      <family val="2"/>
    </font>
    <font>
      <sz val="20"/>
      <color theme="1"/>
      <name val="Calibri"/>
      <family val="2"/>
      <scheme val="minor"/>
    </font>
    <font>
      <sz val="18"/>
      <color theme="1"/>
      <name val="Calibri"/>
      <family val="2"/>
      <charset val="1"/>
      <scheme val="minor"/>
    </font>
    <font>
      <sz val="48"/>
      <color theme="1"/>
      <name val="Calibri"/>
      <family val="2"/>
      <charset val="1"/>
      <scheme val="minor"/>
    </font>
    <font>
      <b/>
      <sz val="11"/>
      <color theme="0"/>
      <name val="Calibri"/>
      <family val="2"/>
      <charset val="1"/>
      <scheme val="minor"/>
    </font>
    <font>
      <sz val="11"/>
      <name val="Calibri"/>
      <family val="2"/>
      <charset val="1"/>
      <scheme val="minor"/>
    </font>
    <font>
      <sz val="11"/>
      <name val="Cambria"/>
      <family val="1"/>
      <scheme val="major"/>
    </font>
    <font>
      <sz val="16"/>
      <color theme="0"/>
      <name val="Calibri"/>
      <family val="2"/>
      <scheme val="minor"/>
    </font>
    <font>
      <sz val="11"/>
      <color theme="0"/>
      <name val="Calibri"/>
      <family val="2"/>
      <scheme val="minor"/>
    </font>
    <font>
      <sz val="9"/>
      <color theme="0"/>
      <name val="Calibri"/>
      <family val="2"/>
      <scheme val="minor"/>
    </font>
    <font>
      <sz val="9"/>
      <name val="Calibri"/>
      <family val="2"/>
      <scheme val="minor"/>
    </font>
    <font>
      <b/>
      <sz val="11"/>
      <name val="Cambria"/>
      <family val="1"/>
      <scheme val="major"/>
    </font>
    <font>
      <b/>
      <sz val="16"/>
      <color theme="1"/>
      <name val="Calibri"/>
      <family val="2"/>
      <scheme val="minor"/>
    </font>
    <font>
      <sz val="8"/>
      <color rgb="FF000000"/>
      <name val="Cambria"/>
      <family val="1"/>
    </font>
    <font>
      <sz val="8"/>
      <color theme="0"/>
      <name val="Cambria"/>
      <family val="1"/>
    </font>
    <font>
      <sz val="9"/>
      <color theme="1"/>
      <name val="Cambria"/>
      <family val="1"/>
      <scheme val="major"/>
    </font>
    <font>
      <b/>
      <sz val="11"/>
      <color theme="1"/>
      <name val="Calibri"/>
      <family val="2"/>
      <scheme val="minor"/>
    </font>
  </fonts>
  <fills count="2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rgb="FFC0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DBEEF3"/>
        <bgColor indexed="64"/>
      </patternFill>
    </fill>
    <fill>
      <patternFill patternType="solid">
        <fgColor rgb="FFDDDDDD"/>
        <bgColor indexed="64"/>
      </patternFill>
    </fill>
    <fill>
      <patternFill patternType="solid">
        <fgColor rgb="FFF6E2E2"/>
        <bgColor indexed="64"/>
      </patternFill>
    </fill>
    <fill>
      <patternFill patternType="solid">
        <fgColor theme="2" tint="-9.9978637043366805E-2"/>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rgb="FF7030A0"/>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12">
    <xf numFmtId="0" fontId="0" fillId="0" borderId="0" xfId="0"/>
    <xf numFmtId="0" fontId="1" fillId="0" borderId="1" xfId="0" applyFont="1" applyBorder="1"/>
    <xf numFmtId="3" fontId="3" fillId="0" borderId="1" xfId="0" applyNumberFormat="1" applyFont="1" applyBorder="1" applyAlignment="1">
      <alignment horizontal="center" vertical="center" wrapText="1"/>
    </xf>
    <xf numFmtId="0" fontId="4" fillId="0" borderId="0" xfId="0" applyFont="1" applyFill="1" applyBorder="1" applyAlignment="1"/>
    <xf numFmtId="0" fontId="0" fillId="3" borderId="0" xfId="0" applyFill="1"/>
    <xf numFmtId="0" fontId="2" fillId="2" borderId="1" xfId="0" applyFont="1" applyFill="1" applyBorder="1" applyAlignment="1">
      <alignment horizontal="center" vertical="center" wrapText="1"/>
    </xf>
    <xf numFmtId="0" fontId="5" fillId="0" borderId="1" xfId="0" applyFont="1" applyBorder="1" applyAlignment="1">
      <alignment horizontal="left" vertical="top" wrapText="1"/>
    </xf>
    <xf numFmtId="4" fontId="5" fillId="0" borderId="1" xfId="0" applyNumberFormat="1" applyFont="1" applyFill="1" applyBorder="1" applyAlignment="1">
      <alignment horizontal="right" vertical="top"/>
    </xf>
    <xf numFmtId="0" fontId="5" fillId="0" borderId="0" xfId="0" applyFont="1" applyFill="1" applyBorder="1" applyAlignment="1"/>
    <xf numFmtId="0" fontId="5" fillId="0" borderId="1" xfId="0" applyFont="1" applyBorder="1" applyAlignment="1">
      <alignment vertical="center"/>
    </xf>
    <xf numFmtId="0" fontId="5" fillId="0" borderId="1" xfId="0" applyFont="1" applyBorder="1" applyAlignment="1">
      <alignment horizontal="right" vertical="top"/>
    </xf>
    <xf numFmtId="0" fontId="5" fillId="0" borderId="1" xfId="0" applyFont="1" applyFill="1" applyBorder="1" applyAlignment="1">
      <alignment horizontal="right" vertical="top"/>
    </xf>
    <xf numFmtId="0" fontId="6" fillId="0" borderId="0" xfId="0" applyFont="1"/>
    <xf numFmtId="4" fontId="8" fillId="0" borderId="1" xfId="0" applyNumberFormat="1" applyFont="1" applyFill="1" applyBorder="1" applyAlignment="1">
      <alignment horizontal="right" vertical="top"/>
    </xf>
    <xf numFmtId="0" fontId="2" fillId="0" borderId="1" xfId="0" applyFont="1" applyBorder="1" applyAlignment="1"/>
    <xf numFmtId="165" fontId="0" fillId="0" borderId="0" xfId="0" applyNumberFormat="1"/>
    <xf numFmtId="164" fontId="0" fillId="0" borderId="0" xfId="0" applyNumberFormat="1"/>
    <xf numFmtId="10" fontId="0" fillId="0" borderId="0" xfId="0" applyNumberFormat="1"/>
    <xf numFmtId="0" fontId="7" fillId="0" borderId="1" xfId="0" applyFont="1" applyFill="1" applyBorder="1" applyAlignment="1">
      <alignment horizontal="center" vertical="center" wrapText="1"/>
    </xf>
    <xf numFmtId="2" fontId="0" fillId="0" borderId="0" xfId="0" applyNumberFormat="1"/>
    <xf numFmtId="0" fontId="10"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9" fillId="0" borderId="0" xfId="0" quotePrefix="1" applyFont="1" applyFill="1" applyBorder="1" applyAlignment="1"/>
    <xf numFmtId="0" fontId="9" fillId="0" borderId="0" xfId="0" applyFont="1" applyFill="1" applyBorder="1" applyAlignment="1"/>
    <xf numFmtId="0" fontId="9" fillId="0" borderId="0" xfId="0" applyFont="1" applyFill="1" applyBorder="1" applyAlignment="1">
      <alignment vertical="center"/>
    </xf>
    <xf numFmtId="165" fontId="9" fillId="0" borderId="0" xfId="0" applyNumberFormat="1" applyFont="1" applyFill="1" applyBorder="1" applyAlignment="1">
      <alignment vertical="center"/>
    </xf>
    <xf numFmtId="165" fontId="9" fillId="0" borderId="0" xfId="0" applyNumberFormat="1" applyFont="1" applyFill="1" applyBorder="1" applyAlignment="1"/>
    <xf numFmtId="0" fontId="9" fillId="0" borderId="0" xfId="0" applyFont="1" applyFill="1" applyBorder="1" applyAlignment="1">
      <alignment horizontal="center" vertical="center"/>
    </xf>
    <xf numFmtId="2" fontId="9" fillId="0" borderId="0" xfId="0" applyNumberFormat="1" applyFont="1" applyFill="1" applyBorder="1" applyAlignment="1">
      <alignment vertical="center" wrapText="1"/>
    </xf>
    <xf numFmtId="0" fontId="9" fillId="0" borderId="0" xfId="0" applyFont="1" applyFill="1" applyBorder="1" applyAlignment="1">
      <alignment horizontal="right" vertical="center" wrapText="1"/>
    </xf>
    <xf numFmtId="0" fontId="11" fillId="5" borderId="1"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1" xfId="0" quotePrefix="1" applyFont="1" applyFill="1" applyBorder="1" applyAlignment="1">
      <alignment horizontal="right" vertical="top"/>
    </xf>
    <xf numFmtId="3" fontId="9" fillId="4" borderId="1" xfId="0" applyNumberFormat="1" applyFont="1" applyFill="1" applyBorder="1"/>
    <xf numFmtId="3" fontId="9" fillId="4" borderId="1" xfId="0" applyNumberFormat="1" applyFont="1" applyFill="1" applyBorder="1" applyAlignment="1">
      <alignment horizontal="center" vertical="center" wrapText="1"/>
    </xf>
    <xf numFmtId="0" fontId="9" fillId="4" borderId="1" xfId="0" applyFont="1" applyFill="1" applyBorder="1" applyAlignment="1">
      <alignment wrapText="1"/>
    </xf>
    <xf numFmtId="3" fontId="9" fillId="4" borderId="1" xfId="0" applyNumberFormat="1" applyFont="1" applyFill="1" applyBorder="1" applyAlignment="1">
      <alignment horizontal="center" vertical="center"/>
    </xf>
    <xf numFmtId="0" fontId="9" fillId="6" borderId="1" xfId="0" applyFont="1" applyFill="1" applyBorder="1" applyAlignment="1">
      <alignment vertical="center" wrapText="1"/>
    </xf>
    <xf numFmtId="0" fontId="9" fillId="6" borderId="1" xfId="0" quotePrefix="1" applyFont="1" applyFill="1" applyBorder="1" applyAlignment="1">
      <alignment horizontal="right" vertical="top"/>
    </xf>
    <xf numFmtId="0" fontId="9" fillId="6" borderId="1" xfId="0" applyFont="1" applyFill="1" applyBorder="1" applyAlignment="1">
      <alignment horizontal="right" vertical="top"/>
    </xf>
    <xf numFmtId="3" fontId="9" fillId="6" borderId="1" xfId="0" applyNumberFormat="1" applyFont="1" applyFill="1" applyBorder="1" applyAlignment="1">
      <alignment horizontal="right" vertical="top"/>
    </xf>
    <xf numFmtId="0" fontId="9" fillId="6" borderId="1" xfId="0" applyFont="1" applyFill="1" applyBorder="1" applyAlignment="1">
      <alignment horizontal="left" vertical="top" wrapText="1"/>
    </xf>
    <xf numFmtId="0" fontId="9" fillId="7" borderId="1" xfId="0" applyFont="1" applyFill="1" applyBorder="1" applyAlignment="1">
      <alignment vertical="center" wrapText="1"/>
    </xf>
    <xf numFmtId="0" fontId="9" fillId="7" borderId="1" xfId="0" quotePrefix="1" applyFont="1" applyFill="1" applyBorder="1" applyAlignment="1">
      <alignment horizontal="right" vertical="top"/>
    </xf>
    <xf numFmtId="0" fontId="9" fillId="7" borderId="1" xfId="0" applyFont="1" applyFill="1" applyBorder="1" applyAlignment="1">
      <alignment horizontal="right" vertical="top"/>
    </xf>
    <xf numFmtId="3" fontId="9" fillId="7" borderId="1" xfId="0" applyNumberFormat="1" applyFont="1" applyFill="1" applyBorder="1" applyAlignment="1">
      <alignment horizontal="right" vertical="top"/>
    </xf>
    <xf numFmtId="165" fontId="9" fillId="7" borderId="1" xfId="0" applyNumberFormat="1" applyFont="1" applyFill="1" applyBorder="1" applyAlignment="1">
      <alignment vertical="center" wrapText="1"/>
    </xf>
    <xf numFmtId="165" fontId="9" fillId="7" borderId="1" xfId="0" quotePrefix="1" applyNumberFormat="1" applyFont="1" applyFill="1" applyBorder="1" applyAlignment="1">
      <alignment horizontal="right" vertical="top"/>
    </xf>
    <xf numFmtId="165" fontId="9" fillId="7" borderId="1" xfId="0" applyNumberFormat="1" applyFont="1" applyFill="1" applyBorder="1" applyAlignment="1">
      <alignment horizontal="right" vertical="top"/>
    </xf>
    <xf numFmtId="0" fontId="9" fillId="7" borderId="1" xfId="0" applyFont="1" applyFill="1" applyBorder="1" applyAlignment="1">
      <alignment horizontal="left" vertical="top" wrapText="1"/>
    </xf>
    <xf numFmtId="2" fontId="9" fillId="7" borderId="1" xfId="0" quotePrefix="1" applyNumberFormat="1" applyFont="1" applyFill="1" applyBorder="1" applyAlignment="1">
      <alignment horizontal="right" vertical="center" wrapText="1"/>
    </xf>
    <xf numFmtId="2" fontId="9" fillId="7" borderId="1" xfId="0" applyNumberFormat="1" applyFont="1" applyFill="1" applyBorder="1" applyAlignment="1">
      <alignment horizontal="right" vertical="center" wrapText="1"/>
    </xf>
    <xf numFmtId="2" fontId="9" fillId="7" borderId="1" xfId="0" applyNumberFormat="1" applyFont="1" applyFill="1" applyBorder="1" applyAlignment="1">
      <alignment vertical="center" wrapText="1"/>
    </xf>
    <xf numFmtId="0" fontId="9" fillId="8" borderId="1" xfId="0" applyFont="1" applyFill="1" applyBorder="1" applyAlignment="1">
      <alignment horizontal="left" vertical="top" wrapText="1"/>
    </xf>
    <xf numFmtId="0" fontId="9" fillId="8" borderId="1" xfId="0" quotePrefix="1" applyFont="1" applyFill="1" applyBorder="1" applyAlignment="1">
      <alignment horizontal="right" vertical="top"/>
    </xf>
    <xf numFmtId="3" fontId="9" fillId="8" borderId="1" xfId="0" applyNumberFormat="1" applyFont="1" applyFill="1" applyBorder="1" applyAlignment="1">
      <alignment horizontal="right" vertical="top" wrapText="1"/>
    </xf>
    <xf numFmtId="0" fontId="9" fillId="8" borderId="1" xfId="0" applyFont="1" applyFill="1" applyBorder="1" applyAlignment="1">
      <alignment horizontal="center" vertical="center"/>
    </xf>
    <xf numFmtId="3" fontId="9" fillId="8" borderId="1" xfId="0" applyNumberFormat="1" applyFont="1" applyFill="1" applyBorder="1" applyAlignment="1">
      <alignment horizontal="center" vertical="center"/>
    </xf>
    <xf numFmtId="0" fontId="9" fillId="8" borderId="1" xfId="0" applyFont="1" applyFill="1" applyBorder="1" applyAlignment="1">
      <alignment horizontal="right" vertical="top" wrapText="1"/>
    </xf>
    <xf numFmtId="0" fontId="9" fillId="8" borderId="1" xfId="0" applyFont="1" applyFill="1" applyBorder="1" applyAlignment="1"/>
    <xf numFmtId="3" fontId="9" fillId="8" borderId="1" xfId="0" applyNumberFormat="1" applyFont="1" applyFill="1" applyBorder="1" applyAlignment="1">
      <alignment horizontal="center" vertical="center" wrapText="1"/>
    </xf>
    <xf numFmtId="164" fontId="9" fillId="8" borderId="1" xfId="0" applyNumberFormat="1" applyFont="1" applyFill="1" applyBorder="1" applyAlignment="1"/>
    <xf numFmtId="165" fontId="9" fillId="8" borderId="1" xfId="0" applyNumberFormat="1" applyFont="1" applyFill="1" applyBorder="1" applyAlignment="1">
      <alignment horizontal="left" vertical="top" wrapText="1"/>
    </xf>
    <xf numFmtId="165" fontId="9" fillId="8" borderId="1" xfId="0" quotePrefix="1" applyNumberFormat="1" applyFont="1" applyFill="1" applyBorder="1" applyAlignment="1">
      <alignment horizontal="right" vertical="top"/>
    </xf>
    <xf numFmtId="165" fontId="9" fillId="8" borderId="1" xfId="0" applyNumberFormat="1" applyFont="1" applyFill="1" applyBorder="1" applyAlignment="1">
      <alignment horizontal="right" vertical="top" wrapText="1"/>
    </xf>
    <xf numFmtId="0" fontId="9" fillId="8" borderId="3" xfId="0" applyFont="1" applyFill="1" applyBorder="1" applyAlignment="1">
      <alignment horizontal="left" vertical="top" wrapText="1"/>
    </xf>
    <xf numFmtId="0" fontId="9" fillId="8" borderId="4" xfId="0" applyFont="1" applyFill="1" applyBorder="1" applyAlignment="1">
      <alignment horizontal="left" vertical="top" wrapText="1"/>
    </xf>
    <xf numFmtId="0" fontId="13" fillId="0" borderId="0" xfId="0" applyFont="1" applyFill="1" applyBorder="1" applyAlignment="1"/>
    <xf numFmtId="0" fontId="9" fillId="8" borderId="1" xfId="0" applyFont="1" applyFill="1" applyBorder="1" applyAlignment="1">
      <alignment horizontal="center" vertical="top" wrapText="1"/>
    </xf>
    <xf numFmtId="3" fontId="9" fillId="8" borderId="1" xfId="0" applyNumberFormat="1" applyFont="1" applyFill="1" applyBorder="1" applyAlignment="1">
      <alignment horizontal="center" vertical="top" wrapText="1"/>
    </xf>
    <xf numFmtId="0" fontId="0" fillId="0" borderId="0" xfId="0" applyAlignment="1">
      <alignment horizontal="center"/>
    </xf>
    <xf numFmtId="165" fontId="11" fillId="5" borderId="1" xfId="0" applyNumberFormat="1" applyFont="1" applyFill="1" applyBorder="1" applyAlignment="1">
      <alignment horizontal="center" vertical="top" wrapText="1"/>
    </xf>
    <xf numFmtId="0" fontId="0" fillId="0" borderId="0" xfId="0" applyAlignment="1">
      <alignment wrapText="1" shrinkToFit="1"/>
    </xf>
    <xf numFmtId="0" fontId="12" fillId="10" borderId="1" xfId="0" applyFont="1" applyFill="1" applyBorder="1" applyAlignment="1">
      <alignment wrapText="1" shrinkToFit="1"/>
    </xf>
    <xf numFmtId="0" fontId="0" fillId="2" borderId="1" xfId="0" applyFill="1" applyBorder="1" applyAlignment="1">
      <alignment horizontal="center"/>
    </xf>
    <xf numFmtId="164" fontId="1" fillId="0" borderId="1" xfId="0" applyNumberFormat="1" applyFont="1" applyBorder="1"/>
    <xf numFmtId="1" fontId="9" fillId="8" borderId="1" xfId="0" applyNumberFormat="1" applyFont="1" applyFill="1" applyBorder="1" applyAlignment="1">
      <alignment horizontal="right" vertical="top" wrapText="1"/>
    </xf>
    <xf numFmtId="1" fontId="9" fillId="8" borderId="1" xfId="0" applyNumberFormat="1" applyFont="1" applyFill="1" applyBorder="1" applyAlignment="1">
      <alignment horizontal="center" vertical="top" wrapText="1"/>
    </xf>
    <xf numFmtId="0" fontId="11" fillId="11" borderId="10" xfId="0" applyFont="1" applyFill="1" applyBorder="1" applyAlignment="1">
      <alignment horizontal="center" vertical="center" wrapText="1"/>
    </xf>
    <xf numFmtId="0" fontId="14" fillId="0" borderId="10" xfId="0" applyFont="1" applyBorder="1" applyAlignment="1">
      <alignment vertical="center" wrapText="1"/>
    </xf>
    <xf numFmtId="0" fontId="14" fillId="0" borderId="10" xfId="0" applyFont="1" applyBorder="1" applyAlignment="1">
      <alignment horizontal="center" vertical="center" wrapText="1"/>
    </xf>
    <xf numFmtId="0" fontId="14" fillId="0" borderId="10" xfId="0" applyFont="1" applyBorder="1" applyAlignment="1">
      <alignment horizontal="center" vertical="center"/>
    </xf>
    <xf numFmtId="0" fontId="14" fillId="2" borderId="12" xfId="0" applyFont="1" applyFill="1" applyBorder="1" applyAlignment="1">
      <alignment vertical="center" wrapText="1"/>
    </xf>
    <xf numFmtId="0" fontId="0" fillId="2" borderId="1" xfId="0" applyFill="1" applyBorder="1"/>
    <xf numFmtId="0" fontId="14" fillId="2" borderId="10" xfId="0" applyFont="1" applyFill="1" applyBorder="1" applyAlignment="1">
      <alignment vertical="center" wrapText="1"/>
    </xf>
    <xf numFmtId="0" fontId="0" fillId="2" borderId="0" xfId="0" applyFill="1"/>
    <xf numFmtId="0" fontId="14" fillId="2" borderId="13" xfId="0" applyFont="1" applyFill="1" applyBorder="1" applyAlignment="1">
      <alignment vertical="center" wrapText="1"/>
    </xf>
    <xf numFmtId="0" fontId="14" fillId="2" borderId="11" xfId="0" applyFont="1" applyFill="1" applyBorder="1" applyAlignment="1">
      <alignment vertical="center" wrapText="1"/>
    </xf>
    <xf numFmtId="0" fontId="14"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14" fillId="2" borderId="9" xfId="0" applyFont="1" applyFill="1" applyBorder="1" applyAlignment="1">
      <alignment vertical="center" wrapText="1"/>
    </xf>
    <xf numFmtId="0" fontId="14" fillId="7" borderId="5" xfId="0" applyFont="1" applyFill="1" applyBorder="1" applyAlignment="1">
      <alignment vertical="center" wrapText="1"/>
    </xf>
    <xf numFmtId="0" fontId="14" fillId="7" borderId="5"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15" xfId="0" applyFont="1" applyFill="1" applyBorder="1" applyAlignment="1">
      <alignment vertical="center" wrapText="1"/>
    </xf>
    <xf numFmtId="0" fontId="14" fillId="7" borderId="10" xfId="0" applyFont="1" applyFill="1" applyBorder="1" applyAlignment="1">
      <alignment vertical="center" wrapText="1"/>
    </xf>
    <xf numFmtId="0" fontId="14" fillId="7" borderId="15" xfId="0" applyFont="1" applyFill="1" applyBorder="1" applyAlignment="1">
      <alignment horizontal="center" vertical="center"/>
    </xf>
    <xf numFmtId="0" fontId="14" fillId="7" borderId="15" xfId="0" applyFont="1" applyFill="1" applyBorder="1" applyAlignment="1">
      <alignment horizontal="center" vertical="center" wrapText="1"/>
    </xf>
    <xf numFmtId="0" fontId="14" fillId="7" borderId="10" xfId="0" applyFont="1" applyFill="1" applyBorder="1" applyAlignment="1">
      <alignment horizontal="center" vertical="center"/>
    </xf>
    <xf numFmtId="0" fontId="14" fillId="0" borderId="14" xfId="0" applyFont="1" applyBorder="1" applyAlignment="1">
      <alignment vertical="center" wrapText="1"/>
    </xf>
    <xf numFmtId="0" fontId="0" fillId="0" borderId="14" xfId="0" applyBorder="1" applyAlignment="1">
      <alignment vertical="top" wrapText="1"/>
    </xf>
    <xf numFmtId="0" fontId="0" fillId="0" borderId="10" xfId="0" applyBorder="1" applyAlignment="1">
      <alignment vertical="top" wrapText="1"/>
    </xf>
    <xf numFmtId="0" fontId="0" fillId="0" borderId="1" xfId="0" applyBorder="1"/>
    <xf numFmtId="3" fontId="0" fillId="0" borderId="1" xfId="0" applyNumberFormat="1" applyBorder="1"/>
    <xf numFmtId="0" fontId="11" fillId="11" borderId="12" xfId="0" applyFont="1" applyFill="1" applyBorder="1" applyAlignment="1">
      <alignment horizontal="center" vertical="center" wrapText="1"/>
    </xf>
    <xf numFmtId="0" fontId="0" fillId="0" borderId="0" xfId="0" applyFill="1"/>
    <xf numFmtId="0" fontId="20" fillId="0" borderId="10" xfId="0" applyFont="1" applyBorder="1" applyAlignment="1">
      <alignment vertical="center" wrapText="1"/>
    </xf>
    <xf numFmtId="0" fontId="14" fillId="0" borderId="14" xfId="0" applyFont="1" applyBorder="1" applyAlignment="1">
      <alignment horizontal="center" vertical="center" wrapText="1"/>
    </xf>
    <xf numFmtId="0" fontId="20" fillId="2" borderId="12" xfId="0" applyFont="1" applyFill="1" applyBorder="1" applyAlignment="1">
      <alignment vertical="center" wrapText="1"/>
    </xf>
    <xf numFmtId="0" fontId="14" fillId="2" borderId="16" xfId="0" applyFont="1" applyFill="1" applyBorder="1" applyAlignment="1">
      <alignment vertical="center" wrapText="1"/>
    </xf>
    <xf numFmtId="0" fontId="14" fillId="2" borderId="1" xfId="0" applyFont="1" applyFill="1" applyBorder="1" applyAlignment="1">
      <alignment vertical="center" wrapText="1"/>
    </xf>
    <xf numFmtId="0" fontId="20" fillId="2" borderId="13" xfId="0" applyFont="1" applyFill="1" applyBorder="1" applyAlignment="1">
      <alignment vertical="center" wrapText="1"/>
    </xf>
    <xf numFmtId="0" fontId="20" fillId="2" borderId="16" xfId="0" applyFont="1" applyFill="1" applyBorder="1" applyAlignment="1">
      <alignment vertical="center" wrapText="1"/>
    </xf>
    <xf numFmtId="0" fontId="14" fillId="2" borderId="16"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9" fillId="8" borderId="2" xfId="0" applyFont="1" applyFill="1" applyBorder="1" applyAlignment="1">
      <alignment horizontal="left" vertical="top" wrapText="1"/>
    </xf>
    <xf numFmtId="1" fontId="9" fillId="8" borderId="1" xfId="0" quotePrefix="1" applyNumberFormat="1" applyFont="1" applyFill="1" applyBorder="1" applyAlignment="1">
      <alignment horizontal="right" vertical="top"/>
    </xf>
    <xf numFmtId="164" fontId="9" fillId="8" borderId="1" xfId="0" applyNumberFormat="1" applyFont="1" applyFill="1" applyBorder="1" applyAlignment="1">
      <alignment horizontal="right" vertical="top" wrapText="1"/>
    </xf>
    <xf numFmtId="164" fontId="9" fillId="8" borderId="1" xfId="0" applyNumberFormat="1" applyFont="1" applyFill="1" applyBorder="1"/>
    <xf numFmtId="0" fontId="22" fillId="0" borderId="0" xfId="0" applyFont="1"/>
    <xf numFmtId="0" fontId="22" fillId="0" borderId="1" xfId="0" applyFont="1" applyBorder="1"/>
    <xf numFmtId="0" fontId="14" fillId="2" borderId="14" xfId="0" applyFont="1" applyFill="1" applyBorder="1" applyAlignment="1">
      <alignment vertical="center" wrapText="1"/>
    </xf>
    <xf numFmtId="0" fontId="11" fillId="11" borderId="26" xfId="0" applyFont="1" applyFill="1" applyBorder="1" applyAlignment="1">
      <alignment horizontal="center" vertical="center" wrapText="1"/>
    </xf>
    <xf numFmtId="0" fontId="14" fillId="0" borderId="26" xfId="0" applyFont="1" applyBorder="1" applyAlignment="1">
      <alignment horizontal="center" vertical="center" wrapText="1"/>
    </xf>
    <xf numFmtId="0" fontId="14" fillId="7" borderId="1" xfId="0" applyFont="1" applyFill="1" applyBorder="1" applyAlignment="1">
      <alignment vertical="center" wrapText="1"/>
    </xf>
    <xf numFmtId="0" fontId="0" fillId="7" borderId="1" xfId="0" applyFill="1" applyBorder="1" applyAlignment="1">
      <alignment wrapText="1"/>
    </xf>
    <xf numFmtId="0" fontId="11" fillId="11"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14" fillId="2" borderId="34" xfId="0" applyFont="1" applyFill="1" applyBorder="1" applyAlignment="1">
      <alignment vertical="center" wrapText="1"/>
    </xf>
    <xf numFmtId="0" fontId="14" fillId="2" borderId="35" xfId="0" applyFont="1" applyFill="1" applyBorder="1" applyAlignment="1">
      <alignment vertical="center" wrapText="1"/>
    </xf>
    <xf numFmtId="0" fontId="14" fillId="2" borderId="26" xfId="0" applyFont="1" applyFill="1" applyBorder="1" applyAlignment="1">
      <alignment vertical="center" wrapText="1"/>
    </xf>
    <xf numFmtId="0" fontId="14" fillId="2" borderId="26" xfId="0" applyFont="1" applyFill="1" applyBorder="1" applyAlignment="1">
      <alignment horizontal="center" vertical="center" wrapText="1"/>
    </xf>
    <xf numFmtId="0" fontId="14" fillId="2" borderId="36" xfId="0" applyFont="1" applyFill="1" applyBorder="1" applyAlignment="1">
      <alignment vertical="center" wrapText="1"/>
    </xf>
    <xf numFmtId="0" fontId="23" fillId="12" borderId="10" xfId="0" applyFont="1" applyFill="1" applyBorder="1" applyAlignment="1">
      <alignment horizontal="center" vertical="center" wrapText="1"/>
    </xf>
    <xf numFmtId="0" fontId="24" fillId="0" borderId="14"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0" xfId="0" applyFont="1" applyBorder="1" applyAlignment="1">
      <alignment vertical="center" wrapText="1"/>
    </xf>
    <xf numFmtId="0" fontId="24" fillId="0" borderId="14" xfId="0" applyFont="1" applyBorder="1" applyAlignment="1">
      <alignment vertical="center" wrapText="1"/>
    </xf>
    <xf numFmtId="3" fontId="24" fillId="0" borderId="10" xfId="0" applyNumberFormat="1" applyFont="1" applyBorder="1" applyAlignment="1">
      <alignment horizontal="center" vertical="center" wrapText="1"/>
    </xf>
    <xf numFmtId="0" fontId="26" fillId="0" borderId="10" xfId="0" applyFont="1" applyBorder="1" applyAlignment="1">
      <alignment vertical="center" wrapText="1"/>
    </xf>
    <xf numFmtId="0" fontId="24" fillId="0" borderId="10" xfId="0" applyFont="1" applyBorder="1" applyAlignment="1">
      <alignment horizontal="right" vertical="center" wrapText="1"/>
    </xf>
    <xf numFmtId="0" fontId="27" fillId="0" borderId="14" xfId="0" applyFont="1" applyBorder="1" applyAlignment="1">
      <alignment vertical="top" wrapText="1"/>
    </xf>
    <xf numFmtId="0" fontId="27" fillId="0" borderId="10" xfId="0" applyFont="1" applyBorder="1" applyAlignment="1">
      <alignment vertical="top" wrapText="1"/>
    </xf>
    <xf numFmtId="0" fontId="28" fillId="0" borderId="0" xfId="0" applyFont="1"/>
    <xf numFmtId="0" fontId="29" fillId="0" borderId="0" xfId="0" applyFont="1"/>
    <xf numFmtId="0" fontId="11" fillId="5" borderId="1" xfId="0" applyFont="1" applyFill="1" applyBorder="1" applyAlignment="1">
      <alignment horizontal="center" vertical="center" wrapText="1"/>
    </xf>
    <xf numFmtId="0" fontId="9" fillId="7"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0" fillId="0" borderId="0" xfId="0" applyAlignment="1">
      <alignment horizontal="center" wrapText="1" shrinkToFit="1"/>
    </xf>
    <xf numFmtId="4" fontId="13" fillId="0" borderId="0" xfId="0" applyNumberFormat="1" applyFont="1" applyFill="1" applyBorder="1" applyAlignment="1">
      <alignment horizontal="right" vertical="center" wrapText="1"/>
    </xf>
    <xf numFmtId="165" fontId="13" fillId="0" borderId="0" xfId="0" applyNumberFormat="1" applyFont="1" applyFill="1" applyBorder="1" applyAlignment="1">
      <alignment horizontal="right" vertical="center" wrapText="1"/>
    </xf>
    <xf numFmtId="165" fontId="13" fillId="0" borderId="0" xfId="0" applyNumberFormat="1" applyFont="1" applyFill="1" applyBorder="1" applyAlignment="1"/>
    <xf numFmtId="2" fontId="0" fillId="8" borderId="1" xfId="0" applyNumberFormat="1" applyFill="1" applyBorder="1" applyAlignment="1">
      <alignment horizontal="center"/>
    </xf>
    <xf numFmtId="0" fontId="20" fillId="13" borderId="1" xfId="0" applyFont="1" applyFill="1" applyBorder="1" applyAlignment="1">
      <alignment vertical="center" wrapText="1"/>
    </xf>
    <xf numFmtId="0" fontId="20" fillId="2" borderId="0" xfId="0" applyFont="1" applyFill="1" applyBorder="1" applyAlignment="1">
      <alignment vertical="center" wrapText="1"/>
    </xf>
    <xf numFmtId="0" fontId="14" fillId="2" borderId="2" xfId="0" applyFont="1" applyFill="1" applyBorder="1" applyAlignment="1">
      <alignment vertical="center" wrapText="1"/>
    </xf>
    <xf numFmtId="0" fontId="14" fillId="2" borderId="0" xfId="0" applyFont="1" applyFill="1" applyBorder="1" applyAlignment="1">
      <alignment vertical="center" wrapText="1"/>
    </xf>
    <xf numFmtId="0" fontId="0" fillId="2" borderId="2" xfId="0" applyFill="1" applyBorder="1"/>
    <xf numFmtId="9" fontId="14" fillId="2" borderId="10" xfId="0" applyNumberFormat="1" applyFont="1" applyFill="1" applyBorder="1" applyAlignment="1">
      <alignment horizontal="center" vertical="center" wrapText="1"/>
    </xf>
    <xf numFmtId="0" fontId="9" fillId="14" borderId="0" xfId="0" applyFont="1" applyFill="1" applyBorder="1" applyAlignment="1"/>
    <xf numFmtId="3" fontId="20" fillId="13" borderId="1" xfId="0" applyNumberFormat="1" applyFont="1" applyFill="1" applyBorder="1" applyAlignment="1">
      <alignment horizontal="right" vertical="center" wrapText="1"/>
    </xf>
    <xf numFmtId="9" fontId="9" fillId="7" borderId="1" xfId="0" applyNumberFormat="1" applyFont="1" applyFill="1" applyBorder="1" applyAlignment="1">
      <alignment horizontal="right" vertical="top"/>
    </xf>
    <xf numFmtId="0" fontId="9" fillId="8" borderId="1" xfId="0" applyFont="1" applyFill="1" applyBorder="1" applyAlignment="1">
      <alignment horizontal="center" vertical="center" wrapText="1"/>
    </xf>
    <xf numFmtId="0" fontId="31" fillId="8" borderId="1" xfId="0" quotePrefix="1" applyFont="1" applyFill="1" applyBorder="1" applyAlignment="1">
      <alignment horizontal="center" vertical="top"/>
    </xf>
    <xf numFmtId="0" fontId="31" fillId="0" borderId="0" xfId="0" applyFont="1" applyAlignment="1">
      <alignment horizontal="center"/>
    </xf>
    <xf numFmtId="0" fontId="30" fillId="5"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164" fontId="32" fillId="0" borderId="1" xfId="0" applyNumberFormat="1" applyFont="1" applyBorder="1"/>
    <xf numFmtId="0" fontId="33" fillId="5" borderId="0"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5" fillId="5" borderId="4" xfId="0" applyFont="1" applyFill="1" applyBorder="1" applyAlignment="1">
      <alignment horizontal="center" vertical="center" wrapText="1"/>
    </xf>
    <xf numFmtId="0" fontId="35" fillId="5" borderId="4" xfId="0" applyFont="1" applyFill="1" applyBorder="1" applyAlignment="1">
      <alignment horizontal="center" vertical="center"/>
    </xf>
    <xf numFmtId="0" fontId="35" fillId="5" borderId="4" xfId="0" applyFont="1" applyFill="1" applyBorder="1" applyAlignment="1">
      <alignment vertical="center" wrapText="1"/>
    </xf>
    <xf numFmtId="0" fontId="34" fillId="5" borderId="1" xfId="0" applyFont="1" applyFill="1" applyBorder="1" applyAlignment="1">
      <alignment vertical="center" wrapText="1"/>
    </xf>
    <xf numFmtId="0" fontId="12" fillId="10" borderId="0" xfId="0" applyFont="1" applyFill="1" applyAlignment="1">
      <alignment wrapText="1"/>
    </xf>
    <xf numFmtId="0" fontId="0" fillId="0" borderId="0" xfId="0" applyAlignment="1">
      <alignment wrapText="1"/>
    </xf>
    <xf numFmtId="0" fontId="31" fillId="9" borderId="1" xfId="0" applyFont="1" applyFill="1" applyBorder="1" applyAlignment="1">
      <alignment wrapText="1" shrinkToFit="1"/>
    </xf>
    <xf numFmtId="0" fontId="31" fillId="9" borderId="1" xfId="0" applyFont="1" applyFill="1" applyBorder="1" applyAlignment="1">
      <alignment horizontal="center" wrapText="1" shrinkToFit="1"/>
    </xf>
    <xf numFmtId="3" fontId="31" fillId="9" borderId="1" xfId="0" applyNumberFormat="1" applyFont="1" applyFill="1" applyBorder="1" applyAlignment="1">
      <alignment wrapText="1" shrinkToFit="1"/>
    </xf>
    <xf numFmtId="9" fontId="31" fillId="9" borderId="1" xfId="0" applyNumberFormat="1" applyFont="1" applyFill="1" applyBorder="1" applyAlignment="1">
      <alignment wrapText="1" shrinkToFit="1"/>
    </xf>
    <xf numFmtId="0" fontId="0" fillId="0" borderId="0" xfId="0" applyFill="1" applyAlignment="1">
      <alignment wrapText="1" shrinkToFit="1"/>
    </xf>
    <xf numFmtId="3" fontId="31" fillId="0" borderId="0" xfId="0" applyNumberFormat="1" applyFont="1" applyFill="1" applyBorder="1" applyAlignment="1">
      <alignment wrapText="1" shrinkToFit="1"/>
    </xf>
    <xf numFmtId="0" fontId="0" fillId="0" borderId="0" xfId="0" applyFill="1" applyBorder="1" applyAlignment="1">
      <alignment wrapText="1" shrinkToFit="1"/>
    </xf>
    <xf numFmtId="0" fontId="0" fillId="0" borderId="0" xfId="0" applyFill="1" applyBorder="1"/>
    <xf numFmtId="0" fontId="12" fillId="10" borderId="0" xfId="0" applyFont="1" applyFill="1" applyBorder="1" applyAlignment="1">
      <alignment wrapText="1" shrinkToFit="1"/>
    </xf>
    <xf numFmtId="0" fontId="31" fillId="9" borderId="0" xfId="0" applyFont="1" applyFill="1" applyBorder="1" applyAlignment="1">
      <alignment horizontal="center" wrapText="1" shrinkToFit="1"/>
    </xf>
    <xf numFmtId="0" fontId="0" fillId="9" borderId="1" xfId="0" applyFill="1" applyBorder="1" applyAlignment="1">
      <alignment horizontal="center" wrapText="1"/>
    </xf>
    <xf numFmtId="0" fontId="12" fillId="10" borderId="1" xfId="0" applyFont="1" applyFill="1" applyBorder="1" applyAlignment="1">
      <alignment horizontal="center" wrapText="1"/>
    </xf>
    <xf numFmtId="0" fontId="12" fillId="10" borderId="1" xfId="0" applyFont="1" applyFill="1" applyBorder="1" applyAlignment="1">
      <alignment horizontal="center" wrapText="1" shrinkToFit="1"/>
    </xf>
    <xf numFmtId="9" fontId="0" fillId="9" borderId="1" xfId="0" applyNumberFormat="1" applyFill="1" applyBorder="1" applyAlignment="1">
      <alignment horizontal="center" wrapText="1"/>
    </xf>
    <xf numFmtId="0" fontId="12" fillId="16" borderId="1" xfId="0" applyFont="1" applyFill="1" applyBorder="1" applyAlignment="1">
      <alignment wrapText="1" shrinkToFit="1"/>
    </xf>
    <xf numFmtId="0" fontId="12" fillId="16" borderId="1" xfId="0" applyFont="1" applyFill="1" applyBorder="1" applyAlignment="1">
      <alignment wrapText="1"/>
    </xf>
    <xf numFmtId="0" fontId="12" fillId="16" borderId="1" xfId="0" applyFont="1" applyFill="1" applyBorder="1"/>
    <xf numFmtId="0" fontId="12" fillId="17" borderId="1" xfId="0" applyFont="1" applyFill="1" applyBorder="1" applyAlignment="1">
      <alignment wrapText="1" shrinkToFit="1"/>
    </xf>
    <xf numFmtId="0" fontId="12" fillId="17" borderId="1" xfId="0" applyFont="1" applyFill="1" applyBorder="1" applyAlignment="1">
      <alignment wrapText="1"/>
    </xf>
    <xf numFmtId="164" fontId="12" fillId="17" borderId="1" xfId="0" applyNumberFormat="1" applyFont="1" applyFill="1" applyBorder="1" applyAlignment="1">
      <alignment wrapText="1" shrinkToFit="1"/>
    </xf>
    <xf numFmtId="0" fontId="0" fillId="2" borderId="1" xfId="0" applyFill="1" applyBorder="1" applyAlignment="1">
      <alignment wrapText="1"/>
    </xf>
    <xf numFmtId="0" fontId="12" fillId="0" borderId="0" xfId="0" applyFont="1" applyFill="1" applyBorder="1" applyAlignment="1">
      <alignment wrapText="1" shrinkToFit="1"/>
    </xf>
    <xf numFmtId="164" fontId="12" fillId="0" borderId="0" xfId="0" applyNumberFormat="1" applyFont="1" applyFill="1" applyBorder="1" applyAlignment="1">
      <alignment wrapText="1" shrinkToFit="1"/>
    </xf>
    <xf numFmtId="9" fontId="12" fillId="0" borderId="0" xfId="0" applyNumberFormat="1" applyFont="1" applyFill="1" applyBorder="1" applyAlignment="1">
      <alignment wrapText="1" shrinkToFit="1"/>
    </xf>
    <xf numFmtId="164" fontId="0" fillId="0" borderId="0" xfId="0" applyNumberFormat="1" applyFill="1" applyBorder="1" applyAlignment="1">
      <alignment horizontal="center" wrapText="1" shrinkToFit="1"/>
    </xf>
    <xf numFmtId="0" fontId="0" fillId="0" borderId="0" xfId="0" applyFill="1" applyBorder="1" applyAlignment="1">
      <alignment horizontal="center" wrapText="1" shrinkToFit="1"/>
    </xf>
    <xf numFmtId="164" fontId="31" fillId="2" borderId="1" xfId="0" applyNumberFormat="1" applyFont="1" applyFill="1" applyBorder="1" applyAlignment="1">
      <alignment wrapText="1" shrinkToFit="1"/>
    </xf>
    <xf numFmtId="9" fontId="31" fillId="2" borderId="1" xfId="0" applyNumberFormat="1" applyFont="1" applyFill="1" applyBorder="1" applyAlignment="1">
      <alignment wrapText="1" shrinkToFit="1"/>
    </xf>
    <xf numFmtId="164" fontId="31" fillId="2" borderId="1" xfId="0" applyNumberFormat="1" applyFont="1" applyFill="1" applyBorder="1" applyAlignment="1">
      <alignment horizontal="center" wrapText="1" shrinkToFit="1"/>
    </xf>
    <xf numFmtId="0" fontId="31" fillId="2" borderId="1" xfId="0" applyFont="1" applyFill="1" applyBorder="1" applyAlignment="1">
      <alignment horizontal="center" wrapText="1" shrinkToFit="1"/>
    </xf>
    <xf numFmtId="0" fontId="31" fillId="2" borderId="1" xfId="0" applyFont="1" applyFill="1" applyBorder="1" applyAlignment="1">
      <alignment wrapText="1"/>
    </xf>
    <xf numFmtId="3" fontId="0" fillId="0" borderId="0" xfId="0" applyNumberFormat="1" applyAlignment="1">
      <alignment wrapText="1"/>
    </xf>
    <xf numFmtId="0" fontId="12" fillId="5" borderId="1" xfId="0" applyFont="1" applyFill="1" applyBorder="1"/>
    <xf numFmtId="3" fontId="12" fillId="5" borderId="1" xfId="0" applyNumberFormat="1" applyFont="1" applyFill="1" applyBorder="1" applyAlignment="1">
      <alignment wrapText="1"/>
    </xf>
    <xf numFmtId="3" fontId="0" fillId="8" borderId="1" xfId="0" applyNumberFormat="1" applyFill="1" applyBorder="1" applyAlignment="1">
      <alignment wrapText="1"/>
    </xf>
    <xf numFmtId="0" fontId="0" fillId="7" borderId="1" xfId="0" applyFill="1" applyBorder="1" applyAlignment="1">
      <alignment horizontal="center" wrapText="1" shrinkToFit="1"/>
    </xf>
    <xf numFmtId="0" fontId="35" fillId="15" borderId="1" xfId="0" applyFont="1" applyFill="1" applyBorder="1" applyAlignment="1">
      <alignment vertical="center" wrapText="1"/>
    </xf>
    <xf numFmtId="0" fontId="20" fillId="15" borderId="1" xfId="0" applyFont="1" applyFill="1" applyBorder="1" applyAlignment="1">
      <alignment vertical="center" wrapText="1"/>
    </xf>
    <xf numFmtId="0" fontId="14" fillId="15" borderId="1" xfId="0" applyFont="1" applyFill="1" applyBorder="1" applyAlignment="1">
      <alignment vertical="center" wrapText="1"/>
    </xf>
    <xf numFmtId="0" fontId="14" fillId="15" borderId="1" xfId="0" applyFont="1" applyFill="1" applyBorder="1" applyAlignment="1">
      <alignment horizontal="center" vertical="center" wrapText="1"/>
    </xf>
    <xf numFmtId="0" fontId="14" fillId="15" borderId="1" xfId="0" applyFont="1" applyFill="1" applyBorder="1" applyAlignment="1">
      <alignment horizontal="center" vertical="center"/>
    </xf>
    <xf numFmtId="3" fontId="20" fillId="15" borderId="1" xfId="0" applyNumberFormat="1" applyFont="1" applyFill="1" applyBorder="1" applyAlignment="1">
      <alignment vertical="center" wrapText="1"/>
    </xf>
    <xf numFmtId="3" fontId="14" fillId="15" borderId="1" xfId="0" applyNumberFormat="1" applyFont="1" applyFill="1" applyBorder="1" applyAlignment="1">
      <alignment vertical="center" wrapText="1"/>
    </xf>
    <xf numFmtId="3" fontId="14" fillId="15" borderId="1" xfId="0" applyNumberFormat="1" applyFont="1" applyFill="1" applyBorder="1" applyAlignment="1">
      <alignment vertical="center"/>
    </xf>
    <xf numFmtId="3" fontId="14" fillId="15" borderId="1" xfId="0" applyNumberFormat="1" applyFont="1" applyFill="1" applyBorder="1" applyAlignment="1">
      <alignment horizontal="center" vertical="center" wrapText="1"/>
    </xf>
    <xf numFmtId="0" fontId="0" fillId="15" borderId="1" xfId="0" applyFill="1" applyBorder="1"/>
    <xf numFmtId="0" fontId="9" fillId="15" borderId="1" xfId="0" applyFont="1" applyFill="1" applyBorder="1" applyAlignment="1">
      <alignment vertical="center" wrapText="1"/>
    </xf>
    <xf numFmtId="0" fontId="36" fillId="15" borderId="1" xfId="0" applyFont="1" applyFill="1" applyBorder="1" applyAlignment="1">
      <alignment horizontal="center" vertical="center" wrapText="1"/>
    </xf>
    <xf numFmtId="0" fontId="36" fillId="15" borderId="1" xfId="0" applyFont="1" applyFill="1" applyBorder="1" applyAlignment="1">
      <alignment horizontal="center" vertical="center"/>
    </xf>
    <xf numFmtId="9" fontId="36" fillId="15" borderId="1" xfId="0" applyNumberFormat="1" applyFont="1" applyFill="1" applyBorder="1" applyAlignment="1">
      <alignment vertical="center" wrapText="1"/>
    </xf>
    <xf numFmtId="0" fontId="36" fillId="15" borderId="1" xfId="0" applyFont="1" applyFill="1" applyBorder="1" applyAlignment="1">
      <alignment vertical="center" wrapText="1"/>
    </xf>
    <xf numFmtId="0" fontId="34" fillId="0" borderId="0" xfId="0" applyFont="1" applyFill="1"/>
    <xf numFmtId="3" fontId="0" fillId="0" borderId="0" xfId="0" applyNumberFormat="1" applyFill="1" applyAlignment="1"/>
    <xf numFmtId="0" fontId="14" fillId="0" borderId="10" xfId="0" applyFont="1" applyFill="1" applyBorder="1" applyAlignment="1">
      <alignment vertical="center" wrapText="1"/>
    </xf>
    <xf numFmtId="0" fontId="14" fillId="0" borderId="12" xfId="0" applyFont="1" applyFill="1" applyBorder="1" applyAlignment="1">
      <alignment vertical="center" wrapText="1"/>
    </xf>
    <xf numFmtId="0" fontId="14" fillId="0" borderId="13" xfId="0" applyFont="1" applyFill="1" applyBorder="1" applyAlignment="1">
      <alignment vertical="center" wrapText="1"/>
    </xf>
    <xf numFmtId="0" fontId="14" fillId="0" borderId="14" xfId="0" applyFont="1" applyFill="1" applyBorder="1" applyAlignment="1">
      <alignment vertical="center" wrapText="1"/>
    </xf>
    <xf numFmtId="0" fontId="14" fillId="0" borderId="22" xfId="0" applyFont="1" applyFill="1" applyBorder="1" applyAlignment="1">
      <alignment vertical="center" wrapText="1"/>
    </xf>
    <xf numFmtId="0" fontId="0" fillId="0" borderId="1" xfId="0" applyFill="1" applyBorder="1"/>
    <xf numFmtId="0" fontId="14" fillId="0" borderId="1" xfId="0" applyFont="1" applyFill="1" applyBorder="1" applyAlignment="1">
      <alignment vertical="center" wrapText="1"/>
    </xf>
    <xf numFmtId="0" fontId="11" fillId="0" borderId="23"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0" fillId="0" borderId="1" xfId="0" applyFill="1" applyBorder="1" applyAlignment="1">
      <alignment wrapText="1"/>
    </xf>
    <xf numFmtId="0" fontId="11" fillId="0" borderId="1" xfId="0" applyFont="1" applyFill="1" applyBorder="1" applyAlignment="1">
      <alignment horizontal="center" vertical="center" wrapText="1"/>
    </xf>
    <xf numFmtId="0" fontId="12" fillId="0" borderId="31" xfId="0" applyFont="1" applyFill="1" applyBorder="1"/>
    <xf numFmtId="0" fontId="12" fillId="0" borderId="31" xfId="0" applyFont="1" applyFill="1" applyBorder="1" applyAlignment="1">
      <alignment wrapText="1"/>
    </xf>
    <xf numFmtId="0" fontId="12" fillId="0" borderId="32" xfId="0" applyFont="1" applyFill="1" applyBorder="1"/>
    <xf numFmtId="0" fontId="12" fillId="0" borderId="33" xfId="0" applyFont="1" applyFill="1" applyBorder="1"/>
    <xf numFmtId="165" fontId="0" fillId="0" borderId="1" xfId="0" applyNumberFormat="1" applyFill="1" applyBorder="1"/>
    <xf numFmtId="1" fontId="0" fillId="0" borderId="1" xfId="0" applyNumberFormat="1" applyFill="1" applyBorder="1"/>
    <xf numFmtId="165" fontId="0" fillId="0" borderId="1" xfId="0" applyNumberFormat="1" applyFill="1" applyBorder="1" applyAlignment="1">
      <alignment wrapText="1"/>
    </xf>
    <xf numFmtId="0" fontId="0" fillId="0" borderId="0" xfId="0" applyFill="1" applyAlignment="1">
      <alignment wrapText="1"/>
    </xf>
    <xf numFmtId="3" fontId="0" fillId="7" borderId="1" xfId="0" applyNumberFormat="1" applyFill="1" applyBorder="1" applyAlignment="1">
      <alignment horizontal="center" wrapText="1" shrinkToFit="1"/>
    </xf>
    <xf numFmtId="10" fontId="37" fillId="0" borderId="1" xfId="0" applyNumberFormat="1" applyFont="1" applyFill="1" applyBorder="1"/>
    <xf numFmtId="165" fontId="9" fillId="0" borderId="0" xfId="0" applyNumberFormat="1" applyFont="1" applyFill="1" applyBorder="1" applyAlignment="1">
      <alignment horizontal="right" vertical="center" wrapText="1"/>
    </xf>
    <xf numFmtId="165" fontId="9" fillId="8" borderId="1" xfId="0" applyNumberFormat="1" applyFont="1" applyFill="1" applyBorder="1" applyAlignment="1"/>
    <xf numFmtId="0" fontId="5" fillId="0" borderId="4" xfId="0" applyFont="1" applyBorder="1" applyAlignment="1">
      <alignment vertical="center"/>
    </xf>
    <xf numFmtId="4" fontId="5" fillId="0" borderId="4" xfId="0" applyNumberFormat="1" applyFont="1" applyFill="1" applyBorder="1" applyAlignment="1">
      <alignment horizontal="right" vertical="top"/>
    </xf>
    <xf numFmtId="0" fontId="13" fillId="8" borderId="1" xfId="0" applyFont="1" applyFill="1" applyBorder="1" applyAlignment="1">
      <alignment horizontal="center" vertical="top"/>
    </xf>
    <xf numFmtId="0" fontId="13" fillId="0" borderId="36" xfId="0" applyFont="1" applyFill="1" applyBorder="1" applyAlignment="1"/>
    <xf numFmtId="165" fontId="13" fillId="0" borderId="30" xfId="0" applyNumberFormat="1" applyFont="1" applyFill="1" applyBorder="1" applyAlignment="1"/>
    <xf numFmtId="0" fontId="35" fillId="18" borderId="10" xfId="0" applyFont="1" applyFill="1" applyBorder="1" applyAlignment="1">
      <alignment vertical="center" wrapText="1"/>
    </xf>
    <xf numFmtId="0" fontId="39" fillId="0" borderId="1" xfId="0" applyFont="1" applyBorder="1" applyAlignment="1">
      <alignment vertical="center" wrapText="1"/>
    </xf>
    <xf numFmtId="3" fontId="39" fillId="0" borderId="1" xfId="0" applyNumberFormat="1" applyFont="1" applyBorder="1" applyAlignment="1">
      <alignment horizontal="right" vertical="center" wrapText="1"/>
    </xf>
    <xf numFmtId="1" fontId="4" fillId="0" borderId="0" xfId="0" applyNumberFormat="1" applyFont="1" applyFill="1" applyBorder="1" applyAlignment="1"/>
    <xf numFmtId="1" fontId="0" fillId="0" borderId="0" xfId="0" applyNumberFormat="1" applyFill="1"/>
    <xf numFmtId="3" fontId="40" fillId="18" borderId="1" xfId="0" applyNumberFormat="1" applyFont="1" applyFill="1" applyBorder="1" applyAlignment="1">
      <alignment horizontal="right" vertical="center" wrapText="1"/>
    </xf>
    <xf numFmtId="42" fontId="0" fillId="0" borderId="0" xfId="0" applyNumberFormat="1"/>
    <xf numFmtId="3" fontId="9" fillId="19" borderId="1" xfId="0" applyNumberFormat="1" applyFont="1" applyFill="1" applyBorder="1" applyAlignment="1">
      <alignment horizontal="right" vertical="top"/>
    </xf>
    <xf numFmtId="4" fontId="32" fillId="0" borderId="1" xfId="0" applyNumberFormat="1" applyFont="1" applyBorder="1"/>
    <xf numFmtId="4" fontId="4" fillId="0" borderId="0" xfId="0" applyNumberFormat="1" applyFont="1" applyFill="1" applyBorder="1" applyAlignment="1"/>
    <xf numFmtId="164" fontId="1" fillId="19" borderId="1" xfId="0" applyNumberFormat="1" applyFont="1" applyFill="1" applyBorder="1"/>
    <xf numFmtId="4" fontId="41" fillId="0" borderId="1" xfId="0" applyNumberFormat="1" applyFont="1" applyFill="1" applyBorder="1" applyAlignment="1">
      <alignment wrapText="1"/>
    </xf>
    <xf numFmtId="0" fontId="41" fillId="7" borderId="1" xfId="0" applyFont="1" applyFill="1" applyBorder="1" applyAlignment="1">
      <alignment wrapText="1"/>
    </xf>
    <xf numFmtId="0" fontId="41" fillId="0" borderId="1" xfId="0" applyFont="1" applyFill="1" applyBorder="1" applyAlignment="1">
      <alignment wrapText="1"/>
    </xf>
    <xf numFmtId="3" fontId="41" fillId="0" borderId="1" xfId="0" applyNumberFormat="1" applyFont="1" applyFill="1" applyBorder="1" applyAlignment="1">
      <alignment wrapText="1"/>
    </xf>
    <xf numFmtId="2" fontId="41" fillId="0" borderId="1" xfId="0" applyNumberFormat="1" applyFont="1" applyFill="1" applyBorder="1" applyAlignment="1">
      <alignment wrapText="1"/>
    </xf>
    <xf numFmtId="164" fontId="41" fillId="0" borderId="1" xfId="0" applyNumberFormat="1" applyFont="1" applyBorder="1" applyAlignment="1">
      <alignment horizontal="center"/>
    </xf>
    <xf numFmtId="4" fontId="4" fillId="9" borderId="1" xfId="0" applyNumberFormat="1" applyFont="1" applyFill="1" applyBorder="1" applyAlignment="1">
      <alignment vertical="top"/>
    </xf>
    <xf numFmtId="4" fontId="42" fillId="9" borderId="1" xfId="0" applyNumberFormat="1" applyFont="1" applyFill="1" applyBorder="1" applyAlignment="1">
      <alignment vertical="top"/>
    </xf>
    <xf numFmtId="0" fontId="11" fillId="11" borderId="17" xfId="0" applyFont="1" applyFill="1" applyBorder="1" applyAlignment="1">
      <alignment horizontal="center" vertical="center" wrapText="1"/>
    </xf>
    <xf numFmtId="0" fontId="11" fillId="11" borderId="18" xfId="0" applyFont="1" applyFill="1" applyBorder="1" applyAlignment="1">
      <alignment horizontal="center" vertical="center" wrapText="1"/>
    </xf>
    <xf numFmtId="0" fontId="14" fillId="0" borderId="19" xfId="0" applyFont="1" applyBorder="1" applyAlignment="1">
      <alignment vertical="center" wrapText="1"/>
    </xf>
    <xf numFmtId="0" fontId="14" fillId="0" borderId="18" xfId="0" applyFont="1" applyBorder="1" applyAlignment="1">
      <alignment vertical="center" wrapText="1"/>
    </xf>
    <xf numFmtId="0" fontId="16" fillId="2" borderId="19" xfId="0" applyFont="1" applyFill="1" applyBorder="1" applyAlignment="1">
      <alignment vertical="center" wrapText="1"/>
    </xf>
    <xf numFmtId="0" fontId="16" fillId="2" borderId="20" xfId="0" applyFont="1" applyFill="1" applyBorder="1" applyAlignment="1">
      <alignment vertical="center" wrapText="1"/>
    </xf>
    <xf numFmtId="0" fontId="11" fillId="11" borderId="21"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11" xfId="0" applyFont="1" applyBorder="1" applyAlignment="1">
      <alignment horizontal="center" vertical="center" wrapText="1"/>
    </xf>
    <xf numFmtId="0" fontId="11" fillId="11"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vertical="center" wrapText="1"/>
    </xf>
    <xf numFmtId="0" fontId="14" fillId="0" borderId="9" xfId="0" applyFont="1" applyBorder="1" applyAlignment="1">
      <alignment horizontal="center" vertical="center" wrapText="1"/>
    </xf>
    <xf numFmtId="0" fontId="14" fillId="0" borderId="5" xfId="0" applyFont="1" applyBorder="1" applyAlignment="1">
      <alignment horizontal="center" vertical="center"/>
    </xf>
    <xf numFmtId="0" fontId="14" fillId="0" borderId="9" xfId="0" applyFont="1" applyBorder="1" applyAlignment="1">
      <alignment horizontal="center" vertical="center"/>
    </xf>
    <xf numFmtId="0" fontId="16" fillId="7" borderId="5"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6" fillId="7" borderId="5" xfId="0" applyFont="1" applyFill="1" applyBorder="1" applyAlignment="1">
      <alignment vertical="center" wrapText="1"/>
    </xf>
    <xf numFmtId="0" fontId="16" fillId="7" borderId="11" xfId="0" applyFont="1" applyFill="1" applyBorder="1" applyAlignment="1">
      <alignment vertical="center" wrapText="1"/>
    </xf>
    <xf numFmtId="0" fontId="16" fillId="7" borderId="9" xfId="0" applyFont="1" applyFill="1" applyBorder="1" applyAlignment="1">
      <alignment vertical="center" wrapText="1"/>
    </xf>
    <xf numFmtId="0" fontId="14" fillId="7" borderId="5" xfId="0" applyFont="1" applyFill="1" applyBorder="1" applyAlignment="1">
      <alignment horizontal="center" vertical="center" wrapText="1"/>
    </xf>
    <xf numFmtId="0" fontId="14" fillId="7" borderId="11"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5" xfId="0" applyFont="1" applyBorder="1" applyAlignment="1">
      <alignment vertical="center" wrapText="1"/>
    </xf>
    <xf numFmtId="0" fontId="24" fillId="0" borderId="11" xfId="0" applyFont="1" applyBorder="1" applyAlignment="1">
      <alignment vertical="center" wrapText="1"/>
    </xf>
    <xf numFmtId="0" fontId="24" fillId="0" borderId="9" xfId="0" applyFont="1" applyBorder="1" applyAlignment="1">
      <alignment vertical="center" wrapText="1"/>
    </xf>
    <xf numFmtId="0" fontId="11" fillId="11" borderId="6"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8" xfId="0" applyFont="1" applyFill="1" applyBorder="1" applyAlignment="1">
      <alignment horizontal="center" vertical="center" wrapText="1"/>
    </xf>
    <xf numFmtId="0" fontId="14" fillId="0" borderId="5" xfId="0" applyFont="1" applyBorder="1" applyAlignment="1">
      <alignment vertical="center" wrapText="1"/>
    </xf>
    <xf numFmtId="0" fontId="14" fillId="0" borderId="11" xfId="0" applyFont="1" applyBorder="1" applyAlignment="1">
      <alignment vertical="center" wrapText="1"/>
    </xf>
    <xf numFmtId="0" fontId="14" fillId="0" borderId="9" xfId="0" applyFont="1" applyBorder="1" applyAlignment="1">
      <alignment vertical="center" wrapText="1"/>
    </xf>
    <xf numFmtId="0" fontId="23" fillId="12" borderId="5" xfId="0" applyFont="1" applyFill="1" applyBorder="1" applyAlignment="1">
      <alignment horizontal="center" vertical="center" wrapText="1"/>
    </xf>
    <xf numFmtId="0" fontId="23" fillId="12" borderId="9" xfId="0" applyFont="1" applyFill="1" applyBorder="1" applyAlignment="1">
      <alignment horizontal="center" vertical="center" wrapText="1"/>
    </xf>
    <xf numFmtId="0" fontId="23" fillId="12" borderId="6" xfId="0" applyFont="1" applyFill="1" applyBorder="1" applyAlignment="1">
      <alignment horizontal="center" vertical="center" wrapText="1"/>
    </xf>
    <xf numFmtId="0" fontId="23" fillId="12" borderId="7"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5" xfId="0" applyFont="1" applyFill="1" applyBorder="1" applyAlignment="1">
      <alignment vertical="center" wrapText="1"/>
    </xf>
    <xf numFmtId="0" fontId="16" fillId="2" borderId="11" xfId="0" applyFont="1" applyFill="1" applyBorder="1" applyAlignment="1">
      <alignment vertical="center" wrapText="1"/>
    </xf>
    <xf numFmtId="0" fontId="16" fillId="2" borderId="9" xfId="0" applyFont="1" applyFill="1" applyBorder="1" applyAlignment="1">
      <alignment vertical="center" wrapText="1"/>
    </xf>
    <xf numFmtId="3" fontId="24" fillId="0" borderId="5" xfId="0" applyNumberFormat="1" applyFont="1" applyBorder="1" applyAlignment="1">
      <alignment horizontal="justify" vertical="center" wrapText="1"/>
    </xf>
    <xf numFmtId="3" fontId="24" fillId="0" borderId="9" xfId="0" applyNumberFormat="1" applyFont="1" applyBorder="1" applyAlignment="1">
      <alignment horizontal="justify" vertical="center" wrapText="1"/>
    </xf>
    <xf numFmtId="3" fontId="24" fillId="0" borderId="5" xfId="0" applyNumberFormat="1" applyFont="1" applyBorder="1" applyAlignment="1">
      <alignment vertical="center" wrapText="1"/>
    </xf>
    <xf numFmtId="3" fontId="24" fillId="0" borderId="9" xfId="0" applyNumberFormat="1" applyFont="1" applyBorder="1" applyAlignment="1">
      <alignment vertical="center" wrapText="1"/>
    </xf>
    <xf numFmtId="0" fontId="11" fillId="0" borderId="1" xfId="0" applyFont="1" applyFill="1" applyBorder="1" applyAlignment="1">
      <alignment horizontal="center" vertical="center" wrapText="1"/>
    </xf>
    <xf numFmtId="0" fontId="16" fillId="15" borderId="37" xfId="0" applyFont="1" applyFill="1" applyBorder="1" applyAlignment="1">
      <alignment horizontal="center" vertical="center" wrapText="1"/>
    </xf>
    <xf numFmtId="0" fontId="16" fillId="15" borderId="0"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21" fillId="8" borderId="1" xfId="0" applyFont="1" applyFill="1" applyBorder="1" applyAlignment="1">
      <alignment horizontal="center" vertical="top"/>
    </xf>
    <xf numFmtId="0" fontId="21" fillId="8" borderId="1" xfId="0" applyFont="1" applyFill="1" applyBorder="1" applyAlignment="1">
      <alignment horizontal="center" vertical="top" wrapText="1"/>
    </xf>
    <xf numFmtId="0" fontId="14" fillId="0" borderId="5"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6" fillId="0" borderId="28" xfId="0" applyFont="1" applyFill="1" applyBorder="1" applyAlignment="1">
      <alignment horizontal="center" vertical="center"/>
    </xf>
    <xf numFmtId="0" fontId="16" fillId="0" borderId="29" xfId="0" applyFont="1" applyFill="1" applyBorder="1" applyAlignment="1">
      <alignment horizontal="center" vertical="center"/>
    </xf>
    <xf numFmtId="0" fontId="16" fillId="0" borderId="30" xfId="0" applyFont="1" applyFill="1" applyBorder="1" applyAlignment="1">
      <alignment horizontal="center" vertical="center"/>
    </xf>
    <xf numFmtId="0" fontId="11" fillId="0" borderId="17"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4" fillId="0" borderId="19" xfId="0" applyFont="1" applyFill="1" applyBorder="1" applyAlignment="1">
      <alignment vertical="center" wrapText="1"/>
    </xf>
    <xf numFmtId="0" fontId="14" fillId="0" borderId="18" xfId="0" applyFont="1" applyFill="1" applyBorder="1" applyAlignment="1">
      <alignment vertical="center" wrapText="1"/>
    </xf>
    <xf numFmtId="0" fontId="16" fillId="0" borderId="19" xfId="0" applyFont="1" applyFill="1" applyBorder="1" applyAlignment="1">
      <alignment vertical="center" wrapText="1"/>
    </xf>
    <xf numFmtId="0" fontId="16" fillId="0" borderId="20" xfId="0" applyFont="1" applyFill="1" applyBorder="1" applyAlignment="1">
      <alignment vertical="center" wrapText="1"/>
    </xf>
    <xf numFmtId="0" fontId="5" fillId="0" borderId="3" xfId="0" applyFont="1" applyFill="1" applyBorder="1" applyAlignment="1">
      <alignment horizontal="left" vertical="top"/>
    </xf>
    <xf numFmtId="0" fontId="5" fillId="0" borderId="4" xfId="0" applyFont="1" applyFill="1" applyBorder="1" applyAlignment="1">
      <alignment horizontal="left" vertical="top"/>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11" fillId="5" borderId="1"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8" borderId="1" xfId="0" applyFont="1" applyFill="1" applyBorder="1" applyAlignment="1">
      <alignment horizontal="center" vertical="top" wrapText="1"/>
    </xf>
    <xf numFmtId="0" fontId="5" fillId="0" borderId="1" xfId="0" applyFont="1" applyFill="1" applyBorder="1" applyAlignment="1">
      <alignment horizontal="left" vertical="top"/>
    </xf>
    <xf numFmtId="0" fontId="9" fillId="6"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9" fillId="4"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4" xfId="0" applyFont="1" applyFill="1" applyBorder="1" applyAlignment="1">
      <alignment horizontal="center" vertical="top"/>
    </xf>
    <xf numFmtId="0" fontId="41" fillId="7" borderId="28" xfId="0" applyFont="1" applyFill="1" applyBorder="1" applyAlignment="1">
      <alignment horizontal="center" wrapText="1"/>
    </xf>
    <xf numFmtId="0" fontId="41" fillId="7" borderId="30" xfId="0" applyFont="1" applyFill="1" applyBorder="1" applyAlignment="1">
      <alignment horizontal="center" wrapText="1"/>
    </xf>
    <xf numFmtId="0" fontId="9" fillId="8" borderId="1" xfId="0" applyFont="1" applyFill="1" applyBorder="1" applyAlignment="1">
      <alignment horizontal="center" vertical="top"/>
    </xf>
    <xf numFmtId="165" fontId="9" fillId="8" borderId="1" xfId="0" applyNumberFormat="1" applyFont="1" applyFill="1" applyBorder="1" applyAlignment="1">
      <alignment horizontal="center" vertical="top" wrapText="1"/>
    </xf>
    <xf numFmtId="0" fontId="13" fillId="8" borderId="1" xfId="0" applyFont="1" applyFill="1" applyBorder="1" applyAlignment="1">
      <alignment horizontal="center" vertical="top"/>
    </xf>
    <xf numFmtId="0" fontId="41" fillId="7" borderId="2" xfId="0" applyFont="1" applyFill="1" applyBorder="1" applyAlignment="1">
      <alignment horizontal="center" wrapText="1"/>
    </xf>
    <xf numFmtId="0" fontId="41" fillId="7" borderId="4" xfId="0" applyFont="1" applyFill="1" applyBorder="1" applyAlignment="1">
      <alignment horizontal="center" wrapText="1"/>
    </xf>
    <xf numFmtId="0" fontId="5" fillId="0" borderId="1" xfId="0" applyFont="1" applyFill="1" applyBorder="1" applyAlignment="1">
      <alignment horizontal="center" vertical="top"/>
    </xf>
    <xf numFmtId="0" fontId="2" fillId="2" borderId="1" xfId="0" applyFont="1" applyFill="1" applyBorder="1" applyAlignment="1">
      <alignment horizontal="center" vertical="center" wrapText="1"/>
    </xf>
    <xf numFmtId="2" fontId="37" fillId="0" borderId="38" xfId="0" applyNumberFormat="1" applyFont="1" applyBorder="1" applyAlignment="1">
      <alignment horizontal="right" wrapText="1"/>
    </xf>
    <xf numFmtId="2" fontId="37" fillId="0" borderId="39" xfId="0" applyNumberFormat="1" applyFont="1" applyBorder="1" applyAlignment="1">
      <alignment horizontal="right" wrapText="1"/>
    </xf>
    <xf numFmtId="0" fontId="38" fillId="2" borderId="1" xfId="0" applyFont="1" applyFill="1" applyBorder="1" applyAlignment="1">
      <alignment horizontal="center"/>
    </xf>
    <xf numFmtId="0" fontId="2" fillId="2" borderId="1" xfId="0" applyFont="1" applyFill="1" applyBorder="1" applyAlignment="1">
      <alignment horizontal="center" vertical="center"/>
    </xf>
    <xf numFmtId="2"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27" xfId="0" applyFill="1" applyBorder="1" applyAlignment="1">
      <alignment horizontal="left" wrapText="1" shrinkToFit="1"/>
    </xf>
    <xf numFmtId="0" fontId="11" fillId="5" borderId="1" xfId="0" applyFont="1" applyFill="1" applyBorder="1" applyAlignment="1">
      <alignment horizontal="center"/>
    </xf>
    <xf numFmtId="0" fontId="11" fillId="5" borderId="1" xfId="0" applyFont="1" applyFill="1" applyBorder="1" applyAlignment="1">
      <alignment horizontal="center" vertical="top" wrapText="1"/>
    </xf>
    <xf numFmtId="0" fontId="0" fillId="7" borderId="27" xfId="0" applyFill="1" applyBorder="1" applyAlignment="1">
      <alignment horizontal="center" wrapText="1"/>
    </xf>
    <xf numFmtId="0" fontId="0" fillId="0" borderId="27" xfId="0" applyBorder="1" applyAlignment="1">
      <alignment horizontal="left" wrapText="1" shrinkToFit="1"/>
    </xf>
    <xf numFmtId="0" fontId="0" fillId="0" borderId="27" xfId="0" applyBorder="1" applyAlignment="1">
      <alignment horizontal="left"/>
    </xf>
    <xf numFmtId="0" fontId="0" fillId="0" borderId="0" xfId="0" applyAlignment="1">
      <alignment horizontal="center" wrapText="1" shrinkToFit="1"/>
    </xf>
    <xf numFmtId="0" fontId="12" fillId="10" borderId="2" xfId="0" applyFont="1" applyFill="1" applyBorder="1" applyAlignment="1">
      <alignment horizontal="center"/>
    </xf>
    <xf numFmtId="0" fontId="12" fillId="10" borderId="4" xfId="0" applyFont="1" applyFill="1" applyBorder="1" applyAlignment="1">
      <alignment horizontal="center"/>
    </xf>
    <xf numFmtId="0" fontId="12" fillId="10" borderId="28" xfId="0" applyFont="1" applyFill="1" applyBorder="1" applyAlignment="1">
      <alignment horizontal="center"/>
    </xf>
    <xf numFmtId="0" fontId="12" fillId="10" borderId="29" xfId="0" applyFont="1" applyFill="1" applyBorder="1" applyAlignment="1">
      <alignment horizontal="center"/>
    </xf>
    <xf numFmtId="0" fontId="12" fillId="10" borderId="3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color rgb="FFFF5050"/>
      <color rgb="FFF6E2E2"/>
      <color rgb="FFFBF3F3"/>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'REKAP PENURUNAN EMISI'!$B$2</c:f>
              <c:strCache>
                <c:ptCount val="1"/>
                <c:pt idx="0">
                  <c:v>BaU Baseline (Ton CO2 eq)</c:v>
                </c:pt>
              </c:strCache>
            </c:strRef>
          </c:tx>
          <c:cat>
            <c:numRef>
              <c:f>'REKAP PENURUNAN EMISI'!$A$5:$A$25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'REKAP PENURUNAN EMISI'!$B$5:$B$25</c:f>
              <c:numCache>
                <c:formatCode>#,##0</c:formatCode>
                <c:ptCount val="21"/>
                <c:pt idx="0">
                  <c:v>4323800</c:v>
                </c:pt>
                <c:pt idx="1">
                  <c:v>5573500</c:v>
                </c:pt>
                <c:pt idx="2">
                  <c:v>6525000</c:v>
                </c:pt>
                <c:pt idx="3">
                  <c:v>7271800</c:v>
                </c:pt>
                <c:pt idx="4">
                  <c:v>7877200</c:v>
                </c:pt>
                <c:pt idx="5">
                  <c:v>8384800</c:v>
                </c:pt>
                <c:pt idx="6">
                  <c:v>8824500</c:v>
                </c:pt>
                <c:pt idx="7">
                  <c:v>9216900</c:v>
                </c:pt>
                <c:pt idx="8">
                  <c:v>9576500</c:v>
                </c:pt>
                <c:pt idx="9">
                  <c:v>9913500</c:v>
                </c:pt>
                <c:pt idx="10">
                  <c:v>10235100</c:v>
                </c:pt>
                <c:pt idx="11">
                  <c:v>10674400</c:v>
                </c:pt>
                <c:pt idx="12">
                  <c:v>11113000</c:v>
                </c:pt>
                <c:pt idx="13">
                  <c:v>11553900</c:v>
                </c:pt>
                <c:pt idx="14">
                  <c:v>11999800</c:v>
                </c:pt>
                <c:pt idx="15">
                  <c:v>12452600</c:v>
                </c:pt>
                <c:pt idx="16">
                  <c:v>12914000</c:v>
                </c:pt>
                <c:pt idx="17">
                  <c:v>13385400</c:v>
                </c:pt>
                <c:pt idx="18">
                  <c:v>13868100</c:v>
                </c:pt>
                <c:pt idx="19">
                  <c:v>14344500</c:v>
                </c:pt>
                <c:pt idx="20">
                  <c:v>14874100</c:v>
                </c:pt>
              </c:numCache>
            </c:numRef>
          </c:val>
          <c:smooth val="0"/>
        </c:ser>
        <c:ser>
          <c:idx val="1"/>
          <c:order val="1"/>
          <c:tx>
            <c:strRef>
              <c:f>'REKAP PENURUNAN EMISI'!$J$3</c:f>
              <c:strCache>
                <c:ptCount val="1"/>
                <c:pt idx="0">
                  <c:v>Emisi Setelah Pelaksanaan Aksi Mitigasi (ton CO2 eq)</c:v>
                </c:pt>
              </c:strCache>
            </c:strRef>
          </c:tx>
          <c:cat>
            <c:numRef>
              <c:f>'REKAP PENURUNAN EMISI'!$A$5:$A$25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'REKAP PENURUNAN EMISI'!$J$5:$J$25</c:f>
              <c:numCache>
                <c:formatCode>#,##0.0</c:formatCode>
                <c:ptCount val="21"/>
                <c:pt idx="0">
                  <c:v>4323750.3</c:v>
                </c:pt>
                <c:pt idx="1">
                  <c:v>5573428.7906442452</c:v>
                </c:pt>
                <c:pt idx="2">
                  <c:v>6524580.5169901373</c:v>
                </c:pt>
                <c:pt idx="3">
                  <c:v>7271232.8615025915</c:v>
                </c:pt>
                <c:pt idx="4">
                  <c:v>7876445.6125029381</c:v>
                </c:pt>
                <c:pt idx="5">
                  <c:v>8384021.4229934691</c:v>
                </c:pt>
                <c:pt idx="6">
                  <c:v>8823589.3055129517</c:v>
                </c:pt>
                <c:pt idx="7">
                  <c:v>9214962.6034017764</c:v>
                </c:pt>
                <c:pt idx="8">
                  <c:v>9500622.2670846097</c:v>
                </c:pt>
                <c:pt idx="9">
                  <c:v>9821203.8593165763</c:v>
                </c:pt>
                <c:pt idx="10">
                  <c:v>9332385.8623107038</c:v>
                </c:pt>
                <c:pt idx="11">
                  <c:v>8858921.2878680546</c:v>
                </c:pt>
                <c:pt idx="12">
                  <c:v>9294063.2076980136</c:v>
                </c:pt>
                <c:pt idx="13">
                  <c:v>9204232.8244934138</c:v>
                </c:pt>
                <c:pt idx="14">
                  <c:v>9647215.0713741537</c:v>
                </c:pt>
                <c:pt idx="15">
                  <c:v>9027178.18236674</c:v>
                </c:pt>
                <c:pt idx="16">
                  <c:v>9502680.4378072172</c:v>
                </c:pt>
                <c:pt idx="17">
                  <c:v>9984643.369973978</c:v>
                </c:pt>
                <c:pt idx="18">
                  <c:v>10475338.486002514</c:v>
                </c:pt>
                <c:pt idx="19">
                  <c:v>10957847.217327096</c:v>
                </c:pt>
                <c:pt idx="20">
                  <c:v>11492151.832758125</c:v>
                </c:pt>
              </c:numCache>
            </c:numRef>
          </c:val>
          <c:smooth val="0"/>
        </c:ser>
        <c:dLbls>
          <c:showLegendKey val="0"/>
          <c:showVal val="0"/>
          <c:showCatName val="0"/>
          <c:showSerName val="0"/>
          <c:showPercent val="0"/>
          <c:showBubbleSize val="0"/>
        </c:dLbls>
        <c:marker val="1"/>
        <c:smooth val="0"/>
        <c:axId val="267562224"/>
        <c:axId val="267562616"/>
      </c:lineChart>
      <c:catAx>
        <c:axId val="267562224"/>
        <c:scaling>
          <c:orientation val="minMax"/>
        </c:scaling>
        <c:delete val="0"/>
        <c:axPos val="b"/>
        <c:numFmt formatCode="General" sourceLinked="1"/>
        <c:majorTickMark val="none"/>
        <c:minorTickMark val="none"/>
        <c:tickLblPos val="nextTo"/>
        <c:crossAx val="267562616"/>
        <c:crosses val="autoZero"/>
        <c:auto val="1"/>
        <c:lblAlgn val="ctr"/>
        <c:lblOffset val="100"/>
        <c:noMultiLvlLbl val="0"/>
      </c:catAx>
      <c:valAx>
        <c:axId val="267562616"/>
        <c:scaling>
          <c:orientation val="minMax"/>
        </c:scaling>
        <c:delete val="0"/>
        <c:axPos val="l"/>
        <c:majorGridlines/>
        <c:title>
          <c:layout/>
          <c:overlay val="0"/>
        </c:title>
        <c:numFmt formatCode="#,##0" sourceLinked="1"/>
        <c:majorTickMark val="none"/>
        <c:minorTickMark val="none"/>
        <c:tickLblPos val="nextTo"/>
        <c:crossAx val="267562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357189</xdr:colOff>
      <xdr:row>28</xdr:row>
      <xdr:rowOff>80961</xdr:rowOff>
    </xdr:from>
    <xdr:to>
      <xdr:col>10</xdr:col>
      <xdr:colOff>357188</xdr:colOff>
      <xdr:row>53</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0.69339</cdr:x>
      <cdr:y>0.16464</cdr:y>
    </cdr:from>
    <cdr:to>
      <cdr:x>0.78058</cdr:x>
      <cdr:y>0.22953</cdr:y>
    </cdr:to>
    <cdr:sp macro="" textlink="">
      <cdr:nvSpPr>
        <cdr:cNvPr id="2" name="TextBox 1"/>
        <cdr:cNvSpPr txBox="1"/>
      </cdr:nvSpPr>
      <cdr:spPr>
        <a:xfrm xmlns:a="http://schemas.openxmlformats.org/drawingml/2006/main">
          <a:off x="6632844" y="771553"/>
          <a:ext cx="834074" cy="3040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d-ID" sz="1100"/>
            <a:t>22,74%</a:t>
          </a:r>
        </a:p>
      </cdr:txBody>
    </cdr:sp>
  </cdr:relSizeAnchor>
  <cdr:relSizeAnchor xmlns:cdr="http://schemas.openxmlformats.org/drawingml/2006/chartDrawing">
    <cdr:from>
      <cdr:x>0.66334</cdr:x>
      <cdr:y>0.07927</cdr:y>
    </cdr:from>
    <cdr:to>
      <cdr:x>0.67082</cdr:x>
      <cdr:y>0.25203</cdr:y>
    </cdr:to>
    <cdr:sp macro="" textlink="">
      <cdr:nvSpPr>
        <cdr:cNvPr id="3" name="Down Arrow 2"/>
        <cdr:cNvSpPr/>
      </cdr:nvSpPr>
      <cdr:spPr>
        <a:xfrm xmlns:a="http://schemas.openxmlformats.org/drawingml/2006/main">
          <a:off x="6334123" y="371476"/>
          <a:ext cx="71438" cy="809625"/>
        </a:xfrm>
        <a:prstGeom xmlns:a="http://schemas.openxmlformats.org/drawingml/2006/main" prst="down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id-ID"/>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topLeftCell="C3" zoomScale="85" zoomScaleNormal="85" workbookViewId="0">
      <selection activeCell="E11" sqref="E11"/>
    </sheetView>
  </sheetViews>
  <sheetFormatPr defaultRowHeight="15" x14ac:dyDescent="0.25"/>
  <cols>
    <col min="2" max="3" width="18" customWidth="1"/>
    <col min="4" max="4" width="14.7109375" customWidth="1"/>
    <col min="5" max="5" width="23.28515625" customWidth="1"/>
    <col min="6" max="6" width="19.5703125" customWidth="1"/>
    <col min="7" max="7" width="20" customWidth="1"/>
    <col min="8" max="8" width="21.140625" customWidth="1"/>
    <col min="9" max="10" width="26" customWidth="1"/>
    <col min="11" max="11" width="30.28515625" customWidth="1"/>
    <col min="12" max="12" width="31.5703125" customWidth="1"/>
    <col min="13" max="18" width="38.85546875" customWidth="1"/>
    <col min="20" max="31" width="18.140625" customWidth="1"/>
  </cols>
  <sheetData>
    <row r="1" spans="1:18" ht="24" thickBot="1" x14ac:dyDescent="0.4">
      <c r="A1" s="145" t="s">
        <v>177</v>
      </c>
    </row>
    <row r="2" spans="1:18" ht="15.75" thickBot="1" x14ac:dyDescent="0.3">
      <c r="A2" s="334" t="s">
        <v>0</v>
      </c>
      <c r="B2" s="334" t="s">
        <v>50</v>
      </c>
      <c r="C2" s="334" t="s">
        <v>51</v>
      </c>
      <c r="D2" s="334" t="s">
        <v>52</v>
      </c>
      <c r="E2" s="323" t="s">
        <v>53</v>
      </c>
      <c r="F2" s="324"/>
      <c r="G2" s="324"/>
      <c r="H2" s="324"/>
      <c r="I2" s="324"/>
      <c r="J2" s="324"/>
      <c r="K2" s="324"/>
      <c r="L2" s="324"/>
      <c r="M2" s="324"/>
      <c r="N2" s="324"/>
      <c r="O2" s="324"/>
      <c r="P2" s="324"/>
      <c r="Q2" s="324"/>
      <c r="R2" s="325"/>
    </row>
    <row r="3" spans="1:18" ht="15.75" thickBot="1" x14ac:dyDescent="0.3">
      <c r="A3" s="296"/>
      <c r="B3" s="296"/>
      <c r="C3" s="296"/>
      <c r="D3" s="296"/>
      <c r="E3" s="78">
        <v>2017</v>
      </c>
      <c r="F3" s="78">
        <v>2018</v>
      </c>
      <c r="G3" s="78">
        <v>2019</v>
      </c>
      <c r="H3" s="78">
        <v>2020</v>
      </c>
      <c r="I3" s="78">
        <v>2021</v>
      </c>
      <c r="J3" s="78">
        <v>2022</v>
      </c>
      <c r="K3" s="78">
        <v>2023</v>
      </c>
      <c r="L3" s="78">
        <v>2024</v>
      </c>
      <c r="M3" s="78">
        <v>2025</v>
      </c>
      <c r="N3" s="78">
        <v>2026</v>
      </c>
      <c r="O3" s="78">
        <v>2027</v>
      </c>
      <c r="P3" s="78">
        <v>2028</v>
      </c>
      <c r="Q3" s="78">
        <v>2029</v>
      </c>
      <c r="R3" s="78">
        <v>2030</v>
      </c>
    </row>
    <row r="4" spans="1:18" ht="36.75" hidden="1" thickBot="1" x14ac:dyDescent="0.3">
      <c r="A4" s="297">
        <v>1</v>
      </c>
      <c r="B4" s="326" t="s">
        <v>54</v>
      </c>
      <c r="C4" s="79" t="s">
        <v>55</v>
      </c>
      <c r="D4" s="297"/>
      <c r="E4" s="80"/>
      <c r="F4" s="80"/>
      <c r="G4" s="80"/>
      <c r="H4" s="80"/>
      <c r="I4" s="80"/>
      <c r="J4" s="80"/>
      <c r="K4" s="80"/>
      <c r="L4" s="80"/>
      <c r="M4" s="80"/>
      <c r="N4" s="80"/>
      <c r="O4" s="80"/>
      <c r="P4" s="80"/>
      <c r="Q4" s="80"/>
      <c r="R4" s="80"/>
    </row>
    <row r="5" spans="1:18" ht="24.75" hidden="1" thickBot="1" x14ac:dyDescent="0.3">
      <c r="A5" s="298"/>
      <c r="B5" s="327"/>
      <c r="C5" s="79" t="s">
        <v>6</v>
      </c>
      <c r="D5" s="298"/>
      <c r="E5" s="80"/>
      <c r="F5" s="80"/>
      <c r="G5" s="80"/>
      <c r="H5" s="80"/>
      <c r="I5" s="80"/>
      <c r="J5" s="80"/>
      <c r="K5" s="80"/>
      <c r="L5" s="80"/>
      <c r="M5" s="80"/>
      <c r="N5" s="80"/>
      <c r="O5" s="81"/>
      <c r="P5" s="80"/>
      <c r="Q5" s="80"/>
      <c r="R5" s="80"/>
    </row>
    <row r="6" spans="1:18" ht="24.75" hidden="1" thickBot="1" x14ac:dyDescent="0.3">
      <c r="A6" s="298"/>
      <c r="B6" s="327"/>
      <c r="C6" s="79" t="s">
        <v>56</v>
      </c>
      <c r="D6" s="298"/>
      <c r="E6" s="80"/>
      <c r="F6" s="80"/>
      <c r="G6" s="80"/>
      <c r="H6" s="80"/>
      <c r="I6" s="80"/>
      <c r="J6" s="80"/>
      <c r="K6" s="80"/>
      <c r="L6" s="80"/>
      <c r="M6" s="80"/>
      <c r="N6" s="80"/>
      <c r="O6" s="80"/>
      <c r="P6" s="80"/>
      <c r="Q6" s="80"/>
      <c r="R6" s="80"/>
    </row>
    <row r="7" spans="1:18" ht="15.75" hidden="1" thickBot="1" x14ac:dyDescent="0.3">
      <c r="A7" s="305"/>
      <c r="B7" s="328"/>
      <c r="C7" s="79" t="s">
        <v>57</v>
      </c>
      <c r="D7" s="298"/>
      <c r="E7" s="80"/>
      <c r="F7" s="80"/>
      <c r="G7" s="80"/>
      <c r="H7" s="80"/>
      <c r="I7" s="80"/>
      <c r="J7" s="80"/>
      <c r="K7" s="80"/>
      <c r="L7" s="80"/>
      <c r="M7" s="80"/>
      <c r="N7" s="80"/>
      <c r="O7" s="80"/>
      <c r="P7" s="80"/>
      <c r="Q7" s="80"/>
      <c r="R7" s="80"/>
    </row>
    <row r="8" spans="1:18" s="85" customFormat="1" ht="48.75" thickBot="1" x14ac:dyDescent="0.3">
      <c r="A8" s="335">
        <v>2</v>
      </c>
      <c r="B8" s="338" t="s">
        <v>58</v>
      </c>
      <c r="C8" s="82" t="s">
        <v>59</v>
      </c>
      <c r="D8" s="83"/>
      <c r="E8" s="84" t="s">
        <v>60</v>
      </c>
      <c r="F8" s="84" t="s">
        <v>60</v>
      </c>
      <c r="G8" s="84" t="s">
        <v>60</v>
      </c>
      <c r="H8" s="84" t="s">
        <v>61</v>
      </c>
      <c r="I8" s="84" t="s">
        <v>62</v>
      </c>
      <c r="J8" s="84" t="s">
        <v>63</v>
      </c>
      <c r="K8" s="84" t="s">
        <v>64</v>
      </c>
      <c r="L8" s="84" t="s">
        <v>64</v>
      </c>
      <c r="M8" s="84" t="s">
        <v>65</v>
      </c>
      <c r="N8" s="84" t="s">
        <v>66</v>
      </c>
      <c r="O8" s="84" t="s">
        <v>66</v>
      </c>
      <c r="P8" s="84" t="s">
        <v>66</v>
      </c>
      <c r="Q8" s="84" t="s">
        <v>67</v>
      </c>
      <c r="R8" s="84" t="s">
        <v>68</v>
      </c>
    </row>
    <row r="9" spans="1:18" s="85" customFormat="1" ht="60.75" thickBot="1" x14ac:dyDescent="0.3">
      <c r="A9" s="336"/>
      <c r="B9" s="339"/>
      <c r="C9" s="86" t="s">
        <v>69</v>
      </c>
      <c r="D9" s="83"/>
      <c r="E9" s="84" t="s">
        <v>70</v>
      </c>
      <c r="F9" s="84" t="s">
        <v>70</v>
      </c>
      <c r="G9" s="84" t="s">
        <v>70</v>
      </c>
      <c r="H9" s="84" t="s">
        <v>71</v>
      </c>
      <c r="I9" s="84" t="s">
        <v>72</v>
      </c>
      <c r="J9" s="84" t="s">
        <v>72</v>
      </c>
      <c r="K9" s="84" t="s">
        <v>72</v>
      </c>
      <c r="L9" s="84" t="s">
        <v>73</v>
      </c>
      <c r="M9" s="84" t="s">
        <v>74</v>
      </c>
      <c r="N9" s="84" t="s">
        <v>74</v>
      </c>
      <c r="O9" s="84" t="s">
        <v>74</v>
      </c>
      <c r="P9" s="84" t="s">
        <v>74</v>
      </c>
      <c r="Q9" s="84" t="s">
        <v>74</v>
      </c>
      <c r="R9" s="84" t="s">
        <v>74</v>
      </c>
    </row>
    <row r="10" spans="1:18" s="85" customFormat="1" ht="60.75" thickBot="1" x14ac:dyDescent="0.3">
      <c r="A10" s="336"/>
      <c r="B10" s="339"/>
      <c r="C10" s="86" t="s">
        <v>75</v>
      </c>
      <c r="D10" s="83"/>
      <c r="E10" s="84" t="s">
        <v>76</v>
      </c>
      <c r="F10" s="84" t="s">
        <v>76</v>
      </c>
      <c r="G10" s="84" t="s">
        <v>76</v>
      </c>
      <c r="H10" s="84" t="s">
        <v>77</v>
      </c>
      <c r="I10" s="84" t="s">
        <v>78</v>
      </c>
      <c r="J10" s="84" t="s">
        <v>78</v>
      </c>
      <c r="K10" s="84" t="s">
        <v>78</v>
      </c>
      <c r="L10" s="84" t="s">
        <v>79</v>
      </c>
      <c r="M10" s="84" t="s">
        <v>80</v>
      </c>
      <c r="N10" s="84" t="s">
        <v>80</v>
      </c>
      <c r="O10" s="84" t="s">
        <v>80</v>
      </c>
      <c r="P10" s="84" t="s">
        <v>80</v>
      </c>
      <c r="Q10" s="84" t="s">
        <v>80</v>
      </c>
      <c r="R10" s="84" t="s">
        <v>80</v>
      </c>
    </row>
    <row r="11" spans="1:18" s="85" customFormat="1" ht="48.75" thickBot="1" x14ac:dyDescent="0.3">
      <c r="A11" s="336"/>
      <c r="B11" s="339"/>
      <c r="C11" s="84" t="s">
        <v>6</v>
      </c>
      <c r="D11" s="87"/>
      <c r="E11" s="84" t="s">
        <v>81</v>
      </c>
      <c r="F11" s="88"/>
      <c r="G11" s="88"/>
      <c r="H11" s="88"/>
      <c r="I11" s="88"/>
      <c r="J11" s="88"/>
      <c r="K11" s="88"/>
      <c r="L11" s="88"/>
      <c r="M11" s="88"/>
      <c r="N11" s="88"/>
      <c r="O11" s="88"/>
      <c r="P11" s="89"/>
      <c r="Q11" s="89"/>
      <c r="R11" s="89"/>
    </row>
    <row r="12" spans="1:18" s="85" customFormat="1" ht="108.75" thickBot="1" x14ac:dyDescent="0.3">
      <c r="A12" s="336"/>
      <c r="B12" s="339"/>
      <c r="C12" s="84" t="s">
        <v>82</v>
      </c>
      <c r="D12" s="87"/>
      <c r="E12" s="84" t="s">
        <v>83</v>
      </c>
      <c r="F12" s="84" t="s">
        <v>83</v>
      </c>
      <c r="G12" s="84" t="s">
        <v>83</v>
      </c>
      <c r="H12" s="84" t="s">
        <v>84</v>
      </c>
      <c r="I12" s="84" t="s">
        <v>85</v>
      </c>
      <c r="J12" s="84" t="s">
        <v>86</v>
      </c>
      <c r="K12" s="84" t="s">
        <v>87</v>
      </c>
      <c r="L12" s="84" t="s">
        <v>88</v>
      </c>
      <c r="M12" s="84" t="s">
        <v>89</v>
      </c>
      <c r="N12" s="84" t="s">
        <v>90</v>
      </c>
      <c r="O12" s="84" t="s">
        <v>91</v>
      </c>
      <c r="P12" s="84" t="s">
        <v>89</v>
      </c>
      <c r="Q12" s="84" t="s">
        <v>90</v>
      </c>
      <c r="R12" s="84" t="s">
        <v>89</v>
      </c>
    </row>
    <row r="13" spans="1:18" s="85" customFormat="1" ht="144.75" thickBot="1" x14ac:dyDescent="0.3">
      <c r="A13" s="337"/>
      <c r="B13" s="340"/>
      <c r="C13" s="84" t="s">
        <v>92</v>
      </c>
      <c r="D13" s="90"/>
      <c r="E13" s="84" t="s">
        <v>93</v>
      </c>
      <c r="F13" s="84" t="s">
        <v>94</v>
      </c>
      <c r="G13" s="84" t="s">
        <v>95</v>
      </c>
      <c r="H13" s="84" t="s">
        <v>96</v>
      </c>
      <c r="I13" s="84" t="s">
        <v>97</v>
      </c>
      <c r="J13" s="84" t="s">
        <v>97</v>
      </c>
      <c r="K13" s="84" t="s">
        <v>98</v>
      </c>
      <c r="L13" s="84" t="s">
        <v>99</v>
      </c>
      <c r="M13" s="84" t="s">
        <v>100</v>
      </c>
      <c r="N13" s="84" t="s">
        <v>100</v>
      </c>
      <c r="O13" s="84" t="s">
        <v>100</v>
      </c>
      <c r="P13" s="84" t="s">
        <v>101</v>
      </c>
      <c r="Q13" s="84" t="s">
        <v>100</v>
      </c>
      <c r="R13" s="84" t="s">
        <v>102</v>
      </c>
    </row>
    <row r="14" spans="1:18" ht="36.75" thickBot="1" x14ac:dyDescent="0.3">
      <c r="A14" s="308">
        <v>3</v>
      </c>
      <c r="B14" s="311" t="s">
        <v>11</v>
      </c>
      <c r="C14" s="91" t="s">
        <v>12</v>
      </c>
      <c r="D14" s="314" t="s">
        <v>13</v>
      </c>
      <c r="E14" s="92"/>
      <c r="F14" s="92"/>
      <c r="G14" s="92"/>
      <c r="H14" s="92"/>
      <c r="I14" s="91" t="s">
        <v>103</v>
      </c>
      <c r="J14" s="91" t="s">
        <v>103</v>
      </c>
      <c r="K14" s="91" t="s">
        <v>103</v>
      </c>
      <c r="L14" s="91" t="s">
        <v>103</v>
      </c>
      <c r="M14" s="91" t="s">
        <v>104</v>
      </c>
      <c r="N14" s="91" t="s">
        <v>104</v>
      </c>
      <c r="O14" s="91" t="s">
        <v>104</v>
      </c>
      <c r="P14" s="91" t="s">
        <v>104</v>
      </c>
      <c r="Q14" s="91" t="s">
        <v>104</v>
      </c>
      <c r="R14" s="91" t="s">
        <v>104</v>
      </c>
    </row>
    <row r="15" spans="1:18" ht="24.75" thickBot="1" x14ac:dyDescent="0.3">
      <c r="A15" s="309"/>
      <c r="B15" s="312"/>
      <c r="C15" s="91" t="s">
        <v>14</v>
      </c>
      <c r="D15" s="315"/>
      <c r="E15" s="93"/>
      <c r="F15" s="92"/>
      <c r="G15" s="92"/>
      <c r="H15" s="92"/>
      <c r="I15" s="91" t="s">
        <v>105</v>
      </c>
      <c r="J15" s="91" t="s">
        <v>105</v>
      </c>
      <c r="K15" s="91" t="s">
        <v>105</v>
      </c>
      <c r="L15" s="91" t="s">
        <v>105</v>
      </c>
      <c r="M15" s="91" t="s">
        <v>106</v>
      </c>
      <c r="N15" s="91" t="s">
        <v>106</v>
      </c>
      <c r="O15" s="91" t="s">
        <v>106</v>
      </c>
      <c r="P15" s="91" t="s">
        <v>106</v>
      </c>
      <c r="Q15" s="91" t="s">
        <v>106</v>
      </c>
      <c r="R15" s="91" t="s">
        <v>106</v>
      </c>
    </row>
    <row r="16" spans="1:18" ht="48.75" thickBot="1" x14ac:dyDescent="0.3">
      <c r="A16" s="309"/>
      <c r="B16" s="312"/>
      <c r="C16" s="94" t="s">
        <v>6</v>
      </c>
      <c r="D16" s="315"/>
      <c r="E16" s="95" t="s">
        <v>81</v>
      </c>
      <c r="F16" s="96"/>
      <c r="G16" s="96"/>
      <c r="H16" s="96"/>
      <c r="I16" s="96"/>
      <c r="J16" s="96"/>
      <c r="K16" s="96"/>
      <c r="L16" s="96"/>
      <c r="M16" s="96"/>
      <c r="N16" s="96"/>
      <c r="O16" s="96"/>
      <c r="P16" s="97"/>
      <c r="Q16" s="97"/>
      <c r="R16" s="97"/>
    </row>
    <row r="17" spans="1:31" ht="60.75" thickBot="1" x14ac:dyDescent="0.3">
      <c r="A17" s="309"/>
      <c r="B17" s="312"/>
      <c r="C17" s="95" t="s">
        <v>107</v>
      </c>
      <c r="D17" s="315"/>
      <c r="E17" s="98"/>
      <c r="F17" s="98"/>
      <c r="G17" s="98"/>
      <c r="H17" s="98"/>
      <c r="I17" s="95" t="s">
        <v>108</v>
      </c>
      <c r="J17" s="95" t="s">
        <v>108</v>
      </c>
      <c r="K17" s="95" t="s">
        <v>108</v>
      </c>
      <c r="L17" s="95" t="s">
        <v>108</v>
      </c>
      <c r="M17" s="95" t="s">
        <v>109</v>
      </c>
      <c r="N17" s="95" t="s">
        <v>109</v>
      </c>
      <c r="O17" s="95" t="s">
        <v>109</v>
      </c>
      <c r="P17" s="95" t="s">
        <v>109</v>
      </c>
      <c r="Q17" s="95" t="s">
        <v>109</v>
      </c>
      <c r="R17" s="95" t="s">
        <v>109</v>
      </c>
    </row>
    <row r="18" spans="1:31" ht="21.75" thickBot="1" x14ac:dyDescent="0.3">
      <c r="A18" s="310"/>
      <c r="B18" s="313"/>
      <c r="C18" s="95" t="s">
        <v>110</v>
      </c>
      <c r="D18" s="316"/>
      <c r="E18" s="98"/>
      <c r="F18" s="98"/>
      <c r="G18" s="98"/>
      <c r="H18" s="98"/>
      <c r="I18" s="95" t="s">
        <v>111</v>
      </c>
      <c r="J18" s="95" t="s">
        <v>111</v>
      </c>
      <c r="K18" s="95" t="s">
        <v>111</v>
      </c>
      <c r="L18" s="95" t="s">
        <v>111</v>
      </c>
      <c r="M18" s="95" t="s">
        <v>111</v>
      </c>
      <c r="N18" s="95" t="s">
        <v>111</v>
      </c>
      <c r="O18" s="95" t="s">
        <v>111</v>
      </c>
      <c r="P18" s="95" t="s">
        <v>111</v>
      </c>
      <c r="Q18" s="95" t="s">
        <v>111</v>
      </c>
      <c r="R18" s="95" t="s">
        <v>111</v>
      </c>
      <c r="T18" s="289" t="s">
        <v>50</v>
      </c>
      <c r="U18" s="290"/>
      <c r="V18" s="291" t="s">
        <v>54</v>
      </c>
      <c r="W18" s="291"/>
      <c r="X18" s="291"/>
      <c r="Y18" s="292"/>
      <c r="Z18" s="293" t="s">
        <v>58</v>
      </c>
      <c r="AA18" s="293"/>
      <c r="AB18" s="293"/>
      <c r="AC18" s="293"/>
      <c r="AD18" s="293"/>
      <c r="AE18" s="294"/>
    </row>
    <row r="19" spans="1:31" ht="60.75" hidden="1" thickBot="1" x14ac:dyDescent="0.3">
      <c r="A19" s="297">
        <v>4</v>
      </c>
      <c r="B19" s="99" t="s">
        <v>112</v>
      </c>
      <c r="C19" s="79" t="s">
        <v>113</v>
      </c>
      <c r="D19" s="297"/>
      <c r="E19" s="81"/>
      <c r="F19" s="81"/>
      <c r="G19" s="81"/>
      <c r="H19" s="81"/>
      <c r="I19" s="81"/>
      <c r="J19" s="81"/>
      <c r="K19" s="81"/>
      <c r="L19" s="81"/>
      <c r="M19" s="81"/>
      <c r="N19" s="81"/>
      <c r="O19" s="81"/>
      <c r="P19" s="80"/>
      <c r="Q19" s="80"/>
      <c r="R19" s="80"/>
      <c r="T19" s="295" t="s">
        <v>51</v>
      </c>
      <c r="U19" s="296"/>
      <c r="V19" s="79" t="s">
        <v>55</v>
      </c>
      <c r="W19" s="79" t="s">
        <v>6</v>
      </c>
      <c r="X19" s="79" t="s">
        <v>56</v>
      </c>
      <c r="Y19" s="79" t="s">
        <v>57</v>
      </c>
      <c r="Z19" s="82" t="s">
        <v>59</v>
      </c>
      <c r="AA19" s="86" t="s">
        <v>69</v>
      </c>
      <c r="AB19" s="86" t="s">
        <v>75</v>
      </c>
      <c r="AC19" s="84" t="s">
        <v>6</v>
      </c>
      <c r="AD19" s="84" t="s">
        <v>82</v>
      </c>
      <c r="AE19" s="130" t="s">
        <v>92</v>
      </c>
    </row>
    <row r="20" spans="1:31" ht="15.75" hidden="1" thickBot="1" x14ac:dyDescent="0.3">
      <c r="A20" s="298"/>
      <c r="B20" s="99" t="s">
        <v>114</v>
      </c>
      <c r="C20" s="99"/>
      <c r="D20" s="298"/>
      <c r="E20" s="306"/>
      <c r="F20" s="306"/>
      <c r="G20" s="306"/>
      <c r="H20" s="306"/>
      <c r="I20" s="306"/>
      <c r="J20" s="306"/>
      <c r="K20" s="306"/>
      <c r="L20" s="306"/>
      <c r="M20" s="306"/>
      <c r="N20" s="306"/>
      <c r="O20" s="306"/>
      <c r="P20" s="297"/>
      <c r="Q20" s="297"/>
      <c r="R20" s="297"/>
      <c r="T20" s="295" t="s">
        <v>52</v>
      </c>
      <c r="U20" s="296"/>
      <c r="V20" s="297"/>
      <c r="W20" s="298"/>
      <c r="X20" s="298"/>
      <c r="Y20" s="298"/>
      <c r="Z20" s="83"/>
      <c r="AA20" s="83"/>
      <c r="AB20" s="83"/>
      <c r="AC20" s="87"/>
      <c r="AD20" s="87"/>
      <c r="AE20" s="131"/>
    </row>
    <row r="21" spans="1:31" ht="144.75" hidden="1" thickBot="1" x14ac:dyDescent="0.3">
      <c r="A21" s="298"/>
      <c r="B21" s="99" t="s">
        <v>115</v>
      </c>
      <c r="C21" s="79" t="s">
        <v>17</v>
      </c>
      <c r="D21" s="298"/>
      <c r="E21" s="307"/>
      <c r="F21" s="307"/>
      <c r="G21" s="307"/>
      <c r="H21" s="307"/>
      <c r="I21" s="307"/>
      <c r="J21" s="307"/>
      <c r="K21" s="307"/>
      <c r="L21" s="307"/>
      <c r="M21" s="307"/>
      <c r="N21" s="307"/>
      <c r="O21" s="307"/>
      <c r="P21" s="305"/>
      <c r="Q21" s="305"/>
      <c r="R21" s="305"/>
      <c r="T21" s="301" t="s">
        <v>38</v>
      </c>
      <c r="U21" s="78">
        <v>2017</v>
      </c>
      <c r="V21" s="80"/>
      <c r="W21" s="80"/>
      <c r="X21" s="80"/>
      <c r="Y21" s="80"/>
      <c r="Z21" s="84" t="s">
        <v>60</v>
      </c>
      <c r="AA21" s="84" t="s">
        <v>70</v>
      </c>
      <c r="AB21" s="84" t="s">
        <v>76</v>
      </c>
      <c r="AC21" s="84" t="s">
        <v>81</v>
      </c>
      <c r="AD21" s="84" t="s">
        <v>83</v>
      </c>
      <c r="AE21" s="130" t="s">
        <v>93</v>
      </c>
    </row>
    <row r="22" spans="1:31" ht="132.75" hidden="1" thickBot="1" x14ac:dyDescent="0.3">
      <c r="A22" s="298"/>
      <c r="B22" s="99" t="s">
        <v>32</v>
      </c>
      <c r="C22" s="79" t="s">
        <v>116</v>
      </c>
      <c r="D22" s="298"/>
      <c r="E22" s="80"/>
      <c r="F22" s="80"/>
      <c r="G22" s="80"/>
      <c r="H22" s="80"/>
      <c r="I22" s="80"/>
      <c r="J22" s="80"/>
      <c r="K22" s="80"/>
      <c r="L22" s="80"/>
      <c r="M22" s="80"/>
      <c r="N22" s="80"/>
      <c r="O22" s="80"/>
      <c r="P22" s="80"/>
      <c r="Q22" s="80"/>
      <c r="R22" s="80"/>
      <c r="T22" s="301"/>
      <c r="U22" s="78">
        <v>2018</v>
      </c>
      <c r="V22" s="80"/>
      <c r="W22" s="80"/>
      <c r="X22" s="80"/>
      <c r="Y22" s="80"/>
      <c r="Z22" s="84" t="s">
        <v>60</v>
      </c>
      <c r="AA22" s="84" t="s">
        <v>70</v>
      </c>
      <c r="AB22" s="84" t="s">
        <v>76</v>
      </c>
      <c r="AC22" s="88"/>
      <c r="AD22" s="84" t="s">
        <v>83</v>
      </c>
      <c r="AE22" s="130" t="s">
        <v>94</v>
      </c>
    </row>
    <row r="23" spans="1:31" ht="132.75" hidden="1" thickBot="1" x14ac:dyDescent="0.3">
      <c r="A23" s="298"/>
      <c r="B23" s="100"/>
      <c r="C23" s="99"/>
      <c r="D23" s="298"/>
      <c r="E23" s="297"/>
      <c r="F23" s="297"/>
      <c r="G23" s="297"/>
      <c r="H23" s="297"/>
      <c r="I23" s="297"/>
      <c r="J23" s="297"/>
      <c r="K23" s="297"/>
      <c r="L23" s="297"/>
      <c r="M23" s="297"/>
      <c r="N23" s="297"/>
      <c r="O23" s="297"/>
      <c r="P23" s="297"/>
      <c r="Q23" s="297"/>
      <c r="R23" s="297"/>
      <c r="T23" s="301"/>
      <c r="U23" s="78">
        <v>2019</v>
      </c>
      <c r="V23" s="80"/>
      <c r="W23" s="80"/>
      <c r="X23" s="80"/>
      <c r="Y23" s="80"/>
      <c r="Z23" s="84" t="s">
        <v>60</v>
      </c>
      <c r="AA23" s="84" t="s">
        <v>70</v>
      </c>
      <c r="AB23" s="84" t="s">
        <v>76</v>
      </c>
      <c r="AC23" s="88"/>
      <c r="AD23" s="84" t="s">
        <v>83</v>
      </c>
      <c r="AE23" s="130" t="s">
        <v>95</v>
      </c>
    </row>
    <row r="24" spans="1:31" ht="276.75" hidden="1" thickBot="1" x14ac:dyDescent="0.3">
      <c r="A24" s="305"/>
      <c r="B24" s="101"/>
      <c r="C24" s="79" t="s">
        <v>6</v>
      </c>
      <c r="D24" s="305"/>
      <c r="E24" s="305"/>
      <c r="F24" s="305"/>
      <c r="G24" s="305"/>
      <c r="H24" s="305"/>
      <c r="I24" s="305"/>
      <c r="J24" s="305"/>
      <c r="K24" s="305"/>
      <c r="L24" s="305"/>
      <c r="M24" s="305"/>
      <c r="N24" s="305"/>
      <c r="O24" s="305"/>
      <c r="P24" s="305"/>
      <c r="Q24" s="305"/>
      <c r="R24" s="305"/>
      <c r="T24" s="301"/>
      <c r="U24" s="78">
        <v>2020</v>
      </c>
      <c r="V24" s="80"/>
      <c r="W24" s="80"/>
      <c r="X24" s="80"/>
      <c r="Y24" s="80"/>
      <c r="Z24" s="84" t="s">
        <v>61</v>
      </c>
      <c r="AA24" s="84" t="s">
        <v>71</v>
      </c>
      <c r="AB24" s="84" t="s">
        <v>77</v>
      </c>
      <c r="AC24" s="88"/>
      <c r="AD24" s="84" t="s">
        <v>84</v>
      </c>
      <c r="AE24" s="130" t="s">
        <v>96</v>
      </c>
    </row>
    <row r="25" spans="1:31" ht="168.75" thickBot="1" x14ac:dyDescent="0.3">
      <c r="T25" s="301"/>
      <c r="U25" s="78">
        <v>2021</v>
      </c>
      <c r="V25" s="80"/>
      <c r="W25" s="80"/>
      <c r="X25" s="80"/>
      <c r="Y25" s="80"/>
      <c r="Z25" s="84" t="s">
        <v>62</v>
      </c>
      <c r="AA25" s="84" t="s">
        <v>72</v>
      </c>
      <c r="AB25" s="84" t="s">
        <v>78</v>
      </c>
      <c r="AC25" s="88"/>
      <c r="AD25" s="84" t="s">
        <v>85</v>
      </c>
      <c r="AE25" s="130" t="s">
        <v>97</v>
      </c>
    </row>
    <row r="26" spans="1:31" ht="168.75" thickBot="1" x14ac:dyDescent="0.3">
      <c r="T26" s="301"/>
      <c r="U26" s="78">
        <v>2022</v>
      </c>
      <c r="V26" s="80"/>
      <c r="W26" s="80"/>
      <c r="X26" s="80"/>
      <c r="Y26" s="80"/>
      <c r="Z26" s="84" t="s">
        <v>63</v>
      </c>
      <c r="AA26" s="84" t="s">
        <v>72</v>
      </c>
      <c r="AB26" s="84" t="s">
        <v>78</v>
      </c>
      <c r="AC26" s="88"/>
      <c r="AD26" s="84" t="s">
        <v>86</v>
      </c>
      <c r="AE26" s="130" t="s">
        <v>97</v>
      </c>
    </row>
    <row r="27" spans="1:31" ht="252.75" thickBot="1" x14ac:dyDescent="0.3">
      <c r="T27" s="301"/>
      <c r="U27" s="78">
        <v>2023</v>
      </c>
      <c r="V27" s="80"/>
      <c r="W27" s="80"/>
      <c r="X27" s="80"/>
      <c r="Y27" s="80"/>
      <c r="Z27" s="84" t="s">
        <v>64</v>
      </c>
      <c r="AA27" s="84" t="s">
        <v>72</v>
      </c>
      <c r="AB27" s="84" t="s">
        <v>78</v>
      </c>
      <c r="AC27" s="88"/>
      <c r="AD27" s="84" t="s">
        <v>87</v>
      </c>
      <c r="AE27" s="130" t="s">
        <v>98</v>
      </c>
    </row>
    <row r="28" spans="1:31" ht="252.75" thickBot="1" x14ac:dyDescent="0.3">
      <c r="B28" s="102"/>
      <c r="C28" s="102" t="s">
        <v>117</v>
      </c>
      <c r="D28" s="102" t="s">
        <v>118</v>
      </c>
      <c r="E28" s="102"/>
      <c r="T28" s="301"/>
      <c r="U28" s="78">
        <v>2024</v>
      </c>
      <c r="V28" s="80"/>
      <c r="W28" s="80"/>
      <c r="X28" s="80"/>
      <c r="Y28" s="80"/>
      <c r="Z28" s="84" t="s">
        <v>64</v>
      </c>
      <c r="AA28" s="84" t="s">
        <v>73</v>
      </c>
      <c r="AB28" s="84" t="s">
        <v>79</v>
      </c>
      <c r="AC28" s="88"/>
      <c r="AD28" s="84" t="s">
        <v>88</v>
      </c>
      <c r="AE28" s="130" t="s">
        <v>99</v>
      </c>
    </row>
    <row r="29" spans="1:31" ht="312.75" thickBot="1" x14ac:dyDescent="0.3">
      <c r="B29" s="102" t="s">
        <v>119</v>
      </c>
      <c r="C29" s="102">
        <v>1800</v>
      </c>
      <c r="D29" s="103">
        <f>(C29*1000)/0.8</f>
        <v>2250000</v>
      </c>
      <c r="E29" s="102">
        <v>2250000</v>
      </c>
      <c r="T29" s="301"/>
      <c r="U29" s="78">
        <v>2025</v>
      </c>
      <c r="V29" s="80"/>
      <c r="W29" s="80"/>
      <c r="X29" s="80"/>
      <c r="Y29" s="80"/>
      <c r="Z29" s="84" t="s">
        <v>65</v>
      </c>
      <c r="AA29" s="84" t="s">
        <v>74</v>
      </c>
      <c r="AB29" s="84" t="s">
        <v>80</v>
      </c>
      <c r="AC29" s="88"/>
      <c r="AD29" s="84" t="s">
        <v>89</v>
      </c>
      <c r="AE29" s="130" t="s">
        <v>100</v>
      </c>
    </row>
    <row r="30" spans="1:31" ht="312.75" thickBot="1" x14ac:dyDescent="0.3">
      <c r="B30" s="102" t="s">
        <v>120</v>
      </c>
      <c r="C30" s="102">
        <v>1650</v>
      </c>
      <c r="D30" s="103">
        <f t="shared" ref="D30:D32" si="0">(C30*1000)/0.8</f>
        <v>2062500</v>
      </c>
      <c r="E30" s="102">
        <v>2062500</v>
      </c>
      <c r="T30" s="301"/>
      <c r="U30" s="78">
        <v>2026</v>
      </c>
      <c r="V30" s="80"/>
      <c r="W30" s="80"/>
      <c r="X30" s="80"/>
      <c r="Y30" s="80"/>
      <c r="Z30" s="84" t="s">
        <v>66</v>
      </c>
      <c r="AA30" s="84" t="s">
        <v>74</v>
      </c>
      <c r="AB30" s="84" t="s">
        <v>80</v>
      </c>
      <c r="AC30" s="88"/>
      <c r="AD30" s="84" t="s">
        <v>90</v>
      </c>
      <c r="AE30" s="130" t="s">
        <v>100</v>
      </c>
    </row>
    <row r="31" spans="1:31" ht="312.75" thickBot="1" x14ac:dyDescent="0.3">
      <c r="B31" s="102" t="s">
        <v>121</v>
      </c>
      <c r="C31" s="102">
        <v>1000</v>
      </c>
      <c r="D31" s="103">
        <f t="shared" si="0"/>
        <v>1250000</v>
      </c>
      <c r="E31" s="102">
        <v>1250000</v>
      </c>
      <c r="T31" s="301"/>
      <c r="U31" s="78">
        <v>2027</v>
      </c>
      <c r="V31" s="80"/>
      <c r="W31" s="81"/>
      <c r="X31" s="80"/>
      <c r="Y31" s="80"/>
      <c r="Z31" s="84" t="s">
        <v>66</v>
      </c>
      <c r="AA31" s="84" t="s">
        <v>74</v>
      </c>
      <c r="AB31" s="84" t="s">
        <v>80</v>
      </c>
      <c r="AC31" s="88"/>
      <c r="AD31" s="84" t="s">
        <v>91</v>
      </c>
      <c r="AE31" s="130" t="s">
        <v>100</v>
      </c>
    </row>
    <row r="32" spans="1:31" ht="312.75" thickBot="1" x14ac:dyDescent="0.3">
      <c r="B32" s="102" t="s">
        <v>122</v>
      </c>
      <c r="C32" s="102">
        <v>2000</v>
      </c>
      <c r="D32" s="103">
        <f t="shared" si="0"/>
        <v>2500000</v>
      </c>
      <c r="E32" s="102">
        <v>2500000</v>
      </c>
      <c r="T32" s="301"/>
      <c r="U32" s="78">
        <v>2028</v>
      </c>
      <c r="V32" s="80"/>
      <c r="W32" s="80"/>
      <c r="X32" s="80"/>
      <c r="Y32" s="80"/>
      <c r="Z32" s="84" t="s">
        <v>66</v>
      </c>
      <c r="AA32" s="84" t="s">
        <v>74</v>
      </c>
      <c r="AB32" s="84" t="s">
        <v>80</v>
      </c>
      <c r="AC32" s="89"/>
      <c r="AD32" s="84" t="s">
        <v>89</v>
      </c>
      <c r="AE32" s="130" t="s">
        <v>101</v>
      </c>
    </row>
    <row r="33" spans="1:31" ht="312.75" thickBot="1" x14ac:dyDescent="0.3">
      <c r="T33" s="301"/>
      <c r="U33" s="78">
        <v>2029</v>
      </c>
      <c r="V33" s="80"/>
      <c r="W33" s="80"/>
      <c r="X33" s="80"/>
      <c r="Y33" s="80"/>
      <c r="Z33" s="84" t="s">
        <v>67</v>
      </c>
      <c r="AA33" s="84" t="s">
        <v>74</v>
      </c>
      <c r="AB33" s="84" t="s">
        <v>80</v>
      </c>
      <c r="AC33" s="89"/>
      <c r="AD33" s="84" t="s">
        <v>90</v>
      </c>
      <c r="AE33" s="130" t="s">
        <v>100</v>
      </c>
    </row>
    <row r="34" spans="1:31" ht="312" x14ac:dyDescent="0.25">
      <c r="B34" t="s">
        <v>123</v>
      </c>
      <c r="C34" t="s">
        <v>124</v>
      </c>
      <c r="T34" s="302"/>
      <c r="U34" s="123">
        <v>2030</v>
      </c>
      <c r="V34" s="124"/>
      <c r="W34" s="124"/>
      <c r="X34" s="124"/>
      <c r="Y34" s="124"/>
      <c r="Z34" s="132" t="s">
        <v>68</v>
      </c>
      <c r="AA34" s="132" t="s">
        <v>74</v>
      </c>
      <c r="AB34" s="132" t="s">
        <v>80</v>
      </c>
      <c r="AC34" s="133"/>
      <c r="AD34" s="132" t="s">
        <v>89</v>
      </c>
      <c r="AE34" s="134" t="s">
        <v>102</v>
      </c>
    </row>
    <row r="39" spans="1:31" ht="21" x14ac:dyDescent="0.25">
      <c r="T39" s="299" t="s">
        <v>0</v>
      </c>
      <c r="U39" s="299"/>
      <c r="V39" s="303">
        <v>3</v>
      </c>
      <c r="W39" s="303"/>
      <c r="X39" s="303"/>
      <c r="Y39" s="303"/>
      <c r="Z39" s="303"/>
    </row>
    <row r="40" spans="1:31" ht="21" x14ac:dyDescent="0.25">
      <c r="T40" s="299" t="s">
        <v>50</v>
      </c>
      <c r="U40" s="299"/>
      <c r="V40" s="304" t="s">
        <v>11</v>
      </c>
      <c r="W40" s="304"/>
      <c r="X40" s="304"/>
      <c r="Y40" s="304"/>
      <c r="Z40" s="304"/>
    </row>
    <row r="41" spans="1:31" ht="36" x14ac:dyDescent="0.25">
      <c r="T41" s="299" t="s">
        <v>51</v>
      </c>
      <c r="U41" s="299"/>
      <c r="V41" s="125" t="s">
        <v>12</v>
      </c>
      <c r="W41" s="125" t="s">
        <v>14</v>
      </c>
      <c r="X41" s="125" t="s">
        <v>6</v>
      </c>
      <c r="Y41" s="125" t="s">
        <v>107</v>
      </c>
      <c r="Z41" s="125" t="s">
        <v>110</v>
      </c>
    </row>
    <row r="42" spans="1:31" x14ac:dyDescent="0.25">
      <c r="T42" s="299" t="s">
        <v>52</v>
      </c>
      <c r="U42" s="299"/>
      <c r="V42" s="300" t="s">
        <v>13</v>
      </c>
      <c r="W42" s="300"/>
      <c r="X42" s="300"/>
      <c r="Y42" s="300"/>
      <c r="Z42" s="300"/>
    </row>
    <row r="43" spans="1:31" ht="60" x14ac:dyDescent="0.25">
      <c r="T43" s="299" t="s">
        <v>53</v>
      </c>
      <c r="U43" s="127">
        <v>2017</v>
      </c>
      <c r="V43" s="129"/>
      <c r="W43" s="129"/>
      <c r="X43" s="125" t="s">
        <v>81</v>
      </c>
      <c r="Y43" s="129"/>
      <c r="Z43" s="129"/>
    </row>
    <row r="44" spans="1:31" x14ac:dyDescent="0.25">
      <c r="T44" s="299"/>
      <c r="U44" s="127">
        <v>2018</v>
      </c>
      <c r="V44" s="129"/>
      <c r="W44" s="129"/>
      <c r="X44" s="129"/>
      <c r="Y44" s="129"/>
      <c r="Z44" s="129"/>
    </row>
    <row r="45" spans="1:31" x14ac:dyDescent="0.25">
      <c r="T45" s="299"/>
      <c r="U45" s="127">
        <v>2019</v>
      </c>
      <c r="V45" s="129"/>
      <c r="W45" s="129"/>
      <c r="X45" s="129"/>
      <c r="Y45" s="129"/>
      <c r="Z45" s="129"/>
    </row>
    <row r="46" spans="1:31" x14ac:dyDescent="0.25">
      <c r="T46" s="299"/>
      <c r="U46" s="127">
        <v>2020</v>
      </c>
      <c r="V46" s="129"/>
      <c r="W46" s="129"/>
      <c r="X46" s="129"/>
      <c r="Y46" s="129"/>
      <c r="Z46" s="129"/>
    </row>
    <row r="47" spans="1:31" ht="96" x14ac:dyDescent="0.25">
      <c r="T47" s="299"/>
      <c r="U47" s="127">
        <v>2021</v>
      </c>
      <c r="V47" s="125" t="s">
        <v>103</v>
      </c>
      <c r="W47" s="125" t="s">
        <v>105</v>
      </c>
      <c r="X47" s="129"/>
      <c r="Y47" s="125" t="s">
        <v>108</v>
      </c>
      <c r="Z47" s="125" t="s">
        <v>111</v>
      </c>
    </row>
    <row r="48" spans="1:31" ht="96.75" thickBot="1" x14ac:dyDescent="0.95">
      <c r="A48" s="146" t="s">
        <v>178</v>
      </c>
      <c r="T48" s="299"/>
      <c r="U48" s="127">
        <v>2022</v>
      </c>
      <c r="V48" s="125" t="s">
        <v>103</v>
      </c>
      <c r="W48" s="125" t="s">
        <v>105</v>
      </c>
      <c r="X48" s="129"/>
      <c r="Y48" s="125" t="s">
        <v>108</v>
      </c>
      <c r="Z48" s="125" t="s">
        <v>111</v>
      </c>
    </row>
    <row r="49" spans="1:26" ht="96.75" thickBot="1" x14ac:dyDescent="0.3">
      <c r="A49" s="329" t="s">
        <v>0</v>
      </c>
      <c r="B49" s="329" t="s">
        <v>50</v>
      </c>
      <c r="C49" s="329" t="s">
        <v>51</v>
      </c>
      <c r="D49" s="329" t="s">
        <v>52</v>
      </c>
      <c r="E49" s="331" t="s">
        <v>53</v>
      </c>
      <c r="F49" s="332"/>
      <c r="G49" s="332"/>
      <c r="H49" s="332"/>
      <c r="I49" s="332"/>
      <c r="J49" s="332"/>
      <c r="K49" s="332"/>
      <c r="L49" s="332"/>
      <c r="M49" s="332"/>
      <c r="N49" s="332"/>
      <c r="O49" s="332"/>
      <c r="P49" s="332"/>
      <c r="Q49" s="332"/>
      <c r="R49" s="333"/>
      <c r="T49" s="299"/>
      <c r="U49" s="127">
        <v>2023</v>
      </c>
      <c r="V49" s="125" t="s">
        <v>103</v>
      </c>
      <c r="W49" s="125" t="s">
        <v>105</v>
      </c>
      <c r="X49" s="129"/>
      <c r="Y49" s="125" t="s">
        <v>108</v>
      </c>
      <c r="Z49" s="125" t="s">
        <v>111</v>
      </c>
    </row>
    <row r="50" spans="1:26" ht="96.75" thickBot="1" x14ac:dyDescent="0.3">
      <c r="A50" s="330"/>
      <c r="B50" s="330"/>
      <c r="C50" s="330"/>
      <c r="D50" s="330"/>
      <c r="E50" s="135">
        <v>2017</v>
      </c>
      <c r="F50" s="135">
        <v>2018</v>
      </c>
      <c r="G50" s="135">
        <v>2019</v>
      </c>
      <c r="H50" s="135">
        <v>2020</v>
      </c>
      <c r="I50" s="135">
        <v>2021</v>
      </c>
      <c r="J50" s="135">
        <v>2022</v>
      </c>
      <c r="K50" s="135">
        <v>2023</v>
      </c>
      <c r="L50" s="135">
        <v>2024</v>
      </c>
      <c r="M50" s="135">
        <v>2025</v>
      </c>
      <c r="N50" s="135">
        <v>2026</v>
      </c>
      <c r="O50" s="135">
        <v>2027</v>
      </c>
      <c r="P50" s="135">
        <v>2028</v>
      </c>
      <c r="Q50" s="135">
        <v>2029</v>
      </c>
      <c r="R50" s="135">
        <v>2030</v>
      </c>
      <c r="T50" s="299"/>
      <c r="U50" s="127">
        <v>2024</v>
      </c>
      <c r="V50" s="125" t="s">
        <v>103</v>
      </c>
      <c r="W50" s="125" t="s">
        <v>105</v>
      </c>
      <c r="X50" s="129"/>
      <c r="Y50" s="125" t="s">
        <v>108</v>
      </c>
      <c r="Z50" s="125" t="s">
        <v>111</v>
      </c>
    </row>
    <row r="51" spans="1:26" ht="156" x14ac:dyDescent="0.25">
      <c r="A51" s="317">
        <v>1</v>
      </c>
      <c r="B51" s="320" t="s">
        <v>176</v>
      </c>
      <c r="C51" s="320" t="s">
        <v>55</v>
      </c>
      <c r="D51" s="317"/>
      <c r="E51" s="317"/>
      <c r="F51" s="317"/>
      <c r="G51" s="317"/>
      <c r="H51" s="317"/>
      <c r="I51" s="317"/>
      <c r="J51" s="136" t="s">
        <v>167</v>
      </c>
      <c r="K51" s="317"/>
      <c r="L51" s="317"/>
      <c r="M51" s="317"/>
      <c r="N51" s="317"/>
      <c r="O51" s="317"/>
      <c r="P51" s="317"/>
      <c r="Q51" s="317"/>
      <c r="R51" s="317"/>
      <c r="T51" s="299"/>
      <c r="U51" s="127">
        <v>2025</v>
      </c>
      <c r="V51" s="125" t="s">
        <v>104</v>
      </c>
      <c r="W51" s="125" t="s">
        <v>106</v>
      </c>
      <c r="X51" s="129"/>
      <c r="Y51" s="125" t="s">
        <v>109</v>
      </c>
      <c r="Z51" s="125" t="s">
        <v>111</v>
      </c>
    </row>
    <row r="52" spans="1:26" ht="156.75" thickBot="1" x14ac:dyDescent="0.3">
      <c r="A52" s="319"/>
      <c r="B52" s="321"/>
      <c r="C52" s="322"/>
      <c r="D52" s="319"/>
      <c r="E52" s="318"/>
      <c r="F52" s="318"/>
      <c r="G52" s="318"/>
      <c r="H52" s="318"/>
      <c r="I52" s="318"/>
      <c r="J52" s="137" t="s">
        <v>168</v>
      </c>
      <c r="K52" s="318"/>
      <c r="L52" s="318"/>
      <c r="M52" s="318"/>
      <c r="N52" s="318"/>
      <c r="O52" s="318"/>
      <c r="P52" s="318"/>
      <c r="Q52" s="318"/>
      <c r="R52" s="318"/>
      <c r="T52" s="299"/>
      <c r="U52" s="127">
        <v>2026</v>
      </c>
      <c r="V52" s="125" t="s">
        <v>104</v>
      </c>
      <c r="W52" s="125" t="s">
        <v>106</v>
      </c>
      <c r="X52" s="129"/>
      <c r="Y52" s="125" t="s">
        <v>109</v>
      </c>
      <c r="Z52" s="125" t="s">
        <v>111</v>
      </c>
    </row>
    <row r="53" spans="1:26" ht="156.75" thickBot="1" x14ac:dyDescent="0.3">
      <c r="A53" s="319"/>
      <c r="B53" s="321"/>
      <c r="C53" s="138" t="s">
        <v>6</v>
      </c>
      <c r="D53" s="319"/>
      <c r="E53" s="137"/>
      <c r="F53" s="137"/>
      <c r="G53" s="137"/>
      <c r="H53" s="137"/>
      <c r="I53" s="137"/>
      <c r="J53" s="137"/>
      <c r="K53" s="137"/>
      <c r="L53" s="137"/>
      <c r="M53" s="137"/>
      <c r="N53" s="137"/>
      <c r="O53" s="137"/>
      <c r="P53" s="137"/>
      <c r="Q53" s="137"/>
      <c r="R53" s="137"/>
      <c r="T53" s="299"/>
      <c r="U53" s="127">
        <v>2027</v>
      </c>
      <c r="V53" s="125" t="s">
        <v>104</v>
      </c>
      <c r="W53" s="125" t="s">
        <v>106</v>
      </c>
      <c r="X53" s="129"/>
      <c r="Y53" s="125" t="s">
        <v>109</v>
      </c>
      <c r="Z53" s="125" t="s">
        <v>111</v>
      </c>
    </row>
    <row r="54" spans="1:26" ht="156.75" thickBot="1" x14ac:dyDescent="0.3">
      <c r="A54" s="319"/>
      <c r="B54" s="321"/>
      <c r="C54" s="138" t="s">
        <v>56</v>
      </c>
      <c r="D54" s="319"/>
      <c r="E54" s="137"/>
      <c r="F54" s="137"/>
      <c r="G54" s="137"/>
      <c r="H54" s="137"/>
      <c r="I54" s="137"/>
      <c r="J54" s="137"/>
      <c r="K54" s="137"/>
      <c r="L54" s="137"/>
      <c r="M54" s="137"/>
      <c r="N54" s="137"/>
      <c r="O54" s="137"/>
      <c r="P54" s="137"/>
      <c r="Q54" s="137"/>
      <c r="R54" s="137"/>
      <c r="T54" s="299"/>
      <c r="U54" s="127">
        <v>2028</v>
      </c>
      <c r="V54" s="125" t="s">
        <v>104</v>
      </c>
      <c r="W54" s="125" t="s">
        <v>106</v>
      </c>
      <c r="X54" s="128"/>
      <c r="Y54" s="125" t="s">
        <v>109</v>
      </c>
      <c r="Z54" s="125" t="s">
        <v>111</v>
      </c>
    </row>
    <row r="55" spans="1:26" ht="156.75" thickBot="1" x14ac:dyDescent="0.3">
      <c r="A55" s="318"/>
      <c r="B55" s="322"/>
      <c r="C55" s="138" t="s">
        <v>57</v>
      </c>
      <c r="D55" s="318"/>
      <c r="E55" s="137"/>
      <c r="F55" s="137"/>
      <c r="G55" s="137"/>
      <c r="H55" s="137"/>
      <c r="I55" s="137"/>
      <c r="J55" s="137"/>
      <c r="K55" s="137"/>
      <c r="L55" s="137"/>
      <c r="M55" s="137"/>
      <c r="N55" s="137"/>
      <c r="O55" s="137"/>
      <c r="P55" s="137"/>
      <c r="Q55" s="137"/>
      <c r="R55" s="137"/>
      <c r="T55" s="299"/>
      <c r="U55" s="127">
        <v>2029</v>
      </c>
      <c r="V55" s="125" t="s">
        <v>104</v>
      </c>
      <c r="W55" s="125" t="s">
        <v>106</v>
      </c>
      <c r="X55" s="128"/>
      <c r="Y55" s="125" t="s">
        <v>109</v>
      </c>
      <c r="Z55" s="125" t="s">
        <v>111</v>
      </c>
    </row>
    <row r="56" spans="1:26" ht="184.5" thickBot="1" x14ac:dyDescent="0.3">
      <c r="A56" s="317">
        <v>2</v>
      </c>
      <c r="B56" s="320" t="s">
        <v>58</v>
      </c>
      <c r="C56" s="138" t="s">
        <v>169</v>
      </c>
      <c r="D56" s="137"/>
      <c r="E56" s="137"/>
      <c r="F56" s="137"/>
      <c r="G56" s="137"/>
      <c r="H56" s="137"/>
      <c r="I56" s="137"/>
      <c r="J56" s="137"/>
      <c r="K56" s="137"/>
      <c r="L56" s="137"/>
      <c r="M56" s="137"/>
      <c r="N56" s="137"/>
      <c r="O56" s="137"/>
      <c r="P56" s="137"/>
      <c r="Q56" s="137"/>
      <c r="R56" s="137"/>
      <c r="T56" s="299"/>
      <c r="U56" s="127">
        <v>2030</v>
      </c>
      <c r="V56" s="125" t="s">
        <v>104</v>
      </c>
      <c r="W56" s="125" t="s">
        <v>106</v>
      </c>
      <c r="X56" s="128"/>
      <c r="Y56" s="125" t="s">
        <v>109</v>
      </c>
      <c r="Z56" s="125" t="s">
        <v>111</v>
      </c>
    </row>
    <row r="57" spans="1:26" ht="105.75" thickBot="1" x14ac:dyDescent="0.3">
      <c r="A57" s="319"/>
      <c r="B57" s="321"/>
      <c r="C57" s="138" t="s">
        <v>6</v>
      </c>
      <c r="D57" s="137"/>
      <c r="E57" s="137"/>
      <c r="F57" s="137"/>
      <c r="G57" s="137"/>
      <c r="H57" s="137"/>
      <c r="I57" s="137"/>
      <c r="J57" s="137"/>
      <c r="K57" s="137"/>
      <c r="L57" s="137"/>
      <c r="M57" s="137"/>
      <c r="N57" s="137"/>
      <c r="O57" s="137"/>
      <c r="P57" s="137"/>
      <c r="Q57" s="137"/>
      <c r="R57" s="137"/>
    </row>
    <row r="58" spans="1:26" ht="105.75" thickBot="1" x14ac:dyDescent="0.3">
      <c r="A58" s="319"/>
      <c r="B58" s="321"/>
      <c r="C58" s="138" t="s">
        <v>82</v>
      </c>
      <c r="D58" s="137"/>
      <c r="E58" s="137"/>
      <c r="F58" s="137"/>
      <c r="G58" s="137"/>
      <c r="H58" s="137"/>
      <c r="I58" s="137"/>
      <c r="J58" s="137"/>
      <c r="K58" s="137"/>
      <c r="L58" s="137"/>
      <c r="M58" s="137"/>
      <c r="N58" s="137"/>
      <c r="O58" s="137"/>
      <c r="P58" s="137"/>
      <c r="Q58" s="137"/>
      <c r="R58" s="137"/>
    </row>
    <row r="59" spans="1:26" ht="53.25" thickBot="1" x14ac:dyDescent="0.3">
      <c r="A59" s="318"/>
      <c r="B59" s="322"/>
      <c r="C59" s="138" t="s">
        <v>92</v>
      </c>
      <c r="D59" s="137"/>
      <c r="E59" s="137"/>
      <c r="F59" s="137"/>
      <c r="G59" s="137"/>
      <c r="H59" s="137"/>
      <c r="I59" s="137"/>
      <c r="J59" s="137"/>
      <c r="K59" s="137"/>
      <c r="L59" s="137"/>
      <c r="M59" s="137"/>
      <c r="N59" s="137"/>
      <c r="O59" s="137"/>
      <c r="P59" s="137"/>
      <c r="Q59" s="137"/>
      <c r="R59" s="137"/>
    </row>
    <row r="60" spans="1:26" ht="20.25" customHeight="1" x14ac:dyDescent="0.25">
      <c r="A60" s="317">
        <v>3</v>
      </c>
      <c r="B60" s="320" t="s">
        <v>11</v>
      </c>
      <c r="C60" s="320" t="s">
        <v>12</v>
      </c>
      <c r="D60" s="317"/>
      <c r="E60" s="317"/>
      <c r="F60" s="317"/>
      <c r="G60" s="317"/>
      <c r="H60" s="317"/>
      <c r="I60" s="317"/>
      <c r="J60" s="317"/>
      <c r="K60" s="317"/>
      <c r="L60" s="317"/>
      <c r="M60" s="317"/>
      <c r="N60" s="317"/>
      <c r="O60" s="317"/>
      <c r="P60" s="317"/>
      <c r="Q60" s="317"/>
      <c r="R60" s="317"/>
    </row>
    <row r="61" spans="1:26" ht="15.75" thickBot="1" x14ac:dyDescent="0.3">
      <c r="A61" s="319"/>
      <c r="B61" s="321"/>
      <c r="C61" s="322"/>
      <c r="D61" s="318"/>
      <c r="E61" s="318"/>
      <c r="F61" s="318"/>
      <c r="G61" s="318"/>
      <c r="H61" s="318"/>
      <c r="I61" s="318"/>
      <c r="J61" s="318"/>
      <c r="K61" s="318"/>
      <c r="L61" s="318"/>
      <c r="M61" s="318"/>
      <c r="N61" s="318"/>
      <c r="O61" s="318"/>
      <c r="P61" s="318"/>
      <c r="Q61" s="318"/>
      <c r="R61" s="318"/>
    </row>
    <row r="62" spans="1:26" ht="105.75" thickBot="1" x14ac:dyDescent="0.3">
      <c r="A62" s="319"/>
      <c r="B62" s="321"/>
      <c r="C62" s="138" t="s">
        <v>6</v>
      </c>
      <c r="D62" s="137"/>
      <c r="E62" s="137"/>
      <c r="F62" s="137"/>
      <c r="G62" s="137"/>
      <c r="H62" s="137"/>
      <c r="I62" s="137"/>
      <c r="J62" s="137"/>
      <c r="K62" s="137"/>
      <c r="L62" s="137"/>
      <c r="M62" s="137"/>
      <c r="N62" s="137"/>
      <c r="O62" s="137"/>
      <c r="P62" s="137"/>
      <c r="Q62" s="137"/>
      <c r="R62" s="137"/>
    </row>
    <row r="63" spans="1:26" ht="105.75" thickBot="1" x14ac:dyDescent="0.3">
      <c r="A63" s="319"/>
      <c r="B63" s="321"/>
      <c r="C63" s="138" t="s">
        <v>170</v>
      </c>
      <c r="D63" s="137"/>
      <c r="E63" s="137"/>
      <c r="F63" s="137"/>
      <c r="G63" s="137"/>
      <c r="H63" s="137"/>
      <c r="I63" s="137"/>
      <c r="J63" s="137"/>
      <c r="K63" s="137"/>
      <c r="L63" s="137"/>
      <c r="M63" s="137"/>
      <c r="N63" s="137"/>
      <c r="O63" s="137"/>
      <c r="P63" s="137"/>
      <c r="Q63" s="137"/>
      <c r="R63" s="137"/>
    </row>
    <row r="64" spans="1:26" ht="53.25" thickBot="1" x14ac:dyDescent="0.3">
      <c r="A64" s="318"/>
      <c r="B64" s="322"/>
      <c r="C64" s="138" t="s">
        <v>110</v>
      </c>
      <c r="D64" s="137"/>
      <c r="E64" s="137"/>
      <c r="F64" s="137"/>
      <c r="G64" s="137"/>
      <c r="H64" s="137"/>
      <c r="I64" s="137"/>
      <c r="J64" s="137"/>
      <c r="K64" s="137"/>
      <c r="L64" s="137"/>
      <c r="M64" s="137"/>
      <c r="N64" s="137"/>
      <c r="O64" s="137"/>
      <c r="P64" s="137"/>
      <c r="Q64" s="137"/>
      <c r="R64" s="137"/>
    </row>
    <row r="65" spans="1:18" ht="184.5" thickBot="1" x14ac:dyDescent="0.3">
      <c r="A65" s="317">
        <v>4</v>
      </c>
      <c r="B65" s="139" t="s">
        <v>112</v>
      </c>
      <c r="C65" s="138" t="s">
        <v>113</v>
      </c>
      <c r="D65" s="317" t="s">
        <v>171</v>
      </c>
      <c r="E65" s="137"/>
      <c r="F65" s="137"/>
      <c r="G65" s="140">
        <v>5475</v>
      </c>
      <c r="H65" s="140">
        <v>7300</v>
      </c>
      <c r="I65" s="140">
        <v>1095</v>
      </c>
      <c r="J65" s="137" t="s">
        <v>172</v>
      </c>
      <c r="K65" s="137" t="s">
        <v>172</v>
      </c>
      <c r="L65" s="137" t="s">
        <v>173</v>
      </c>
      <c r="M65" s="137" t="s">
        <v>173</v>
      </c>
      <c r="N65" s="137"/>
      <c r="O65" s="137"/>
      <c r="P65" s="137"/>
      <c r="Q65" s="137"/>
      <c r="R65" s="137"/>
    </row>
    <row r="66" spans="1:18" ht="132" thickBot="1" x14ac:dyDescent="0.3">
      <c r="A66" s="319"/>
      <c r="B66" s="139" t="s">
        <v>114</v>
      </c>
      <c r="C66" s="141" t="s">
        <v>174</v>
      </c>
      <c r="D66" s="319"/>
      <c r="E66" s="137"/>
      <c r="F66" s="137"/>
      <c r="G66" s="142">
        <v>3318</v>
      </c>
      <c r="H66" s="142">
        <v>4424</v>
      </c>
      <c r="I66" s="142">
        <v>664</v>
      </c>
      <c r="J66" s="142">
        <v>553</v>
      </c>
      <c r="K66" s="142">
        <v>553</v>
      </c>
      <c r="L66" s="142">
        <v>332</v>
      </c>
      <c r="M66" s="142">
        <v>332</v>
      </c>
      <c r="N66" s="137"/>
      <c r="O66" s="137"/>
      <c r="P66" s="137"/>
      <c r="Q66" s="137"/>
      <c r="R66" s="137"/>
    </row>
    <row r="67" spans="1:18" ht="158.25" thickBot="1" x14ac:dyDescent="0.3">
      <c r="A67" s="319"/>
      <c r="B67" s="139" t="s">
        <v>115</v>
      </c>
      <c r="C67" s="141" t="s">
        <v>175</v>
      </c>
      <c r="D67" s="319"/>
      <c r="E67" s="137"/>
      <c r="F67" s="137"/>
      <c r="G67" s="142">
        <v>299</v>
      </c>
      <c r="H67" s="142">
        <v>398</v>
      </c>
      <c r="I67" s="142">
        <v>60</v>
      </c>
      <c r="J67" s="142">
        <v>50</v>
      </c>
      <c r="K67" s="142">
        <v>50</v>
      </c>
      <c r="L67" s="142">
        <v>30</v>
      </c>
      <c r="M67" s="142">
        <v>30</v>
      </c>
      <c r="N67" s="137"/>
      <c r="O67" s="137"/>
      <c r="P67" s="137"/>
      <c r="Q67" s="137"/>
      <c r="R67" s="137"/>
    </row>
    <row r="68" spans="1:18" ht="52.5" x14ac:dyDescent="0.25">
      <c r="A68" s="319"/>
      <c r="B68" s="139" t="s">
        <v>32</v>
      </c>
      <c r="C68" s="139"/>
      <c r="D68" s="319"/>
      <c r="E68" s="317"/>
      <c r="F68" s="317"/>
      <c r="G68" s="317">
        <v>30</v>
      </c>
      <c r="H68" s="317">
        <v>40</v>
      </c>
      <c r="I68" s="317">
        <v>6</v>
      </c>
      <c r="J68" s="317">
        <v>5</v>
      </c>
      <c r="K68" s="317">
        <v>5</v>
      </c>
      <c r="L68" s="317">
        <v>3</v>
      </c>
      <c r="M68" s="317">
        <v>3</v>
      </c>
      <c r="N68" s="317"/>
      <c r="O68" s="317"/>
      <c r="P68" s="317"/>
      <c r="Q68" s="317"/>
      <c r="R68" s="317"/>
    </row>
    <row r="69" spans="1:18" ht="52.5" x14ac:dyDescent="0.25">
      <c r="A69" s="319"/>
      <c r="B69" s="143"/>
      <c r="C69" s="139" t="s">
        <v>17</v>
      </c>
      <c r="D69" s="319"/>
      <c r="E69" s="319"/>
      <c r="F69" s="319"/>
      <c r="G69" s="319"/>
      <c r="H69" s="319"/>
      <c r="I69" s="319"/>
      <c r="J69" s="319"/>
      <c r="K69" s="319"/>
      <c r="L69" s="319"/>
      <c r="M69" s="319"/>
      <c r="N69" s="319"/>
      <c r="O69" s="319"/>
      <c r="P69" s="319"/>
      <c r="Q69" s="319"/>
      <c r="R69" s="319"/>
    </row>
    <row r="70" spans="1:18" ht="27" thickBot="1" x14ac:dyDescent="0.3">
      <c r="A70" s="319"/>
      <c r="B70" s="143"/>
      <c r="C70" s="138"/>
      <c r="D70" s="319"/>
      <c r="E70" s="318"/>
      <c r="F70" s="318"/>
      <c r="G70" s="318"/>
      <c r="H70" s="318"/>
      <c r="I70" s="318"/>
      <c r="J70" s="318"/>
      <c r="K70" s="318"/>
      <c r="L70" s="318"/>
      <c r="M70" s="318"/>
      <c r="N70" s="318"/>
      <c r="O70" s="318"/>
      <c r="P70" s="318"/>
      <c r="Q70" s="318"/>
      <c r="R70" s="318"/>
    </row>
    <row r="71" spans="1:18" ht="105.75" thickBot="1" x14ac:dyDescent="0.3">
      <c r="A71" s="319"/>
      <c r="B71" s="143"/>
      <c r="C71" s="138" t="s">
        <v>18</v>
      </c>
      <c r="D71" s="319"/>
      <c r="E71" s="137"/>
      <c r="F71" s="137"/>
      <c r="G71" s="137">
        <v>2.5</v>
      </c>
      <c r="H71" s="137">
        <v>2.5</v>
      </c>
      <c r="I71" s="137">
        <v>2.5</v>
      </c>
      <c r="J71" s="137">
        <v>2.5</v>
      </c>
      <c r="K71" s="137">
        <v>2.5</v>
      </c>
      <c r="L71" s="137">
        <v>2.5</v>
      </c>
      <c r="M71" s="137">
        <v>2.5</v>
      </c>
      <c r="N71" s="137"/>
      <c r="O71" s="137"/>
      <c r="P71" s="137"/>
      <c r="Q71" s="137"/>
      <c r="R71" s="137"/>
    </row>
    <row r="72" spans="1:18" ht="26.25" x14ac:dyDescent="0.25">
      <c r="A72" s="319"/>
      <c r="B72" s="143"/>
      <c r="C72" s="139"/>
      <c r="D72" s="319"/>
      <c r="E72" s="317"/>
      <c r="F72" s="317"/>
      <c r="G72" s="341">
        <v>15000000</v>
      </c>
      <c r="H72" s="320" t="s">
        <v>22</v>
      </c>
      <c r="I72" s="343">
        <v>2401965</v>
      </c>
      <c r="J72" s="343">
        <v>1993980</v>
      </c>
      <c r="K72" s="343">
        <v>2130000</v>
      </c>
      <c r="L72" s="343">
        <v>1200000</v>
      </c>
      <c r="M72" s="343">
        <v>650995</v>
      </c>
      <c r="N72" s="317"/>
      <c r="O72" s="317"/>
      <c r="P72" s="317"/>
      <c r="Q72" s="317"/>
      <c r="R72" s="317"/>
    </row>
    <row r="73" spans="1:18" ht="105.75" thickBot="1" x14ac:dyDescent="0.3">
      <c r="A73" s="318"/>
      <c r="B73" s="144"/>
      <c r="C73" s="138" t="s">
        <v>6</v>
      </c>
      <c r="D73" s="318"/>
      <c r="E73" s="318"/>
      <c r="F73" s="318"/>
      <c r="G73" s="342"/>
      <c r="H73" s="322"/>
      <c r="I73" s="344"/>
      <c r="J73" s="344"/>
      <c r="K73" s="344"/>
      <c r="L73" s="344"/>
      <c r="M73" s="344"/>
      <c r="N73" s="318"/>
      <c r="O73" s="318"/>
      <c r="P73" s="318"/>
      <c r="Q73" s="318"/>
      <c r="R73" s="318"/>
    </row>
    <row r="75" spans="1:18" x14ac:dyDescent="0.25">
      <c r="G75">
        <f>G66/G65</f>
        <v>0.60602739726027399</v>
      </c>
    </row>
    <row r="76" spans="1:18" x14ac:dyDescent="0.25">
      <c r="G76">
        <f>G67/G65</f>
        <v>5.461187214611872E-2</v>
      </c>
    </row>
  </sheetData>
  <mergeCells count="130">
    <mergeCell ref="P72:P73"/>
    <mergeCell ref="Q72:Q73"/>
    <mergeCell ref="R72:R73"/>
    <mergeCell ref="G72:G73"/>
    <mergeCell ref="H72:H73"/>
    <mergeCell ref="I72:I73"/>
    <mergeCell ref="J72:J73"/>
    <mergeCell ref="K72:K73"/>
    <mergeCell ref="L72:L73"/>
    <mergeCell ref="M72:M73"/>
    <mergeCell ref="N72:N73"/>
    <mergeCell ref="O72:O73"/>
    <mergeCell ref="R60:R61"/>
    <mergeCell ref="A65:A73"/>
    <mergeCell ref="D65:D73"/>
    <mergeCell ref="E68:E70"/>
    <mergeCell ref="F68:F70"/>
    <mergeCell ref="G68:G70"/>
    <mergeCell ref="H68:H70"/>
    <mergeCell ref="I68:I70"/>
    <mergeCell ref="J68:J70"/>
    <mergeCell ref="K68:K70"/>
    <mergeCell ref="L68:L70"/>
    <mergeCell ref="M68:M70"/>
    <mergeCell ref="N68:N70"/>
    <mergeCell ref="O68:O70"/>
    <mergeCell ref="P68:P70"/>
    <mergeCell ref="Q68:Q70"/>
    <mergeCell ref="M60:M61"/>
    <mergeCell ref="N60:N61"/>
    <mergeCell ref="O60:O61"/>
    <mergeCell ref="P60:P61"/>
    <mergeCell ref="Q60:Q61"/>
    <mergeCell ref="R68:R70"/>
    <mergeCell ref="E72:E73"/>
    <mergeCell ref="F72:F73"/>
    <mergeCell ref="Q51:Q52"/>
    <mergeCell ref="R51:R52"/>
    <mergeCell ref="A56:A59"/>
    <mergeCell ref="B56:B59"/>
    <mergeCell ref="A60:A64"/>
    <mergeCell ref="B60:B64"/>
    <mergeCell ref="C60:C61"/>
    <mergeCell ref="D60:D61"/>
    <mergeCell ref="E60:E61"/>
    <mergeCell ref="F60:F61"/>
    <mergeCell ref="G60:G61"/>
    <mergeCell ref="H60:H61"/>
    <mergeCell ref="I60:I61"/>
    <mergeCell ref="J60:J61"/>
    <mergeCell ref="K60:K61"/>
    <mergeCell ref="L60:L61"/>
    <mergeCell ref="L51:L52"/>
    <mergeCell ref="M51:M52"/>
    <mergeCell ref="N51:N52"/>
    <mergeCell ref="O51:O52"/>
    <mergeCell ref="P51:P52"/>
    <mergeCell ref="F51:F52"/>
    <mergeCell ref="G51:G52"/>
    <mergeCell ref="H51:H52"/>
    <mergeCell ref="I51:I52"/>
    <mergeCell ref="K51:K52"/>
    <mergeCell ref="A51:A55"/>
    <mergeCell ref="B51:B55"/>
    <mergeCell ref="C51:C52"/>
    <mergeCell ref="D51:D55"/>
    <mergeCell ref="E51:E52"/>
    <mergeCell ref="E2:R2"/>
    <mergeCell ref="A4:A7"/>
    <mergeCell ref="B4:B7"/>
    <mergeCell ref="D4:D7"/>
    <mergeCell ref="A49:A50"/>
    <mergeCell ref="B49:B50"/>
    <mergeCell ref="C49:C50"/>
    <mergeCell ref="D49:D50"/>
    <mergeCell ref="E49:R49"/>
    <mergeCell ref="A19:A24"/>
    <mergeCell ref="D19:D24"/>
    <mergeCell ref="A2:A3"/>
    <mergeCell ref="B2:B3"/>
    <mergeCell ref="C2:C3"/>
    <mergeCell ref="D2:D3"/>
    <mergeCell ref="A8:A13"/>
    <mergeCell ref="B8:B13"/>
    <mergeCell ref="A14:A18"/>
    <mergeCell ref="B14:B18"/>
    <mergeCell ref="D14:D18"/>
    <mergeCell ref="P20:P21"/>
    <mergeCell ref="E20:E21"/>
    <mergeCell ref="F20:F21"/>
    <mergeCell ref="G20:G21"/>
    <mergeCell ref="H20:H21"/>
    <mergeCell ref="I20:I21"/>
    <mergeCell ref="J20:J21"/>
    <mergeCell ref="R23:R24"/>
    <mergeCell ref="Q20:Q21"/>
    <mergeCell ref="R20:R21"/>
    <mergeCell ref="E23:E24"/>
    <mergeCell ref="F23:F24"/>
    <mergeCell ref="G23:G24"/>
    <mergeCell ref="H23:H24"/>
    <mergeCell ref="I23:I24"/>
    <mergeCell ref="J23:J24"/>
    <mergeCell ref="K23:K24"/>
    <mergeCell ref="L23:L24"/>
    <mergeCell ref="K20:K21"/>
    <mergeCell ref="L20:L21"/>
    <mergeCell ref="M20:M21"/>
    <mergeCell ref="N20:N21"/>
    <mergeCell ref="O20:O21"/>
    <mergeCell ref="M23:M24"/>
    <mergeCell ref="N23:N24"/>
    <mergeCell ref="O23:O24"/>
    <mergeCell ref="P23:P24"/>
    <mergeCell ref="Q23:Q24"/>
    <mergeCell ref="T18:U18"/>
    <mergeCell ref="V18:Y18"/>
    <mergeCell ref="Z18:AE18"/>
    <mergeCell ref="T19:U19"/>
    <mergeCell ref="T20:U20"/>
    <mergeCell ref="V20:Y20"/>
    <mergeCell ref="T42:U42"/>
    <mergeCell ref="V42:Z42"/>
    <mergeCell ref="T43:T56"/>
    <mergeCell ref="T21:T34"/>
    <mergeCell ref="T39:U39"/>
    <mergeCell ref="V39:Z39"/>
    <mergeCell ref="T40:U40"/>
    <mergeCell ref="V40:Z40"/>
    <mergeCell ref="T41:U41"/>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21"/>
  <sheetViews>
    <sheetView topLeftCell="Z70" zoomScale="55" zoomScaleNormal="55" workbookViewId="0">
      <selection activeCell="AN56" sqref="AN56"/>
    </sheetView>
  </sheetViews>
  <sheetFormatPr defaultRowHeight="15" x14ac:dyDescent="0.25"/>
  <cols>
    <col min="2" max="2" width="18" customWidth="1"/>
    <col min="3" max="3" width="21.42578125" style="120" customWidth="1"/>
    <col min="4" max="11" width="14.7109375" customWidth="1"/>
    <col min="12" max="12" width="23.28515625" customWidth="1"/>
    <col min="13" max="13" width="19.5703125" customWidth="1"/>
    <col min="14" max="14" width="20" customWidth="1"/>
    <col min="15" max="25" width="21.5703125" customWidth="1"/>
    <col min="26" max="31" width="9.140625" style="105"/>
    <col min="32" max="43" width="21.140625" style="105" customWidth="1"/>
    <col min="44" max="16384" width="9.140625" style="105"/>
  </cols>
  <sheetData>
    <row r="1" spans="1:25" ht="15.75" thickBot="1" x14ac:dyDescent="0.3">
      <c r="A1" s="334" t="s">
        <v>0</v>
      </c>
      <c r="B1" s="334" t="s">
        <v>50</v>
      </c>
      <c r="C1" s="334" t="s">
        <v>51</v>
      </c>
      <c r="D1" s="334" t="s">
        <v>52</v>
      </c>
      <c r="E1" s="104"/>
      <c r="F1" s="104"/>
      <c r="G1" s="104"/>
      <c r="H1" s="104"/>
      <c r="I1" s="104"/>
      <c r="J1" s="104"/>
      <c r="K1" s="104"/>
      <c r="L1" s="323" t="s">
        <v>53</v>
      </c>
      <c r="M1" s="324"/>
      <c r="N1" s="324"/>
      <c r="O1" s="324"/>
      <c r="P1" s="324"/>
      <c r="Q1" s="324"/>
      <c r="R1" s="324"/>
      <c r="S1" s="324"/>
      <c r="T1" s="324"/>
      <c r="U1" s="324"/>
      <c r="V1" s="324"/>
      <c r="W1" s="324"/>
      <c r="X1" s="324"/>
      <c r="Y1" s="325"/>
    </row>
    <row r="2" spans="1:25" ht="15.75" thickBot="1" x14ac:dyDescent="0.3">
      <c r="A2" s="296"/>
      <c r="B2" s="296"/>
      <c r="C2" s="296"/>
      <c r="D2" s="296"/>
      <c r="E2" s="78">
        <f t="shared" ref="E2:J2" si="0">F2-1</f>
        <v>2010</v>
      </c>
      <c r="F2" s="78">
        <f t="shared" si="0"/>
        <v>2011</v>
      </c>
      <c r="G2" s="78">
        <f t="shared" si="0"/>
        <v>2012</v>
      </c>
      <c r="H2" s="78">
        <f t="shared" si="0"/>
        <v>2013</v>
      </c>
      <c r="I2" s="78">
        <f t="shared" si="0"/>
        <v>2014</v>
      </c>
      <c r="J2" s="78">
        <f t="shared" si="0"/>
        <v>2015</v>
      </c>
      <c r="K2" s="78">
        <f>L2-1</f>
        <v>2016</v>
      </c>
      <c r="L2" s="78">
        <v>2017</v>
      </c>
      <c r="M2" s="78">
        <v>2018</v>
      </c>
      <c r="N2" s="78">
        <v>2019</v>
      </c>
      <c r="O2" s="78">
        <v>2020</v>
      </c>
      <c r="P2" s="78">
        <v>2021</v>
      </c>
      <c r="Q2" s="78">
        <v>2022</v>
      </c>
      <c r="R2" s="78">
        <v>2023</v>
      </c>
      <c r="S2" s="78">
        <v>2024</v>
      </c>
      <c r="T2" s="78">
        <v>2025</v>
      </c>
      <c r="U2" s="78">
        <v>2026</v>
      </c>
      <c r="V2" s="78">
        <v>2027</v>
      </c>
      <c r="W2" s="78">
        <v>2028</v>
      </c>
      <c r="X2" s="78">
        <v>2029</v>
      </c>
      <c r="Y2" s="78">
        <v>2030</v>
      </c>
    </row>
    <row r="3" spans="1:25" ht="30.75" thickBot="1" x14ac:dyDescent="0.3">
      <c r="A3" s="297">
        <v>1</v>
      </c>
      <c r="B3" s="326" t="s">
        <v>54</v>
      </c>
      <c r="C3" s="106" t="s">
        <v>55</v>
      </c>
      <c r="D3" s="297"/>
      <c r="E3" s="107"/>
      <c r="F3" s="107"/>
      <c r="G3" s="107"/>
      <c r="H3" s="107"/>
      <c r="I3" s="107"/>
      <c r="J3" s="107"/>
      <c r="K3" s="107"/>
      <c r="L3" s="80"/>
      <c r="M3" s="80"/>
      <c r="N3" s="80"/>
      <c r="O3" s="80"/>
      <c r="P3" s="80">
        <v>63610</v>
      </c>
      <c r="Q3" s="80"/>
      <c r="R3" s="80"/>
      <c r="S3" s="80"/>
      <c r="T3" s="80"/>
      <c r="U3" s="80"/>
      <c r="V3" s="80"/>
      <c r="W3" s="80"/>
      <c r="X3" s="80"/>
      <c r="Y3" s="80"/>
    </row>
    <row r="4" spans="1:25" ht="30.75" thickBot="1" x14ac:dyDescent="0.3">
      <c r="A4" s="298"/>
      <c r="B4" s="327"/>
      <c r="C4" s="106" t="s">
        <v>6</v>
      </c>
      <c r="D4" s="298"/>
      <c r="E4" s="107"/>
      <c r="F4" s="107"/>
      <c r="G4" s="107"/>
      <c r="H4" s="107"/>
      <c r="I4" s="107"/>
      <c r="J4" s="107"/>
      <c r="K4" s="107"/>
      <c r="L4" s="80"/>
      <c r="M4" s="80"/>
      <c r="N4" s="80"/>
      <c r="O4" s="80"/>
      <c r="P4" s="80"/>
      <c r="Q4" s="80"/>
      <c r="R4" s="80"/>
      <c r="S4" s="80"/>
      <c r="T4" s="80"/>
      <c r="U4" s="80"/>
      <c r="V4" s="81"/>
      <c r="W4" s="80"/>
      <c r="X4" s="80"/>
      <c r="Y4" s="80"/>
    </row>
    <row r="5" spans="1:25" ht="30.75" thickBot="1" x14ac:dyDescent="0.3">
      <c r="A5" s="298"/>
      <c r="B5" s="327"/>
      <c r="C5" s="106" t="s">
        <v>56</v>
      </c>
      <c r="D5" s="298"/>
      <c r="E5" s="107"/>
      <c r="F5" s="107"/>
      <c r="G5" s="107"/>
      <c r="H5" s="107"/>
      <c r="I5" s="107"/>
      <c r="J5" s="107"/>
      <c r="K5" s="107"/>
      <c r="L5" s="80"/>
      <c r="M5" s="80"/>
      <c r="N5" s="80"/>
      <c r="O5" s="80"/>
      <c r="P5" s="80" t="s">
        <v>125</v>
      </c>
      <c r="Q5" s="80"/>
      <c r="R5" s="80"/>
      <c r="S5" s="80"/>
      <c r="T5" s="80"/>
      <c r="U5" s="80"/>
      <c r="V5" s="80"/>
      <c r="W5" s="80"/>
      <c r="X5" s="80"/>
      <c r="Y5" s="80"/>
    </row>
    <row r="6" spans="1:25" ht="15.75" thickBot="1" x14ac:dyDescent="0.3">
      <c r="A6" s="305"/>
      <c r="B6" s="328"/>
      <c r="C6" s="106" t="s">
        <v>126</v>
      </c>
      <c r="D6" s="298"/>
      <c r="E6" s="107"/>
      <c r="F6" s="107"/>
      <c r="G6" s="107"/>
      <c r="H6" s="107"/>
      <c r="I6" s="107"/>
      <c r="J6" s="107"/>
      <c r="K6" s="107"/>
      <c r="L6" s="80"/>
      <c r="M6" s="80"/>
      <c r="N6" s="80"/>
      <c r="O6" s="107"/>
      <c r="P6" s="107" t="s">
        <v>127</v>
      </c>
      <c r="Q6" s="107"/>
      <c r="R6" s="107"/>
      <c r="S6" s="107"/>
      <c r="T6" s="107"/>
      <c r="U6" s="107"/>
      <c r="V6" s="107"/>
      <c r="W6" s="107"/>
      <c r="X6" s="107"/>
      <c r="Y6" s="107"/>
    </row>
    <row r="7" spans="1:25" ht="15.75" thickBot="1" x14ac:dyDescent="0.3">
      <c r="A7" s="335">
        <v>2</v>
      </c>
      <c r="B7" s="338" t="s">
        <v>128</v>
      </c>
      <c r="C7" s="108" t="s">
        <v>59</v>
      </c>
      <c r="D7" s="83"/>
      <c r="E7" s="83"/>
      <c r="F7" s="83"/>
      <c r="G7" s="83"/>
      <c r="H7" s="83"/>
      <c r="I7" s="83"/>
      <c r="J7" s="83"/>
      <c r="K7" s="83"/>
      <c r="L7" s="84" t="s">
        <v>60</v>
      </c>
      <c r="M7" s="84"/>
      <c r="N7" s="109"/>
      <c r="O7" s="83"/>
      <c r="P7" s="110"/>
      <c r="Q7" s="110"/>
      <c r="R7" s="83"/>
      <c r="S7" s="110"/>
      <c r="T7" s="110"/>
      <c r="U7" s="110"/>
      <c r="V7" s="110"/>
      <c r="W7" s="110"/>
      <c r="X7" s="110"/>
      <c r="Y7" s="110"/>
    </row>
    <row r="8" spans="1:25" ht="30.75" thickBot="1" x14ac:dyDescent="0.3">
      <c r="A8" s="336"/>
      <c r="B8" s="339"/>
      <c r="C8" s="111" t="s">
        <v>69</v>
      </c>
      <c r="D8" s="83"/>
      <c r="E8" s="83"/>
      <c r="F8" s="83"/>
      <c r="G8" s="83"/>
      <c r="H8" s="83"/>
      <c r="I8" s="83"/>
      <c r="J8" s="83"/>
      <c r="K8" s="83"/>
      <c r="L8" s="84" t="s">
        <v>70</v>
      </c>
      <c r="M8" s="84"/>
      <c r="N8" s="109"/>
      <c r="O8" s="83"/>
      <c r="P8" s="110"/>
      <c r="Q8" s="110"/>
      <c r="R8" s="83"/>
      <c r="S8" s="83"/>
      <c r="T8" s="110"/>
      <c r="U8" s="110"/>
      <c r="V8" s="110"/>
      <c r="W8" s="110"/>
      <c r="X8" s="110"/>
      <c r="Y8" s="110"/>
    </row>
    <row r="9" spans="1:25" ht="30.75" thickBot="1" x14ac:dyDescent="0.3">
      <c r="A9" s="336"/>
      <c r="B9" s="339"/>
      <c r="C9" s="111" t="s">
        <v>129</v>
      </c>
      <c r="D9" s="83"/>
      <c r="E9" s="83"/>
      <c r="F9" s="83"/>
      <c r="G9" s="83"/>
      <c r="H9" s="83"/>
      <c r="I9" s="83"/>
      <c r="J9" s="83"/>
      <c r="K9" s="83"/>
      <c r="L9" s="161">
        <v>0.1</v>
      </c>
      <c r="M9" s="84"/>
      <c r="N9" s="109"/>
      <c r="O9" s="110"/>
      <c r="P9" s="110"/>
      <c r="Q9" s="110"/>
      <c r="R9" s="110"/>
      <c r="S9" s="83"/>
      <c r="T9" s="110"/>
      <c r="U9" s="110"/>
      <c r="V9" s="110"/>
      <c r="W9" s="110"/>
      <c r="X9" s="110"/>
      <c r="Y9" s="110"/>
    </row>
    <row r="10" spans="1:25" ht="30.75" thickBot="1" x14ac:dyDescent="0.3">
      <c r="A10" s="336"/>
      <c r="B10" s="339"/>
      <c r="C10" s="111" t="s">
        <v>75</v>
      </c>
      <c r="D10" s="83"/>
      <c r="E10" s="83"/>
      <c r="F10" s="83"/>
      <c r="G10" s="83"/>
      <c r="H10" s="83"/>
      <c r="I10" s="83"/>
      <c r="J10" s="83"/>
      <c r="K10" s="83"/>
      <c r="L10" s="84" t="s">
        <v>76</v>
      </c>
      <c r="M10" s="84"/>
      <c r="N10" s="109"/>
      <c r="O10" s="83"/>
      <c r="P10" s="110"/>
      <c r="Q10" s="110"/>
      <c r="R10" s="83"/>
      <c r="S10" s="83"/>
      <c r="T10" s="110"/>
      <c r="U10" s="110"/>
      <c r="V10" s="110"/>
      <c r="W10" s="110"/>
      <c r="X10" s="110"/>
      <c r="Y10" s="110"/>
    </row>
    <row r="11" spans="1:25" ht="30.75" thickBot="1" x14ac:dyDescent="0.3">
      <c r="A11" s="336"/>
      <c r="B11" s="339"/>
      <c r="C11" s="112" t="s">
        <v>6</v>
      </c>
      <c r="D11" s="110"/>
      <c r="E11" s="110"/>
      <c r="F11" s="110"/>
      <c r="G11" s="110"/>
      <c r="H11" s="110"/>
      <c r="I11" s="110"/>
      <c r="J11" s="110"/>
      <c r="K11" s="110"/>
      <c r="L11" s="270" t="s">
        <v>130</v>
      </c>
      <c r="M11" s="88"/>
      <c r="N11" s="113"/>
      <c r="O11" s="83"/>
      <c r="P11" s="114"/>
      <c r="Q11" s="114"/>
      <c r="R11" s="114"/>
      <c r="S11" s="114"/>
      <c r="T11" s="114"/>
      <c r="U11" s="114"/>
      <c r="V11" s="114"/>
      <c r="W11" s="115"/>
      <c r="X11" s="115"/>
      <c r="Y11" s="115"/>
    </row>
    <row r="12" spans="1:25" ht="48.75" thickBot="1" x14ac:dyDescent="0.3">
      <c r="A12" s="336"/>
      <c r="B12" s="339"/>
      <c r="C12" s="112" t="s">
        <v>82</v>
      </c>
      <c r="D12" s="110"/>
      <c r="E12" s="110"/>
      <c r="F12" s="110"/>
      <c r="G12" s="110"/>
      <c r="H12" s="110"/>
      <c r="I12" s="110"/>
      <c r="J12" s="110"/>
      <c r="K12" s="110"/>
      <c r="L12" s="84" t="s">
        <v>83</v>
      </c>
      <c r="M12" s="84"/>
      <c r="N12" s="109"/>
      <c r="O12" s="83"/>
      <c r="P12" s="110"/>
      <c r="Q12" s="110"/>
      <c r="R12" s="83"/>
      <c r="S12" s="110"/>
      <c r="T12" s="110"/>
      <c r="U12" s="110"/>
      <c r="V12" s="110"/>
      <c r="W12" s="110"/>
      <c r="X12" s="110"/>
      <c r="Y12" s="110"/>
    </row>
    <row r="13" spans="1:25" ht="48.75" thickBot="1" x14ac:dyDescent="0.3">
      <c r="A13" s="337"/>
      <c r="B13" s="339"/>
      <c r="C13" s="157" t="s">
        <v>92</v>
      </c>
      <c r="D13" s="158"/>
      <c r="E13" s="158"/>
      <c r="F13" s="158"/>
      <c r="G13" s="158"/>
      <c r="H13" s="158"/>
      <c r="I13" s="158"/>
      <c r="J13" s="158"/>
      <c r="K13" s="158"/>
      <c r="L13" s="122" t="s">
        <v>93</v>
      </c>
      <c r="M13" s="122"/>
      <c r="N13" s="159"/>
      <c r="O13" s="160"/>
      <c r="P13" s="158"/>
      <c r="Q13" s="158"/>
      <c r="R13" s="160"/>
      <c r="S13" s="158"/>
      <c r="T13" s="158"/>
      <c r="U13" s="158"/>
      <c r="V13" s="158"/>
      <c r="W13" s="158"/>
      <c r="X13" s="158"/>
      <c r="Y13" s="158"/>
    </row>
    <row r="14" spans="1:25" ht="24.75" customHeight="1" x14ac:dyDescent="0.25">
      <c r="A14" s="346">
        <v>3</v>
      </c>
      <c r="B14" s="348" t="s">
        <v>131</v>
      </c>
      <c r="C14" s="216" t="s">
        <v>59</v>
      </c>
      <c r="D14" s="217"/>
      <c r="E14" s="217"/>
      <c r="F14" s="217"/>
      <c r="G14" s="217"/>
      <c r="H14" s="217"/>
      <c r="I14" s="217"/>
      <c r="J14" s="217"/>
      <c r="K14" s="217"/>
      <c r="L14" s="217"/>
      <c r="M14" s="217"/>
      <c r="N14" s="217"/>
      <c r="O14" s="217" t="s">
        <v>132</v>
      </c>
      <c r="P14" s="217" t="s">
        <v>133</v>
      </c>
      <c r="Q14" s="217"/>
      <c r="R14" s="217" t="s">
        <v>134</v>
      </c>
      <c r="S14" s="217"/>
      <c r="T14" s="217" t="s">
        <v>135</v>
      </c>
      <c r="U14" s="217"/>
      <c r="V14" s="217"/>
      <c r="W14" s="217"/>
      <c r="X14" s="217"/>
      <c r="Y14" s="217"/>
    </row>
    <row r="15" spans="1:25" ht="44.25" customHeight="1" x14ac:dyDescent="0.25">
      <c r="A15" s="347"/>
      <c r="B15" s="348"/>
      <c r="C15" s="216" t="s">
        <v>185</v>
      </c>
      <c r="D15" s="218" t="s">
        <v>13</v>
      </c>
      <c r="E15" s="218"/>
      <c r="F15" s="218"/>
      <c r="G15" s="218"/>
      <c r="H15" s="218"/>
      <c r="I15" s="218"/>
      <c r="J15" s="218"/>
      <c r="K15" s="218"/>
      <c r="L15" s="219"/>
      <c r="M15" s="219"/>
      <c r="N15" s="219"/>
      <c r="O15" s="217" t="s">
        <v>136</v>
      </c>
      <c r="P15" s="217" t="s">
        <v>103</v>
      </c>
      <c r="Q15" s="217"/>
      <c r="R15" s="217" t="s">
        <v>137</v>
      </c>
      <c r="S15" s="217"/>
      <c r="T15" s="217" t="s">
        <v>138</v>
      </c>
      <c r="U15" s="217"/>
      <c r="V15" s="217"/>
      <c r="W15" s="217"/>
      <c r="X15" s="217"/>
      <c r="Y15" s="217"/>
    </row>
    <row r="16" spans="1:25" ht="72" x14ac:dyDescent="0.25">
      <c r="A16" s="347"/>
      <c r="B16" s="348"/>
      <c r="C16" s="216" t="s">
        <v>183</v>
      </c>
      <c r="D16" s="218"/>
      <c r="E16" s="218"/>
      <c r="F16" s="218"/>
      <c r="G16" s="218"/>
      <c r="H16" s="218"/>
      <c r="I16" s="218"/>
      <c r="J16" s="218"/>
      <c r="K16" s="218"/>
      <c r="L16" s="219"/>
      <c r="M16" s="219"/>
      <c r="N16" s="219"/>
      <c r="O16" s="217" t="s">
        <v>179</v>
      </c>
      <c r="P16" s="217" t="s">
        <v>180</v>
      </c>
      <c r="Q16" s="217"/>
      <c r="R16" s="217" t="s">
        <v>182</v>
      </c>
      <c r="S16" s="217"/>
      <c r="T16" s="217" t="s">
        <v>181</v>
      </c>
      <c r="U16" s="217"/>
      <c r="V16" s="217"/>
      <c r="W16" s="217"/>
      <c r="X16" s="217"/>
      <c r="Y16" s="217"/>
    </row>
    <row r="17" spans="1:25" s="230" customFormat="1" ht="45" customHeight="1" x14ac:dyDescent="0.25">
      <c r="A17" s="347"/>
      <c r="B17" s="348"/>
      <c r="C17" s="225" t="s">
        <v>184</v>
      </c>
      <c r="D17" s="226"/>
      <c r="E17" s="226"/>
      <c r="F17" s="226"/>
      <c r="G17" s="226"/>
      <c r="H17" s="226"/>
      <c r="I17" s="226"/>
      <c r="J17" s="226"/>
      <c r="K17" s="226"/>
      <c r="L17" s="227"/>
      <c r="M17" s="227"/>
      <c r="N17" s="227"/>
      <c r="O17" s="228">
        <v>0.5</v>
      </c>
      <c r="P17" s="228">
        <v>0.5</v>
      </c>
      <c r="Q17" s="229"/>
      <c r="R17" s="228">
        <v>0.5</v>
      </c>
      <c r="S17" s="229"/>
      <c r="T17" s="228">
        <v>0.5</v>
      </c>
      <c r="U17" s="215"/>
      <c r="V17" s="215"/>
      <c r="W17" s="215"/>
      <c r="X17" s="215"/>
      <c r="Y17" s="215"/>
    </row>
    <row r="18" spans="1:25" s="231" customFormat="1" ht="45" x14ac:dyDescent="0.25">
      <c r="A18" s="347"/>
      <c r="B18" s="348"/>
      <c r="C18" s="220" t="s">
        <v>186</v>
      </c>
      <c r="D18" s="221"/>
      <c r="E18" s="221"/>
      <c r="F18" s="221"/>
      <c r="G18" s="221"/>
      <c r="H18" s="221"/>
      <c r="I18" s="221"/>
      <c r="J18" s="221"/>
      <c r="K18" s="221"/>
      <c r="L18" s="222"/>
      <c r="M18" s="222"/>
      <c r="N18" s="222"/>
      <c r="O18" s="223">
        <f>(O22*O17)*365</f>
        <v>301125</v>
      </c>
      <c r="P18" s="223">
        <f>(P22*P17)*365</f>
        <v>328500</v>
      </c>
      <c r="Q18" s="223"/>
      <c r="R18" s="223">
        <f>(R22*R17)*365</f>
        <v>182500</v>
      </c>
      <c r="S18" s="223"/>
      <c r="T18" s="223">
        <f>(T22*T17)*365</f>
        <v>365000</v>
      </c>
      <c r="U18" s="223">
        <f>(U22*50%)*365</f>
        <v>0</v>
      </c>
      <c r="V18" s="223">
        <f>(V22*50%)*365</f>
        <v>0</v>
      </c>
      <c r="W18" s="223">
        <f>(W22*50%)*365</f>
        <v>0</v>
      </c>
      <c r="X18" s="223">
        <f>(X22*50%)*365</f>
        <v>0</v>
      </c>
      <c r="Y18" s="223">
        <f>(Y22*50%)*365</f>
        <v>0</v>
      </c>
    </row>
    <row r="19" spans="1:25" ht="36" x14ac:dyDescent="0.25">
      <c r="A19" s="347"/>
      <c r="B19" s="348"/>
      <c r="C19" s="216" t="s">
        <v>14</v>
      </c>
      <c r="D19" s="218"/>
      <c r="E19" s="218"/>
      <c r="F19" s="218"/>
      <c r="G19" s="218"/>
      <c r="H19" s="218"/>
      <c r="I19" s="218"/>
      <c r="J19" s="218"/>
      <c r="K19" s="218"/>
      <c r="L19" s="219"/>
      <c r="M19" s="219"/>
      <c r="N19" s="219"/>
      <c r="O19" s="217" t="s">
        <v>139</v>
      </c>
      <c r="P19" s="217" t="s">
        <v>105</v>
      </c>
      <c r="Q19" s="217"/>
      <c r="R19" s="217" t="s">
        <v>140</v>
      </c>
      <c r="S19" s="217"/>
      <c r="T19" s="217" t="s">
        <v>141</v>
      </c>
      <c r="U19" s="217"/>
      <c r="V19" s="217"/>
      <c r="W19" s="217"/>
      <c r="X19" s="217"/>
      <c r="Y19" s="217"/>
    </row>
    <row r="20" spans="1:25" ht="30" x14ac:dyDescent="0.25">
      <c r="A20" s="347"/>
      <c r="B20" s="348"/>
      <c r="C20" s="216" t="s">
        <v>6</v>
      </c>
      <c r="D20" s="218"/>
      <c r="E20" s="218"/>
      <c r="F20" s="218"/>
      <c r="G20" s="218"/>
      <c r="H20" s="218"/>
      <c r="I20" s="218"/>
      <c r="J20" s="218"/>
      <c r="K20" s="218"/>
      <c r="L20" s="224"/>
      <c r="M20" s="219"/>
      <c r="N20" s="219"/>
      <c r="O20" s="218" t="s">
        <v>142</v>
      </c>
      <c r="P20" s="217" t="s">
        <v>143</v>
      </c>
      <c r="Q20" s="219"/>
      <c r="R20" s="224"/>
      <c r="S20" s="219"/>
      <c r="T20" s="219"/>
      <c r="U20" s="219"/>
      <c r="V20" s="219"/>
      <c r="W20" s="218"/>
      <c r="X20" s="218"/>
      <c r="Y20" s="218"/>
    </row>
    <row r="21" spans="1:25" ht="72" x14ac:dyDescent="0.25">
      <c r="A21" s="347"/>
      <c r="B21" s="348"/>
      <c r="C21" s="216" t="s">
        <v>144</v>
      </c>
      <c r="D21" s="218"/>
      <c r="E21" s="218"/>
      <c r="F21" s="218"/>
      <c r="G21" s="218"/>
      <c r="H21" s="218"/>
      <c r="I21" s="218"/>
      <c r="J21" s="218"/>
      <c r="K21" s="218"/>
      <c r="L21" s="219"/>
      <c r="M21" s="219"/>
      <c r="N21" s="219"/>
      <c r="O21" s="217" t="s">
        <v>145</v>
      </c>
      <c r="P21" s="217" t="s">
        <v>108</v>
      </c>
      <c r="Q21" s="217"/>
      <c r="R21" s="217" t="s">
        <v>146</v>
      </c>
      <c r="S21" s="217"/>
      <c r="T21" s="217" t="s">
        <v>147</v>
      </c>
      <c r="U21" s="217"/>
      <c r="V21" s="217"/>
      <c r="W21" s="217"/>
      <c r="X21" s="217"/>
      <c r="Y21" s="217"/>
    </row>
    <row r="22" spans="1:25" s="230" customFormat="1" ht="45" hidden="1" x14ac:dyDescent="0.25">
      <c r="A22" s="171"/>
      <c r="B22" s="172"/>
      <c r="C22" s="176" t="s">
        <v>185</v>
      </c>
      <c r="D22" s="173"/>
      <c r="E22" s="173"/>
      <c r="F22" s="173"/>
      <c r="G22" s="173"/>
      <c r="H22" s="173"/>
      <c r="I22" s="173"/>
      <c r="J22" s="173"/>
      <c r="K22" s="173"/>
      <c r="L22" s="174"/>
      <c r="M22" s="174"/>
      <c r="N22" s="174"/>
      <c r="O22" s="175">
        <v>1650</v>
      </c>
      <c r="P22" s="175">
        <v>1800</v>
      </c>
      <c r="Q22" s="175"/>
      <c r="R22" s="175">
        <v>1000</v>
      </c>
      <c r="S22" s="175"/>
      <c r="T22" s="175">
        <v>2000</v>
      </c>
      <c r="U22" s="175"/>
      <c r="V22" s="175"/>
      <c r="W22" s="175"/>
      <c r="X22" s="175"/>
      <c r="Y22" s="175"/>
    </row>
    <row r="23" spans="1:25" s="23" customFormat="1" ht="45" x14ac:dyDescent="0.25">
      <c r="A23" s="351">
        <v>4</v>
      </c>
      <c r="B23" s="352" t="s">
        <v>148</v>
      </c>
      <c r="C23" s="53" t="s">
        <v>15</v>
      </c>
      <c r="D23" s="116" t="s">
        <v>21</v>
      </c>
      <c r="E23" s="117">
        <f>(1/0.6)*E24</f>
        <v>1095</v>
      </c>
      <c r="F23" s="117">
        <f>(1/0.6)*F24</f>
        <v>1533.3333333333335</v>
      </c>
      <c r="G23" s="117">
        <f t="shared" ref="G23:L23" si="1">(1/0.6)*G24</f>
        <v>1095</v>
      </c>
      <c r="H23" s="117">
        <f t="shared" si="1"/>
        <v>1313.3333333333335</v>
      </c>
      <c r="I23" s="117">
        <f t="shared" si="1"/>
        <v>1533.3333333333335</v>
      </c>
      <c r="J23" s="117">
        <f t="shared" si="1"/>
        <v>2408.3333333333335</v>
      </c>
      <c r="K23" s="117">
        <f t="shared" si="1"/>
        <v>5256.666666666667</v>
      </c>
      <c r="L23" s="117">
        <f t="shared" si="1"/>
        <v>5256.666666666667</v>
      </c>
      <c r="M23" s="117">
        <f>(1/0.6)*M24</f>
        <v>5256.666666666667</v>
      </c>
      <c r="N23" s="76">
        <v>5475</v>
      </c>
      <c r="O23" s="76">
        <v>7300</v>
      </c>
      <c r="P23" s="76">
        <f>1095</f>
        <v>1095</v>
      </c>
      <c r="Q23" s="76">
        <f>912.5</f>
        <v>912.5</v>
      </c>
      <c r="R23" s="76">
        <f>912.5</f>
        <v>912.5</v>
      </c>
      <c r="S23" s="76">
        <f t="shared" ref="S23:Y23" si="2">547.5</f>
        <v>547.5</v>
      </c>
      <c r="T23" s="76">
        <f t="shared" si="2"/>
        <v>547.5</v>
      </c>
      <c r="U23" s="118">
        <f t="shared" si="2"/>
        <v>547.5</v>
      </c>
      <c r="V23" s="118">
        <f t="shared" si="2"/>
        <v>547.5</v>
      </c>
      <c r="W23" s="118">
        <f t="shared" si="2"/>
        <v>547.5</v>
      </c>
      <c r="X23" s="118">
        <f t="shared" si="2"/>
        <v>547.5</v>
      </c>
      <c r="Y23" s="118">
        <f t="shared" si="2"/>
        <v>547.5</v>
      </c>
    </row>
    <row r="24" spans="1:25" s="23" customFormat="1" ht="30" x14ac:dyDescent="0.25">
      <c r="A24" s="351"/>
      <c r="B24" s="352"/>
      <c r="C24" s="53" t="s">
        <v>196</v>
      </c>
      <c r="D24" s="65"/>
      <c r="E24" s="56">
        <v>657</v>
      </c>
      <c r="F24" s="56">
        <v>920</v>
      </c>
      <c r="G24" s="56">
        <v>657</v>
      </c>
      <c r="H24" s="56">
        <v>788</v>
      </c>
      <c r="I24" s="56">
        <v>920</v>
      </c>
      <c r="J24" s="57">
        <v>1445</v>
      </c>
      <c r="K24" s="57">
        <v>3154</v>
      </c>
      <c r="L24" s="57">
        <v>3154</v>
      </c>
      <c r="M24" s="57">
        <v>3154</v>
      </c>
      <c r="N24" s="55">
        <v>3318</v>
      </c>
      <c r="O24" s="55">
        <v>4424</v>
      </c>
      <c r="P24" s="58">
        <v>664</v>
      </c>
      <c r="Q24" s="58">
        <v>553</v>
      </c>
      <c r="R24" s="58">
        <v>553</v>
      </c>
      <c r="S24" s="58">
        <v>332</v>
      </c>
      <c r="T24" s="58">
        <v>332</v>
      </c>
      <c r="U24" s="58">
        <v>332</v>
      </c>
      <c r="V24" s="58">
        <v>332</v>
      </c>
      <c r="W24" s="58">
        <v>332</v>
      </c>
      <c r="X24" s="58">
        <v>332</v>
      </c>
      <c r="Y24" s="58">
        <v>332</v>
      </c>
    </row>
    <row r="25" spans="1:25" s="23" customFormat="1" ht="60" x14ac:dyDescent="0.25">
      <c r="A25" s="351"/>
      <c r="B25" s="352"/>
      <c r="C25" s="53" t="s">
        <v>197</v>
      </c>
      <c r="D25" s="65"/>
      <c r="E25" s="54">
        <f>0.0546*E23</f>
        <v>59.787000000000006</v>
      </c>
      <c r="F25" s="54">
        <f>0.0546*F23</f>
        <v>83.720000000000013</v>
      </c>
      <c r="G25" s="54">
        <f t="shared" ref="G25:L25" si="3">0.0546*G23</f>
        <v>59.787000000000006</v>
      </c>
      <c r="H25" s="54">
        <f t="shared" si="3"/>
        <v>71.708000000000013</v>
      </c>
      <c r="I25" s="54">
        <f t="shared" si="3"/>
        <v>83.720000000000013</v>
      </c>
      <c r="J25" s="54">
        <f t="shared" si="3"/>
        <v>131.495</v>
      </c>
      <c r="K25" s="54">
        <f t="shared" si="3"/>
        <v>287.01400000000001</v>
      </c>
      <c r="L25" s="54">
        <f t="shared" si="3"/>
        <v>287.01400000000001</v>
      </c>
      <c r="M25" s="54">
        <f>0.0546*M23</f>
        <v>287.01400000000001</v>
      </c>
      <c r="N25" s="58">
        <v>299</v>
      </c>
      <c r="O25" s="58">
        <v>398</v>
      </c>
      <c r="P25" s="59">
        <f t="shared" ref="P25:Y25" si="4">P23*0.055</f>
        <v>60.225000000000001</v>
      </c>
      <c r="Q25" s="59">
        <f t="shared" si="4"/>
        <v>50.1875</v>
      </c>
      <c r="R25" s="59">
        <f t="shared" si="4"/>
        <v>50.1875</v>
      </c>
      <c r="S25" s="59">
        <f t="shared" si="4"/>
        <v>30.112500000000001</v>
      </c>
      <c r="T25" s="59">
        <f t="shared" si="4"/>
        <v>30.112500000000001</v>
      </c>
      <c r="U25" s="59">
        <f t="shared" si="4"/>
        <v>30.112500000000001</v>
      </c>
      <c r="V25" s="59">
        <f t="shared" si="4"/>
        <v>30.112500000000001</v>
      </c>
      <c r="W25" s="59">
        <f t="shared" si="4"/>
        <v>30.112500000000001</v>
      </c>
      <c r="X25" s="59">
        <f t="shared" si="4"/>
        <v>30.112500000000001</v>
      </c>
      <c r="Y25" s="59">
        <f t="shared" si="4"/>
        <v>30.112500000000001</v>
      </c>
    </row>
    <row r="26" spans="1:25" s="23" customFormat="1" x14ac:dyDescent="0.25">
      <c r="A26" s="351"/>
      <c r="B26" s="352"/>
      <c r="C26" s="53" t="s">
        <v>17</v>
      </c>
      <c r="D26" s="65"/>
      <c r="E26" s="56">
        <v>5</v>
      </c>
      <c r="F26" s="56">
        <v>7</v>
      </c>
      <c r="G26" s="56">
        <v>5</v>
      </c>
      <c r="H26" s="56">
        <v>6</v>
      </c>
      <c r="I26" s="56">
        <v>7</v>
      </c>
      <c r="J26" s="56">
        <v>11</v>
      </c>
      <c r="K26" s="56">
        <v>24</v>
      </c>
      <c r="L26" s="56">
        <v>24</v>
      </c>
      <c r="M26" s="56">
        <v>24</v>
      </c>
      <c r="N26" s="58">
        <v>30</v>
      </c>
      <c r="O26" s="58">
        <v>40</v>
      </c>
      <c r="P26" s="76">
        <v>6</v>
      </c>
      <c r="Q26" s="76">
        <v>5</v>
      </c>
      <c r="R26" s="76">
        <v>5</v>
      </c>
      <c r="S26" s="76">
        <v>3</v>
      </c>
      <c r="T26" s="76">
        <v>3</v>
      </c>
      <c r="U26" s="76">
        <v>3</v>
      </c>
      <c r="V26" s="76">
        <v>3</v>
      </c>
      <c r="W26" s="76">
        <v>3</v>
      </c>
      <c r="X26" s="76">
        <v>3</v>
      </c>
      <c r="Y26" s="76">
        <v>3</v>
      </c>
    </row>
    <row r="27" spans="1:25" s="23" customFormat="1" ht="30" x14ac:dyDescent="0.25">
      <c r="A27" s="351"/>
      <c r="B27" s="352"/>
      <c r="C27" s="53" t="s">
        <v>18</v>
      </c>
      <c r="D27" s="65"/>
      <c r="E27" s="58">
        <v>2.5</v>
      </c>
      <c r="F27" s="58">
        <v>2.5</v>
      </c>
      <c r="G27" s="58">
        <v>2.5</v>
      </c>
      <c r="H27" s="58">
        <v>2.5</v>
      </c>
      <c r="I27" s="58">
        <v>2.5</v>
      </c>
      <c r="J27" s="58">
        <v>2.5</v>
      </c>
      <c r="K27" s="58">
        <v>2.5</v>
      </c>
      <c r="L27" s="58">
        <v>2.5</v>
      </c>
      <c r="M27" s="58">
        <v>2.5</v>
      </c>
      <c r="N27" s="58">
        <v>2.5</v>
      </c>
      <c r="O27" s="58">
        <v>2.5</v>
      </c>
      <c r="P27" s="58">
        <v>2.5</v>
      </c>
      <c r="Q27" s="58">
        <v>2.5</v>
      </c>
      <c r="R27" s="58">
        <v>2.5</v>
      </c>
      <c r="S27" s="58">
        <v>2.5</v>
      </c>
      <c r="T27" s="58">
        <v>2.5</v>
      </c>
      <c r="U27" s="58">
        <v>2.5</v>
      </c>
      <c r="V27" s="58">
        <v>2.5</v>
      </c>
      <c r="W27" s="58">
        <v>2.5</v>
      </c>
      <c r="X27" s="58">
        <v>2.5</v>
      </c>
      <c r="Y27" s="58">
        <v>2.5</v>
      </c>
    </row>
    <row r="28" spans="1:25" s="23" customFormat="1" ht="30" x14ac:dyDescent="0.25">
      <c r="A28" s="351"/>
      <c r="B28" s="352"/>
      <c r="C28" s="53" t="s">
        <v>6</v>
      </c>
      <c r="D28" s="65"/>
      <c r="E28" s="60"/>
      <c r="F28" s="60"/>
      <c r="G28" s="60"/>
      <c r="H28" s="60"/>
      <c r="I28" s="60"/>
      <c r="J28" s="60"/>
      <c r="K28" s="60"/>
      <c r="L28" s="60"/>
      <c r="M28" s="60"/>
      <c r="N28" s="55"/>
      <c r="O28" s="58"/>
      <c r="P28" s="55"/>
      <c r="Q28" s="55"/>
      <c r="R28" s="55"/>
      <c r="S28" s="55"/>
      <c r="T28" s="55"/>
      <c r="U28" s="55"/>
      <c r="V28" s="55"/>
      <c r="W28" s="55"/>
      <c r="X28" s="55"/>
      <c r="Y28" s="55"/>
    </row>
    <row r="29" spans="1:25" s="23" customFormat="1" ht="45" hidden="1" x14ac:dyDescent="0.25">
      <c r="A29" s="351"/>
      <c r="B29" s="352"/>
      <c r="C29" s="53" t="s">
        <v>149</v>
      </c>
      <c r="D29" s="65"/>
      <c r="E29" s="54" t="s">
        <v>30</v>
      </c>
      <c r="F29" s="54" t="s">
        <v>30</v>
      </c>
      <c r="G29" s="54" t="s">
        <v>30</v>
      </c>
      <c r="H29" s="54" t="s">
        <v>30</v>
      </c>
      <c r="I29" s="54" t="s">
        <v>30</v>
      </c>
      <c r="J29" s="54" t="s">
        <v>30</v>
      </c>
      <c r="K29" s="54" t="s">
        <v>30</v>
      </c>
      <c r="L29" s="54" t="s">
        <v>30</v>
      </c>
      <c r="M29" s="54" t="s">
        <v>30</v>
      </c>
      <c r="N29" s="59"/>
      <c r="O29" s="61">
        <v>107.6513474898378</v>
      </c>
      <c r="P29" s="61">
        <v>238.09422434824342</v>
      </c>
      <c r="Q29" s="119">
        <v>231.47698002370683</v>
      </c>
      <c r="R29" s="119">
        <v>222.48336058898906</v>
      </c>
      <c r="S29" s="119">
        <v>214.93941988033927</v>
      </c>
      <c r="T29" s="119">
        <v>201.4148114212384</v>
      </c>
      <c r="U29" s="119">
        <v>189.77647973105974</v>
      </c>
      <c r="V29" s="119">
        <v>179.74495404218445</v>
      </c>
      <c r="W29" s="119">
        <v>171.08341216899066</v>
      </c>
      <c r="X29" s="119">
        <v>163.59108351555241</v>
      </c>
      <c r="Y29" s="119">
        <v>157.09767866034844</v>
      </c>
    </row>
    <row r="30" spans="1:25" s="26" customFormat="1" ht="45" hidden="1" x14ac:dyDescent="0.25">
      <c r="A30" s="351"/>
      <c r="B30" s="352"/>
      <c r="C30" s="62" t="s">
        <v>20</v>
      </c>
      <c r="D30" s="66"/>
      <c r="E30" s="63"/>
      <c r="F30" s="63"/>
      <c r="G30" s="63"/>
      <c r="H30" s="63"/>
      <c r="I30" s="63"/>
      <c r="J30" s="63"/>
      <c r="K30" s="63"/>
      <c r="L30" s="63"/>
      <c r="M30" s="63"/>
      <c r="N30" s="64"/>
      <c r="O30" s="64"/>
      <c r="P30" s="64"/>
      <c r="Q30" s="64"/>
      <c r="R30" s="64"/>
      <c r="S30" s="64"/>
      <c r="T30" s="64"/>
      <c r="U30" s="64"/>
      <c r="V30" s="64"/>
      <c r="W30" s="64"/>
      <c r="X30" s="64"/>
      <c r="Y30" s="64"/>
    </row>
    <row r="31" spans="1:25" x14ac:dyDescent="0.25">
      <c r="N31">
        <f>N25/N23</f>
        <v>5.461187214611872E-2</v>
      </c>
    </row>
    <row r="33" spans="2:43" x14ac:dyDescent="0.25">
      <c r="F33" t="s">
        <v>150</v>
      </c>
    </row>
    <row r="34" spans="2:43" x14ac:dyDescent="0.25">
      <c r="B34" s="102"/>
      <c r="C34" s="121" t="s">
        <v>117</v>
      </c>
      <c r="D34" s="102" t="s">
        <v>118</v>
      </c>
      <c r="E34" s="102"/>
      <c r="F34" s="102"/>
      <c r="G34" s="102"/>
      <c r="H34" s="102"/>
      <c r="I34" s="102"/>
      <c r="J34" s="102"/>
      <c r="K34" s="102"/>
      <c r="L34" s="102"/>
    </row>
    <row r="35" spans="2:43" x14ac:dyDescent="0.25">
      <c r="B35" s="102" t="s">
        <v>119</v>
      </c>
      <c r="C35" s="121">
        <v>1800</v>
      </c>
      <c r="D35" s="103">
        <f>(C35*1000)/0.8</f>
        <v>2250000</v>
      </c>
      <c r="E35" s="103"/>
      <c r="F35" s="103"/>
      <c r="G35" s="103"/>
      <c r="H35" s="103"/>
      <c r="I35" s="103"/>
      <c r="J35" s="103"/>
      <c r="K35" s="103"/>
      <c r="L35" s="102">
        <v>2250000</v>
      </c>
    </row>
    <row r="36" spans="2:43" x14ac:dyDescent="0.25">
      <c r="B36" s="102" t="s">
        <v>120</v>
      </c>
      <c r="C36" s="121">
        <v>1650</v>
      </c>
      <c r="D36" s="103">
        <f t="shared" ref="D36:D38" si="5">(C36*1000)/0.8</f>
        <v>2062500</v>
      </c>
      <c r="E36" s="103"/>
      <c r="F36" s="103"/>
      <c r="G36" s="103"/>
      <c r="H36" s="103"/>
      <c r="I36" s="103"/>
      <c r="J36" s="103"/>
      <c r="K36" s="103"/>
      <c r="L36" s="102">
        <v>2062500</v>
      </c>
    </row>
    <row r="37" spans="2:43" x14ac:dyDescent="0.25">
      <c r="B37" s="102" t="s">
        <v>121</v>
      </c>
      <c r="C37" s="121">
        <v>1000</v>
      </c>
      <c r="D37" s="103">
        <f t="shared" si="5"/>
        <v>1250000</v>
      </c>
      <c r="E37" s="103"/>
      <c r="F37" s="103"/>
      <c r="G37" s="103"/>
      <c r="H37" s="103"/>
      <c r="I37" s="103"/>
      <c r="J37" s="103"/>
      <c r="K37" s="103"/>
      <c r="L37" s="102">
        <v>1250000</v>
      </c>
    </row>
    <row r="38" spans="2:43" x14ac:dyDescent="0.25">
      <c r="B38" s="102" t="s">
        <v>122</v>
      </c>
      <c r="C38" s="121">
        <v>2000</v>
      </c>
      <c r="D38" s="103">
        <f t="shared" si="5"/>
        <v>2500000</v>
      </c>
      <c r="E38" s="103"/>
      <c r="F38" s="103"/>
      <c r="G38" s="103"/>
      <c r="H38" s="103"/>
      <c r="I38" s="103"/>
      <c r="J38" s="103"/>
      <c r="K38" s="103"/>
      <c r="L38" s="102">
        <v>2500000</v>
      </c>
    </row>
    <row r="40" spans="2:43" x14ac:dyDescent="0.25">
      <c r="B40" t="s">
        <v>123</v>
      </c>
      <c r="C40" s="120" t="s">
        <v>124</v>
      </c>
    </row>
    <row r="44" spans="2:43" ht="21.75" thickBot="1" x14ac:dyDescent="0.3">
      <c r="AF44" s="361" t="s">
        <v>50</v>
      </c>
      <c r="AG44" s="362"/>
      <c r="AH44" s="363" t="s">
        <v>54</v>
      </c>
      <c r="AI44" s="363"/>
      <c r="AJ44" s="363"/>
      <c r="AK44" s="364"/>
      <c r="AL44" s="365" t="s">
        <v>58</v>
      </c>
      <c r="AM44" s="365"/>
      <c r="AN44" s="365"/>
      <c r="AO44" s="365"/>
      <c r="AP44" s="365"/>
      <c r="AQ44" s="366"/>
    </row>
    <row r="45" spans="2:43" ht="24.75" thickBot="1" x14ac:dyDescent="0.3">
      <c r="AF45" s="349" t="s">
        <v>51</v>
      </c>
      <c r="AG45" s="350"/>
      <c r="AH45" s="232" t="s">
        <v>55</v>
      </c>
      <c r="AI45" s="232" t="s">
        <v>6</v>
      </c>
      <c r="AJ45" s="232" t="s">
        <v>56</v>
      </c>
      <c r="AK45" s="232" t="s">
        <v>57</v>
      </c>
      <c r="AL45" s="233" t="s">
        <v>59</v>
      </c>
      <c r="AM45" s="234" t="s">
        <v>69</v>
      </c>
      <c r="AN45" s="234" t="s">
        <v>75</v>
      </c>
      <c r="AO45" s="235" t="s">
        <v>6</v>
      </c>
      <c r="AP45" s="235" t="s">
        <v>82</v>
      </c>
      <c r="AQ45" s="236" t="s">
        <v>92</v>
      </c>
    </row>
    <row r="46" spans="2:43" ht="15.75" thickBot="1" x14ac:dyDescent="0.3">
      <c r="AF46" s="349" t="s">
        <v>52</v>
      </c>
      <c r="AG46" s="350"/>
      <c r="AH46" s="353"/>
      <c r="AI46" s="354"/>
      <c r="AJ46" s="354"/>
      <c r="AK46" s="355"/>
      <c r="AL46" s="237"/>
      <c r="AM46" s="237"/>
      <c r="AN46" s="237"/>
      <c r="AO46" s="238"/>
      <c r="AP46" s="238"/>
      <c r="AQ46" s="238"/>
    </row>
    <row r="47" spans="2:43" ht="15.75" thickBot="1" x14ac:dyDescent="0.3">
      <c r="AF47" s="239"/>
      <c r="AG47" s="240">
        <f>AG48-1</f>
        <v>2010</v>
      </c>
      <c r="AH47" s="241"/>
      <c r="AI47" s="241"/>
      <c r="AJ47" s="241"/>
      <c r="AK47" s="242"/>
      <c r="AL47" s="237"/>
      <c r="AM47" s="237"/>
      <c r="AN47" s="237"/>
      <c r="AO47" s="238"/>
      <c r="AP47" s="238"/>
      <c r="AQ47" s="238"/>
    </row>
    <row r="48" spans="2:43" ht="15.75" thickBot="1" x14ac:dyDescent="0.3">
      <c r="AF48" s="239"/>
      <c r="AG48" s="240">
        <f t="shared" ref="AG48:AG52" si="6">AG49-1</f>
        <v>2011</v>
      </c>
      <c r="AH48" s="241"/>
      <c r="AI48" s="241"/>
      <c r="AJ48" s="241"/>
      <c r="AK48" s="242"/>
      <c r="AL48" s="237"/>
      <c r="AM48" s="237"/>
      <c r="AN48" s="237"/>
      <c r="AO48" s="238"/>
      <c r="AP48" s="238"/>
      <c r="AQ48" s="238"/>
    </row>
    <row r="49" spans="32:43" ht="15.75" thickBot="1" x14ac:dyDescent="0.3">
      <c r="AF49" s="239"/>
      <c r="AG49" s="240">
        <f t="shared" si="6"/>
        <v>2012</v>
      </c>
      <c r="AH49" s="241"/>
      <c r="AI49" s="241"/>
      <c r="AJ49" s="241"/>
      <c r="AK49" s="242"/>
      <c r="AL49" s="237"/>
      <c r="AM49" s="237"/>
      <c r="AN49" s="237"/>
      <c r="AO49" s="238"/>
      <c r="AP49" s="238"/>
      <c r="AQ49" s="238"/>
    </row>
    <row r="50" spans="32:43" ht="15.75" thickBot="1" x14ac:dyDescent="0.3">
      <c r="AF50" s="239"/>
      <c r="AG50" s="240">
        <f t="shared" si="6"/>
        <v>2013</v>
      </c>
      <c r="AH50" s="241"/>
      <c r="AI50" s="241"/>
      <c r="AJ50" s="241"/>
      <c r="AK50" s="242"/>
      <c r="AL50" s="237"/>
      <c r="AM50" s="237"/>
      <c r="AN50" s="237"/>
      <c r="AO50" s="238"/>
      <c r="AP50" s="238"/>
      <c r="AQ50" s="238"/>
    </row>
    <row r="51" spans="32:43" ht="15.75" thickBot="1" x14ac:dyDescent="0.3">
      <c r="AF51" s="239"/>
      <c r="AG51" s="240">
        <f t="shared" si="6"/>
        <v>2014</v>
      </c>
      <c r="AH51" s="241"/>
      <c r="AI51" s="241"/>
      <c r="AJ51" s="241"/>
      <c r="AK51" s="242"/>
      <c r="AL51" s="237"/>
      <c r="AM51" s="237"/>
      <c r="AN51" s="237"/>
      <c r="AO51" s="238"/>
      <c r="AP51" s="238"/>
      <c r="AQ51" s="238"/>
    </row>
    <row r="52" spans="32:43" ht="15.75" thickBot="1" x14ac:dyDescent="0.3">
      <c r="AF52" s="239"/>
      <c r="AG52" s="240">
        <f t="shared" si="6"/>
        <v>2015</v>
      </c>
      <c r="AH52" s="241"/>
      <c r="AI52" s="241"/>
      <c r="AJ52" s="241"/>
      <c r="AK52" s="242"/>
      <c r="AL52" s="237"/>
      <c r="AM52" s="237"/>
      <c r="AN52" s="237"/>
      <c r="AO52" s="238"/>
      <c r="AP52" s="238"/>
      <c r="AQ52" s="238"/>
    </row>
    <row r="53" spans="32:43" ht="15.75" thickBot="1" x14ac:dyDescent="0.3">
      <c r="AF53" s="239"/>
      <c r="AG53" s="240">
        <f>AG54-1</f>
        <v>2016</v>
      </c>
      <c r="AH53" s="241"/>
      <c r="AI53" s="241"/>
      <c r="AJ53" s="241"/>
      <c r="AK53" s="242"/>
      <c r="AL53" s="237"/>
      <c r="AM53" s="237"/>
      <c r="AN53" s="237"/>
      <c r="AO53" s="238"/>
      <c r="AP53" s="238"/>
      <c r="AQ53" s="238"/>
    </row>
    <row r="54" spans="32:43" ht="48.75" thickBot="1" x14ac:dyDescent="0.3">
      <c r="AF54" s="356"/>
      <c r="AG54" s="240">
        <v>2017</v>
      </c>
      <c r="AH54" s="243"/>
      <c r="AI54" s="243"/>
      <c r="AJ54" s="243"/>
      <c r="AK54" s="244"/>
      <c r="AL54" s="238" t="s">
        <v>60</v>
      </c>
      <c r="AM54" s="238" t="s">
        <v>70</v>
      </c>
      <c r="AN54" s="238" t="s">
        <v>76</v>
      </c>
      <c r="AO54" s="238" t="s">
        <v>81</v>
      </c>
      <c r="AP54" s="238" t="s">
        <v>83</v>
      </c>
      <c r="AQ54" s="238" t="s">
        <v>93</v>
      </c>
    </row>
    <row r="55" spans="32:43" ht="15.75" thickBot="1" x14ac:dyDescent="0.3">
      <c r="AF55" s="356"/>
      <c r="AG55" s="240">
        <v>2018</v>
      </c>
      <c r="AH55" s="243"/>
      <c r="AI55" s="243"/>
      <c r="AJ55" s="243"/>
      <c r="AK55" s="244"/>
      <c r="AL55" s="238"/>
      <c r="AM55" s="238"/>
      <c r="AN55" s="238"/>
      <c r="AO55" s="245"/>
      <c r="AP55" s="238"/>
      <c r="AQ55" s="238"/>
    </row>
    <row r="56" spans="32:43" ht="15.75" thickBot="1" x14ac:dyDescent="0.3">
      <c r="AF56" s="356"/>
      <c r="AG56" s="240">
        <v>2019</v>
      </c>
      <c r="AH56" s="243"/>
      <c r="AI56" s="243"/>
      <c r="AJ56" s="243"/>
      <c r="AK56" s="244"/>
      <c r="AL56" s="238"/>
      <c r="AM56" s="238"/>
      <c r="AN56" s="238"/>
      <c r="AO56" s="245"/>
      <c r="AP56" s="238"/>
      <c r="AQ56" s="238"/>
    </row>
    <row r="57" spans="32:43" ht="15.75" thickBot="1" x14ac:dyDescent="0.3">
      <c r="AF57" s="356"/>
      <c r="AG57" s="240">
        <v>2020</v>
      </c>
      <c r="AH57" s="243"/>
      <c r="AI57" s="243"/>
      <c r="AJ57" s="243"/>
      <c r="AK57" s="244"/>
      <c r="AL57" s="238"/>
      <c r="AM57" s="238"/>
      <c r="AN57" s="238"/>
      <c r="AO57" s="245"/>
      <c r="AP57" s="238"/>
      <c r="AQ57" s="238"/>
    </row>
    <row r="58" spans="32:43" ht="15.75" thickBot="1" x14ac:dyDescent="0.3">
      <c r="AF58" s="356"/>
      <c r="AG58" s="240">
        <v>2021</v>
      </c>
      <c r="AH58" s="243"/>
      <c r="AI58" s="243"/>
      <c r="AJ58" s="243"/>
      <c r="AK58" s="244"/>
      <c r="AL58" s="238"/>
      <c r="AM58" s="238"/>
      <c r="AN58" s="238"/>
      <c r="AO58" s="245"/>
      <c r="AP58" s="238"/>
      <c r="AQ58" s="238"/>
    </row>
    <row r="59" spans="32:43" ht="15.75" thickBot="1" x14ac:dyDescent="0.3">
      <c r="AF59" s="356"/>
      <c r="AG59" s="240">
        <v>2022</v>
      </c>
      <c r="AH59" s="243"/>
      <c r="AI59" s="243"/>
      <c r="AJ59" s="243"/>
      <c r="AK59" s="244"/>
      <c r="AL59" s="238"/>
      <c r="AM59" s="238"/>
      <c r="AN59" s="238"/>
      <c r="AO59" s="245"/>
      <c r="AP59" s="238"/>
      <c r="AQ59" s="238"/>
    </row>
    <row r="60" spans="32:43" ht="15.75" thickBot="1" x14ac:dyDescent="0.3">
      <c r="AF60" s="356"/>
      <c r="AG60" s="240">
        <v>2023</v>
      </c>
      <c r="AH60" s="243"/>
      <c r="AI60" s="243"/>
      <c r="AJ60" s="243"/>
      <c r="AK60" s="244"/>
      <c r="AL60" s="238"/>
      <c r="AM60" s="238"/>
      <c r="AN60" s="238"/>
      <c r="AO60" s="245"/>
      <c r="AP60" s="238"/>
      <c r="AQ60" s="238"/>
    </row>
    <row r="61" spans="32:43" ht="15.75" thickBot="1" x14ac:dyDescent="0.3">
      <c r="AF61" s="356"/>
      <c r="AG61" s="240">
        <v>2024</v>
      </c>
      <c r="AH61" s="243"/>
      <c r="AI61" s="243"/>
      <c r="AJ61" s="243"/>
      <c r="AK61" s="244"/>
      <c r="AL61" s="238"/>
      <c r="AM61" s="238"/>
      <c r="AN61" s="238"/>
      <c r="AO61" s="245"/>
      <c r="AP61" s="238"/>
      <c r="AQ61" s="238"/>
    </row>
    <row r="62" spans="32:43" ht="15.75" thickBot="1" x14ac:dyDescent="0.3">
      <c r="AF62" s="356"/>
      <c r="AG62" s="240">
        <v>2025</v>
      </c>
      <c r="AH62" s="243"/>
      <c r="AI62" s="243"/>
      <c r="AJ62" s="243"/>
      <c r="AK62" s="244"/>
      <c r="AL62" s="238"/>
      <c r="AM62" s="238"/>
      <c r="AN62" s="238"/>
      <c r="AO62" s="245"/>
      <c r="AP62" s="238"/>
      <c r="AQ62" s="238"/>
    </row>
    <row r="63" spans="32:43" ht="15.75" thickBot="1" x14ac:dyDescent="0.3">
      <c r="AF63" s="356"/>
      <c r="AG63" s="240">
        <v>2026</v>
      </c>
      <c r="AH63" s="243"/>
      <c r="AI63" s="243"/>
      <c r="AJ63" s="243"/>
      <c r="AK63" s="244"/>
      <c r="AL63" s="238"/>
      <c r="AM63" s="238"/>
      <c r="AN63" s="238"/>
      <c r="AO63" s="245"/>
      <c r="AP63" s="238"/>
      <c r="AQ63" s="238"/>
    </row>
    <row r="64" spans="32:43" ht="15.75" thickBot="1" x14ac:dyDescent="0.3">
      <c r="AF64" s="356"/>
      <c r="AG64" s="240">
        <v>2027</v>
      </c>
      <c r="AH64" s="243"/>
      <c r="AI64" s="246"/>
      <c r="AJ64" s="243"/>
      <c r="AK64" s="244"/>
      <c r="AL64" s="238"/>
      <c r="AM64" s="238"/>
      <c r="AN64" s="238"/>
      <c r="AO64" s="245"/>
      <c r="AP64" s="238"/>
      <c r="AQ64" s="238"/>
    </row>
    <row r="65" spans="32:43" ht="15.75" thickBot="1" x14ac:dyDescent="0.3">
      <c r="AF65" s="356"/>
      <c r="AG65" s="240">
        <v>2028</v>
      </c>
      <c r="AH65" s="243"/>
      <c r="AI65" s="243"/>
      <c r="AJ65" s="243"/>
      <c r="AK65" s="244"/>
      <c r="AL65" s="238"/>
      <c r="AM65" s="238"/>
      <c r="AN65" s="238"/>
      <c r="AO65" s="247"/>
      <c r="AP65" s="238"/>
      <c r="AQ65" s="238"/>
    </row>
    <row r="66" spans="32:43" ht="15.75" thickBot="1" x14ac:dyDescent="0.3">
      <c r="AF66" s="356"/>
      <c r="AG66" s="240">
        <v>2029</v>
      </c>
      <c r="AH66" s="243"/>
      <c r="AI66" s="243"/>
      <c r="AJ66" s="243"/>
      <c r="AK66" s="244"/>
      <c r="AL66" s="238"/>
      <c r="AM66" s="238"/>
      <c r="AN66" s="238"/>
      <c r="AO66" s="247"/>
      <c r="AP66" s="238"/>
      <c r="AQ66" s="238"/>
    </row>
    <row r="67" spans="32:43" x14ac:dyDescent="0.25">
      <c r="AF67" s="357"/>
      <c r="AG67" s="248">
        <v>2030</v>
      </c>
      <c r="AH67" s="249"/>
      <c r="AI67" s="249"/>
      <c r="AJ67" s="249"/>
      <c r="AK67" s="250"/>
      <c r="AL67" s="238"/>
      <c r="AM67" s="238"/>
      <c r="AN67" s="238"/>
      <c r="AO67" s="247"/>
      <c r="AP67" s="238"/>
      <c r="AQ67" s="238"/>
    </row>
    <row r="71" spans="32:43" x14ac:dyDescent="0.25">
      <c r="AF71" s="105" t="s">
        <v>164</v>
      </c>
    </row>
    <row r="72" spans="32:43" ht="21" x14ac:dyDescent="0.25">
      <c r="AF72" s="345" t="s">
        <v>50</v>
      </c>
      <c r="AG72" s="345"/>
      <c r="AH72" s="358" t="s">
        <v>11</v>
      </c>
      <c r="AI72" s="359"/>
      <c r="AJ72" s="359"/>
      <c r="AK72" s="359"/>
      <c r="AL72" s="359"/>
      <c r="AM72" s="360"/>
    </row>
    <row r="73" spans="32:43" ht="36" x14ac:dyDescent="0.25">
      <c r="AF73" s="345" t="s">
        <v>51</v>
      </c>
      <c r="AG73" s="345"/>
      <c r="AH73" s="238" t="s">
        <v>107</v>
      </c>
      <c r="AI73" s="238" t="s">
        <v>12</v>
      </c>
      <c r="AJ73" s="238" t="s">
        <v>14</v>
      </c>
      <c r="AK73" s="238" t="s">
        <v>6</v>
      </c>
      <c r="AL73" s="238" t="s">
        <v>110</v>
      </c>
      <c r="AM73" s="251" t="s">
        <v>59</v>
      </c>
    </row>
    <row r="74" spans="32:43" x14ac:dyDescent="0.25">
      <c r="AF74" s="252"/>
      <c r="AG74" s="252">
        <f t="shared" ref="AG74:AG79" si="7">AG75-1</f>
        <v>2010</v>
      </c>
      <c r="AH74" s="247"/>
      <c r="AI74" s="247"/>
      <c r="AJ74" s="247"/>
      <c r="AK74" s="247"/>
      <c r="AL74" s="247"/>
      <c r="AM74" s="251"/>
    </row>
    <row r="75" spans="32:43" x14ac:dyDescent="0.25">
      <c r="AF75" s="252"/>
      <c r="AG75" s="252">
        <f t="shared" si="7"/>
        <v>2011</v>
      </c>
      <c r="AH75" s="247"/>
      <c r="AI75" s="247"/>
      <c r="AJ75" s="247"/>
      <c r="AK75" s="247"/>
      <c r="AL75" s="247"/>
      <c r="AM75" s="251"/>
    </row>
    <row r="76" spans="32:43" x14ac:dyDescent="0.25">
      <c r="AF76" s="252"/>
      <c r="AG76" s="252">
        <f t="shared" si="7"/>
        <v>2012</v>
      </c>
      <c r="AH76" s="247"/>
      <c r="AI76" s="247"/>
      <c r="AJ76" s="247"/>
      <c r="AK76" s="247"/>
      <c r="AL76" s="247"/>
      <c r="AM76" s="251"/>
    </row>
    <row r="77" spans="32:43" x14ac:dyDescent="0.25">
      <c r="AF77" s="252"/>
      <c r="AG77" s="252">
        <f t="shared" si="7"/>
        <v>2013</v>
      </c>
      <c r="AH77" s="247"/>
      <c r="AI77" s="247"/>
      <c r="AJ77" s="247"/>
      <c r="AK77" s="247"/>
      <c r="AL77" s="247"/>
      <c r="AM77" s="251"/>
    </row>
    <row r="78" spans="32:43" x14ac:dyDescent="0.25">
      <c r="AF78" s="252"/>
      <c r="AG78" s="252">
        <f t="shared" si="7"/>
        <v>2014</v>
      </c>
      <c r="AH78" s="247"/>
      <c r="AI78" s="247"/>
      <c r="AJ78" s="247"/>
      <c r="AK78" s="247"/>
      <c r="AL78" s="247"/>
      <c r="AM78" s="251"/>
    </row>
    <row r="79" spans="32:43" x14ac:dyDescent="0.25">
      <c r="AF79" s="252"/>
      <c r="AG79" s="252">
        <f t="shared" si="7"/>
        <v>2015</v>
      </c>
      <c r="AH79" s="247"/>
      <c r="AI79" s="247"/>
      <c r="AJ79" s="247"/>
      <c r="AK79" s="247"/>
      <c r="AL79" s="247"/>
      <c r="AM79" s="251"/>
    </row>
    <row r="80" spans="32:43" x14ac:dyDescent="0.25">
      <c r="AF80" s="252"/>
      <c r="AG80" s="252">
        <f>AG81-1</f>
        <v>2016</v>
      </c>
      <c r="AH80" s="247"/>
      <c r="AI80" s="247"/>
      <c r="AJ80" s="247"/>
      <c r="AK80" s="247"/>
      <c r="AL80" s="247"/>
      <c r="AM80" s="251"/>
    </row>
    <row r="81" spans="32:39" x14ac:dyDescent="0.25">
      <c r="AF81" s="345" t="s">
        <v>53</v>
      </c>
      <c r="AG81" s="252">
        <v>2017</v>
      </c>
      <c r="AH81" s="245"/>
      <c r="AI81" s="245"/>
      <c r="AJ81" s="245"/>
      <c r="AK81" s="237"/>
      <c r="AL81" s="245"/>
      <c r="AM81" s="251"/>
    </row>
    <row r="82" spans="32:39" x14ac:dyDescent="0.25">
      <c r="AF82" s="345"/>
      <c r="AG82" s="252">
        <v>2018</v>
      </c>
      <c r="AH82" s="245"/>
      <c r="AI82" s="245"/>
      <c r="AJ82" s="245"/>
      <c r="AK82" s="245"/>
      <c r="AL82" s="245"/>
      <c r="AM82" s="251"/>
    </row>
    <row r="83" spans="32:39" x14ac:dyDescent="0.25">
      <c r="AF83" s="345"/>
      <c r="AG83" s="252">
        <v>2019</v>
      </c>
      <c r="AH83" s="245"/>
      <c r="AI83" s="245"/>
      <c r="AJ83" s="245"/>
      <c r="AK83" s="245"/>
      <c r="AL83" s="245"/>
      <c r="AM83" s="251"/>
    </row>
    <row r="84" spans="32:39" ht="60" x14ac:dyDescent="0.25">
      <c r="AF84" s="345"/>
      <c r="AG84" s="252">
        <v>2020</v>
      </c>
      <c r="AH84" s="251" t="s">
        <v>145</v>
      </c>
      <c r="AI84" s="251" t="s">
        <v>151</v>
      </c>
      <c r="AJ84" s="251" t="s">
        <v>152</v>
      </c>
      <c r="AK84" s="251" t="s">
        <v>153</v>
      </c>
      <c r="AL84" s="251" t="s">
        <v>154</v>
      </c>
      <c r="AM84" s="251" t="s">
        <v>132</v>
      </c>
    </row>
    <row r="85" spans="32:39" ht="105" x14ac:dyDescent="0.25">
      <c r="AF85" s="345"/>
      <c r="AG85" s="252">
        <v>2021</v>
      </c>
      <c r="AH85" s="251" t="s">
        <v>108</v>
      </c>
      <c r="AI85" s="251" t="s">
        <v>155</v>
      </c>
      <c r="AJ85" s="251" t="s">
        <v>156</v>
      </c>
      <c r="AK85" s="238" t="s">
        <v>157</v>
      </c>
      <c r="AL85" s="251" t="s">
        <v>158</v>
      </c>
      <c r="AM85" s="251" t="s">
        <v>133</v>
      </c>
    </row>
    <row r="86" spans="32:39" x14ac:dyDescent="0.25">
      <c r="AF86" s="345"/>
      <c r="AG86" s="252">
        <v>2022</v>
      </c>
      <c r="AH86" s="251"/>
      <c r="AI86" s="251"/>
      <c r="AJ86" s="251"/>
      <c r="AK86" s="245"/>
      <c r="AL86" s="251"/>
      <c r="AM86" s="251"/>
    </row>
    <row r="87" spans="32:39" ht="75" x14ac:dyDescent="0.25">
      <c r="AF87" s="345"/>
      <c r="AG87" s="252">
        <v>2023</v>
      </c>
      <c r="AH87" s="251" t="s">
        <v>146</v>
      </c>
      <c r="AI87" s="251" t="s">
        <v>159</v>
      </c>
      <c r="AJ87" s="251" t="s">
        <v>160</v>
      </c>
      <c r="AK87" s="245"/>
      <c r="AL87" s="251" t="s">
        <v>154</v>
      </c>
      <c r="AM87" s="251" t="s">
        <v>134</v>
      </c>
    </row>
    <row r="88" spans="32:39" x14ac:dyDescent="0.25">
      <c r="AF88" s="345"/>
      <c r="AG88" s="252">
        <v>2024</v>
      </c>
      <c r="AH88" s="251"/>
      <c r="AI88" s="251"/>
      <c r="AJ88" s="251"/>
      <c r="AK88" s="245"/>
      <c r="AL88" s="251"/>
      <c r="AM88" s="251"/>
    </row>
    <row r="89" spans="32:39" ht="75" x14ac:dyDescent="0.25">
      <c r="AF89" s="345"/>
      <c r="AG89" s="252">
        <v>2025</v>
      </c>
      <c r="AH89" s="251" t="s">
        <v>147</v>
      </c>
      <c r="AI89" s="251" t="s">
        <v>161</v>
      </c>
      <c r="AJ89" s="251" t="s">
        <v>162</v>
      </c>
      <c r="AK89" s="245"/>
      <c r="AL89" s="251" t="s">
        <v>163</v>
      </c>
      <c r="AM89" s="251" t="s">
        <v>135</v>
      </c>
    </row>
    <row r="90" spans="32:39" x14ac:dyDescent="0.25">
      <c r="AF90" s="345"/>
      <c r="AG90" s="252">
        <v>2026</v>
      </c>
      <c r="AH90" s="237"/>
      <c r="AI90" s="251"/>
      <c r="AJ90" s="251"/>
      <c r="AK90" s="245"/>
      <c r="AL90" s="251"/>
      <c r="AM90" s="251"/>
    </row>
    <row r="91" spans="32:39" x14ac:dyDescent="0.25">
      <c r="AF91" s="345"/>
      <c r="AG91" s="252">
        <v>2027</v>
      </c>
      <c r="AH91" s="237"/>
      <c r="AI91" s="251"/>
      <c r="AJ91" s="251"/>
      <c r="AK91" s="245"/>
      <c r="AL91" s="251"/>
      <c r="AM91" s="251"/>
    </row>
    <row r="92" spans="32:39" x14ac:dyDescent="0.25">
      <c r="AF92" s="345"/>
      <c r="AG92" s="252">
        <v>2028</v>
      </c>
      <c r="AH92" s="237"/>
      <c r="AI92" s="251"/>
      <c r="AJ92" s="251"/>
      <c r="AK92" s="247"/>
      <c r="AL92" s="251"/>
      <c r="AM92" s="251"/>
    </row>
    <row r="93" spans="32:39" x14ac:dyDescent="0.25">
      <c r="AF93" s="345"/>
      <c r="AG93" s="252">
        <v>2029</v>
      </c>
      <c r="AH93" s="237"/>
      <c r="AI93" s="251"/>
      <c r="AJ93" s="251"/>
      <c r="AK93" s="247"/>
      <c r="AL93" s="251"/>
      <c r="AM93" s="251"/>
    </row>
    <row r="94" spans="32:39" x14ac:dyDescent="0.25">
      <c r="AF94" s="345"/>
      <c r="AG94" s="252">
        <v>2030</v>
      </c>
      <c r="AH94" s="237"/>
      <c r="AI94" s="251"/>
      <c r="AJ94" s="238"/>
      <c r="AK94" s="247"/>
      <c r="AL94" s="251"/>
      <c r="AM94" s="251"/>
    </row>
    <row r="97" spans="32:40" x14ac:dyDescent="0.25">
      <c r="AF97" s="105" t="s">
        <v>166</v>
      </c>
    </row>
    <row r="98" spans="32:40" x14ac:dyDescent="0.25">
      <c r="AF98" s="253" t="s">
        <v>165</v>
      </c>
      <c r="AG98" s="253" t="s">
        <v>148</v>
      </c>
      <c r="AH98" s="253"/>
      <c r="AI98" s="253"/>
      <c r="AJ98" s="253"/>
      <c r="AK98" s="253"/>
      <c r="AL98" s="253"/>
      <c r="AM98" s="253"/>
      <c r="AN98" s="253"/>
    </row>
    <row r="99" spans="32:40" ht="45" x14ac:dyDescent="0.25">
      <c r="AF99" s="253"/>
      <c r="AG99" s="254" t="s">
        <v>15</v>
      </c>
      <c r="AH99" s="254" t="s">
        <v>16</v>
      </c>
      <c r="AI99" s="254" t="s">
        <v>35</v>
      </c>
      <c r="AJ99" s="254" t="s">
        <v>17</v>
      </c>
      <c r="AK99" s="254" t="s">
        <v>18</v>
      </c>
      <c r="AL99" s="254" t="s">
        <v>6</v>
      </c>
      <c r="AM99" s="254" t="s">
        <v>149</v>
      </c>
      <c r="AN99" s="254" t="s">
        <v>20</v>
      </c>
    </row>
    <row r="100" spans="32:40" x14ac:dyDescent="0.25">
      <c r="AF100" s="253"/>
      <c r="AG100" s="255" t="s">
        <v>21</v>
      </c>
      <c r="AH100" s="255"/>
      <c r="AI100" s="255"/>
      <c r="AJ100" s="255"/>
      <c r="AK100" s="255"/>
      <c r="AL100" s="255"/>
      <c r="AM100" s="255"/>
      <c r="AN100" s="255"/>
    </row>
    <row r="101" spans="32:40" x14ac:dyDescent="0.25">
      <c r="AF101" s="256">
        <v>2010</v>
      </c>
      <c r="AG101" s="257">
        <v>1095</v>
      </c>
      <c r="AH101" s="257">
        <v>657</v>
      </c>
      <c r="AI101" s="257">
        <v>59.787000000000006</v>
      </c>
      <c r="AJ101" s="258">
        <v>5</v>
      </c>
      <c r="AK101" s="257">
        <v>2.5</v>
      </c>
      <c r="AL101" s="258"/>
      <c r="AM101" s="258" t="s">
        <v>30</v>
      </c>
      <c r="AN101" s="237"/>
    </row>
    <row r="102" spans="32:40" x14ac:dyDescent="0.25">
      <c r="AF102" s="256">
        <v>2011</v>
      </c>
      <c r="AG102" s="259">
        <v>1533.3333333333335</v>
      </c>
      <c r="AH102" s="257">
        <v>920</v>
      </c>
      <c r="AI102" s="257">
        <v>83.720000000000013</v>
      </c>
      <c r="AJ102" s="258">
        <v>7</v>
      </c>
      <c r="AK102" s="257">
        <v>2.5</v>
      </c>
      <c r="AL102" s="258"/>
      <c r="AM102" s="258" t="s">
        <v>30</v>
      </c>
      <c r="AN102" s="237"/>
    </row>
    <row r="103" spans="32:40" x14ac:dyDescent="0.25">
      <c r="AF103" s="256">
        <v>2012</v>
      </c>
      <c r="AG103" s="259">
        <v>1095</v>
      </c>
      <c r="AH103" s="257">
        <v>657</v>
      </c>
      <c r="AI103" s="257">
        <v>59.787000000000006</v>
      </c>
      <c r="AJ103" s="258">
        <v>5</v>
      </c>
      <c r="AK103" s="257">
        <v>2.5</v>
      </c>
      <c r="AL103" s="258"/>
      <c r="AM103" s="258" t="s">
        <v>30</v>
      </c>
      <c r="AN103" s="237"/>
    </row>
    <row r="104" spans="32:40" x14ac:dyDescent="0.25">
      <c r="AF104" s="256">
        <v>2013</v>
      </c>
      <c r="AG104" s="259">
        <v>1313.3333333333335</v>
      </c>
      <c r="AH104" s="257">
        <v>788</v>
      </c>
      <c r="AI104" s="257">
        <v>71.708000000000013</v>
      </c>
      <c r="AJ104" s="258">
        <v>6</v>
      </c>
      <c r="AK104" s="257">
        <v>2.5</v>
      </c>
      <c r="AL104" s="258"/>
      <c r="AM104" s="258" t="s">
        <v>30</v>
      </c>
      <c r="AN104" s="237"/>
    </row>
    <row r="105" spans="32:40" x14ac:dyDescent="0.25">
      <c r="AF105" s="256">
        <v>2014</v>
      </c>
      <c r="AG105" s="259">
        <v>1533.3333333333335</v>
      </c>
      <c r="AH105" s="257">
        <v>920</v>
      </c>
      <c r="AI105" s="257">
        <v>83.720000000000013</v>
      </c>
      <c r="AJ105" s="258">
        <v>7</v>
      </c>
      <c r="AK105" s="257">
        <v>2.5</v>
      </c>
      <c r="AL105" s="258"/>
      <c r="AM105" s="258" t="s">
        <v>30</v>
      </c>
      <c r="AN105" s="237"/>
    </row>
    <row r="106" spans="32:40" x14ac:dyDescent="0.25">
      <c r="AF106" s="256">
        <v>2015</v>
      </c>
      <c r="AG106" s="259">
        <v>2408.3333333333335</v>
      </c>
      <c r="AH106" s="257">
        <v>1445</v>
      </c>
      <c r="AI106" s="257">
        <v>131.495</v>
      </c>
      <c r="AJ106" s="258">
        <v>11</v>
      </c>
      <c r="AK106" s="257">
        <v>2.5</v>
      </c>
      <c r="AL106" s="258"/>
      <c r="AM106" s="258" t="s">
        <v>30</v>
      </c>
      <c r="AN106" s="237"/>
    </row>
    <row r="107" spans="32:40" x14ac:dyDescent="0.25">
      <c r="AF107" s="256">
        <v>2016</v>
      </c>
      <c r="AG107" s="259">
        <v>5256.666666666667</v>
      </c>
      <c r="AH107" s="257">
        <v>3154</v>
      </c>
      <c r="AI107" s="257">
        <v>287.01400000000001</v>
      </c>
      <c r="AJ107" s="258">
        <v>24</v>
      </c>
      <c r="AK107" s="257">
        <v>2.5</v>
      </c>
      <c r="AL107" s="258"/>
      <c r="AM107" s="258" t="s">
        <v>30</v>
      </c>
      <c r="AN107" s="237"/>
    </row>
    <row r="108" spans="32:40" x14ac:dyDescent="0.25">
      <c r="AF108" s="256">
        <v>2017</v>
      </c>
      <c r="AG108" s="259">
        <v>5256.666666666667</v>
      </c>
      <c r="AH108" s="257">
        <v>3154</v>
      </c>
      <c r="AI108" s="257">
        <v>287.01400000000001</v>
      </c>
      <c r="AJ108" s="258">
        <v>24</v>
      </c>
      <c r="AK108" s="257">
        <v>2.5</v>
      </c>
      <c r="AL108" s="258"/>
      <c r="AM108" s="258" t="s">
        <v>30</v>
      </c>
      <c r="AN108" s="237"/>
    </row>
    <row r="109" spans="32:40" x14ac:dyDescent="0.25">
      <c r="AF109" s="256">
        <v>2018</v>
      </c>
      <c r="AG109" s="259">
        <v>5256.666666666667</v>
      </c>
      <c r="AH109" s="257">
        <v>3154</v>
      </c>
      <c r="AI109" s="257">
        <v>287.01400000000001</v>
      </c>
      <c r="AJ109" s="258">
        <v>24</v>
      </c>
      <c r="AK109" s="257">
        <v>2.5</v>
      </c>
      <c r="AL109" s="258"/>
      <c r="AM109" s="258" t="s">
        <v>30</v>
      </c>
      <c r="AN109" s="237"/>
    </row>
    <row r="110" spans="32:40" x14ac:dyDescent="0.25">
      <c r="AF110" s="256">
        <v>2019</v>
      </c>
      <c r="AG110" s="257">
        <v>5475</v>
      </c>
      <c r="AH110" s="257">
        <v>3318</v>
      </c>
      <c r="AI110" s="257">
        <v>299</v>
      </c>
      <c r="AJ110" s="258">
        <v>30</v>
      </c>
      <c r="AK110" s="257">
        <v>2.5</v>
      </c>
      <c r="AL110" s="258"/>
      <c r="AM110" s="258"/>
      <c r="AN110" s="237"/>
    </row>
    <row r="111" spans="32:40" x14ac:dyDescent="0.25">
      <c r="AF111" s="256">
        <v>2020</v>
      </c>
      <c r="AG111" s="257">
        <v>7300</v>
      </c>
      <c r="AH111" s="257">
        <v>4424</v>
      </c>
      <c r="AI111" s="257">
        <v>398</v>
      </c>
      <c r="AJ111" s="258">
        <v>40</v>
      </c>
      <c r="AK111" s="257">
        <v>2.5</v>
      </c>
      <c r="AL111" s="258"/>
      <c r="AM111" s="258">
        <v>107.6513474898378</v>
      </c>
      <c r="AN111" s="237"/>
    </row>
    <row r="112" spans="32:40" x14ac:dyDescent="0.25">
      <c r="AF112" s="256">
        <v>2021</v>
      </c>
      <c r="AG112" s="257">
        <v>1095</v>
      </c>
      <c r="AH112" s="257">
        <v>664</v>
      </c>
      <c r="AI112" s="257">
        <v>60.225000000000001</v>
      </c>
      <c r="AJ112" s="258">
        <v>6</v>
      </c>
      <c r="AK112" s="257">
        <v>2.5</v>
      </c>
      <c r="AL112" s="258"/>
      <c r="AM112" s="258">
        <v>238.09422434824342</v>
      </c>
      <c r="AN112" s="237"/>
    </row>
    <row r="113" spans="32:40" x14ac:dyDescent="0.25">
      <c r="AF113" s="256">
        <v>2022</v>
      </c>
      <c r="AG113" s="257">
        <v>912.5</v>
      </c>
      <c r="AH113" s="257">
        <v>553</v>
      </c>
      <c r="AI113" s="257">
        <v>50.1875</v>
      </c>
      <c r="AJ113" s="258">
        <v>5</v>
      </c>
      <c r="AK113" s="257">
        <v>2.5</v>
      </c>
      <c r="AL113" s="258"/>
      <c r="AM113" s="258">
        <v>231.47698002370683</v>
      </c>
      <c r="AN113" s="237"/>
    </row>
    <row r="114" spans="32:40" x14ac:dyDescent="0.25">
      <c r="AF114" s="256">
        <v>2023</v>
      </c>
      <c r="AG114" s="257">
        <v>912.5</v>
      </c>
      <c r="AH114" s="257">
        <v>553</v>
      </c>
      <c r="AI114" s="257">
        <v>50.1875</v>
      </c>
      <c r="AJ114" s="258">
        <v>5</v>
      </c>
      <c r="AK114" s="257">
        <v>2.5</v>
      </c>
      <c r="AL114" s="258"/>
      <c r="AM114" s="258">
        <v>222.48336058898906</v>
      </c>
      <c r="AN114" s="237"/>
    </row>
    <row r="115" spans="32:40" x14ac:dyDescent="0.25">
      <c r="AF115" s="256">
        <v>2024</v>
      </c>
      <c r="AG115" s="257">
        <v>547.5</v>
      </c>
      <c r="AH115" s="257">
        <v>332</v>
      </c>
      <c r="AI115" s="257">
        <v>30.112500000000001</v>
      </c>
      <c r="AJ115" s="258">
        <v>3</v>
      </c>
      <c r="AK115" s="257">
        <v>2.5</v>
      </c>
      <c r="AL115" s="258"/>
      <c r="AM115" s="258">
        <v>214.93941988033927</v>
      </c>
      <c r="AN115" s="237"/>
    </row>
    <row r="116" spans="32:40" x14ac:dyDescent="0.25">
      <c r="AF116" s="256">
        <v>2025</v>
      </c>
      <c r="AG116" s="257">
        <v>547.5</v>
      </c>
      <c r="AH116" s="257">
        <v>332</v>
      </c>
      <c r="AI116" s="257">
        <v>30.112500000000001</v>
      </c>
      <c r="AJ116" s="258">
        <v>3</v>
      </c>
      <c r="AK116" s="257">
        <v>2.5</v>
      </c>
      <c r="AL116" s="258"/>
      <c r="AM116" s="258">
        <v>201.4148114212384</v>
      </c>
      <c r="AN116" s="237"/>
    </row>
    <row r="117" spans="32:40" x14ac:dyDescent="0.25">
      <c r="AF117" s="256">
        <v>2026</v>
      </c>
      <c r="AG117" s="257">
        <v>547.5</v>
      </c>
      <c r="AH117" s="257">
        <v>332</v>
      </c>
      <c r="AI117" s="257">
        <v>30.112500000000001</v>
      </c>
      <c r="AJ117" s="258">
        <v>3</v>
      </c>
      <c r="AK117" s="257">
        <v>2.5</v>
      </c>
      <c r="AL117" s="258"/>
      <c r="AM117" s="258">
        <v>189.77647973105974</v>
      </c>
      <c r="AN117" s="237"/>
    </row>
    <row r="118" spans="32:40" x14ac:dyDescent="0.25">
      <c r="AF118" s="256">
        <v>2027</v>
      </c>
      <c r="AG118" s="257">
        <v>547.5</v>
      </c>
      <c r="AH118" s="257">
        <v>332</v>
      </c>
      <c r="AI118" s="257">
        <v>30.112500000000001</v>
      </c>
      <c r="AJ118" s="258">
        <v>3</v>
      </c>
      <c r="AK118" s="257">
        <v>2.5</v>
      </c>
      <c r="AL118" s="258"/>
      <c r="AM118" s="258">
        <v>179.74495404218445</v>
      </c>
      <c r="AN118" s="237"/>
    </row>
    <row r="119" spans="32:40" x14ac:dyDescent="0.25">
      <c r="AF119" s="256">
        <v>2028</v>
      </c>
      <c r="AG119" s="257">
        <v>547.5</v>
      </c>
      <c r="AH119" s="257">
        <v>332</v>
      </c>
      <c r="AI119" s="257">
        <v>30.112500000000001</v>
      </c>
      <c r="AJ119" s="258">
        <v>3</v>
      </c>
      <c r="AK119" s="257">
        <v>2.5</v>
      </c>
      <c r="AL119" s="258"/>
      <c r="AM119" s="258">
        <v>171.08341216899066</v>
      </c>
      <c r="AN119" s="237"/>
    </row>
    <row r="120" spans="32:40" x14ac:dyDescent="0.25">
      <c r="AF120" s="256">
        <v>2029</v>
      </c>
      <c r="AG120" s="257">
        <v>547.5</v>
      </c>
      <c r="AH120" s="257">
        <v>332</v>
      </c>
      <c r="AI120" s="257">
        <v>30.112500000000001</v>
      </c>
      <c r="AJ120" s="258">
        <v>3</v>
      </c>
      <c r="AK120" s="257">
        <v>2.5</v>
      </c>
      <c r="AL120" s="258"/>
      <c r="AM120" s="258">
        <v>163.59108351555241</v>
      </c>
      <c r="AN120" s="237"/>
    </row>
    <row r="121" spans="32:40" x14ac:dyDescent="0.25">
      <c r="AF121" s="256">
        <v>2030</v>
      </c>
      <c r="AG121" s="257">
        <v>547.5</v>
      </c>
      <c r="AH121" s="257">
        <v>332</v>
      </c>
      <c r="AI121" s="257">
        <v>30.112500000000001</v>
      </c>
      <c r="AJ121" s="258">
        <v>3</v>
      </c>
      <c r="AK121" s="257">
        <v>2.5</v>
      </c>
      <c r="AL121" s="258"/>
      <c r="AM121" s="258">
        <v>157.09767866034844</v>
      </c>
      <c r="AN121" s="237"/>
    </row>
  </sheetData>
  <mergeCells count="25">
    <mergeCell ref="D1:D2"/>
    <mergeCell ref="L1:Y1"/>
    <mergeCell ref="A3:A6"/>
    <mergeCell ref="B3:B6"/>
    <mergeCell ref="D3:D6"/>
    <mergeCell ref="A1:A2"/>
    <mergeCell ref="B1:B2"/>
    <mergeCell ref="C1:C2"/>
    <mergeCell ref="A7:A13"/>
    <mergeCell ref="B7:B13"/>
    <mergeCell ref="AH46:AK46"/>
    <mergeCell ref="AF54:AF67"/>
    <mergeCell ref="AF72:AG72"/>
    <mergeCell ref="AH72:AM72"/>
    <mergeCell ref="AF44:AG44"/>
    <mergeCell ref="AH44:AK44"/>
    <mergeCell ref="AL44:AQ44"/>
    <mergeCell ref="AF45:AG45"/>
    <mergeCell ref="AF73:AG73"/>
    <mergeCell ref="AF81:AF94"/>
    <mergeCell ref="A14:A21"/>
    <mergeCell ref="B14:B21"/>
    <mergeCell ref="AF46:AG46"/>
    <mergeCell ref="A23:A30"/>
    <mergeCell ref="B23:B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66"/>
  <sheetViews>
    <sheetView zoomScale="10" zoomScaleNormal="10" workbookViewId="0">
      <selection activeCell="C74" sqref="C74"/>
    </sheetView>
  </sheetViews>
  <sheetFormatPr defaultRowHeight="12.75" x14ac:dyDescent="0.2"/>
  <cols>
    <col min="1" max="1" width="6.7109375" style="3" customWidth="1"/>
    <col min="2" max="2" width="19.7109375" style="3" customWidth="1"/>
    <col min="3" max="3" width="25.7109375" style="3" customWidth="1"/>
    <col min="4" max="4" width="10.140625" style="3" customWidth="1"/>
    <col min="5" max="6" width="11.140625" style="3" bestFit="1" customWidth="1"/>
    <col min="7" max="7" width="17.28515625" style="3" customWidth="1"/>
    <col min="8" max="10" width="11.140625" style="3" bestFit="1" customWidth="1"/>
    <col min="11" max="11" width="17" style="3" customWidth="1"/>
    <col min="12" max="12" width="16" style="3" customWidth="1"/>
    <col min="13" max="13" width="15.85546875" style="3" customWidth="1"/>
    <col min="14" max="14" width="15.28515625" style="3" customWidth="1"/>
    <col min="15" max="16" width="16.140625" style="3" customWidth="1"/>
    <col min="17" max="17" width="4.7109375" style="3" customWidth="1"/>
    <col min="18" max="18" width="20.5703125" style="3" customWidth="1"/>
    <col min="19" max="19" width="24.42578125" style="3" customWidth="1"/>
    <col min="20" max="20" width="10.140625" style="3" customWidth="1"/>
    <col min="21" max="21" width="17.5703125" style="3" customWidth="1"/>
    <col min="22" max="22" width="15.85546875" style="3" customWidth="1"/>
    <col min="23" max="23" width="13.85546875" style="3" customWidth="1"/>
    <col min="24" max="24" width="13.28515625" style="3" customWidth="1"/>
    <col min="25" max="25" width="15.85546875" style="3" customWidth="1"/>
    <col min="26" max="26" width="14.28515625" style="3" customWidth="1"/>
    <col min="27" max="27" width="15.28515625" style="3" customWidth="1"/>
    <col min="28" max="28" width="15.5703125" style="3" customWidth="1"/>
    <col min="29" max="29" width="15.140625" style="3" customWidth="1"/>
    <col min="30" max="30" width="16.7109375" style="3" customWidth="1"/>
    <col min="31" max="16384" width="9.140625" style="3"/>
  </cols>
  <sheetData>
    <row r="3" spans="1:30" s="21" customFormat="1" ht="15" x14ac:dyDescent="0.25">
      <c r="A3" s="371" t="s">
        <v>0</v>
      </c>
      <c r="B3" s="371" t="s">
        <v>1</v>
      </c>
      <c r="C3" s="371" t="s">
        <v>2</v>
      </c>
      <c r="D3" s="371" t="s">
        <v>3</v>
      </c>
      <c r="E3" s="371" t="s">
        <v>4</v>
      </c>
      <c r="F3" s="371"/>
      <c r="G3" s="371"/>
      <c r="H3" s="371"/>
      <c r="I3" s="371"/>
      <c r="J3" s="371"/>
      <c r="K3" s="371"/>
      <c r="L3" s="371"/>
      <c r="M3" s="371"/>
      <c r="N3" s="371"/>
      <c r="O3" s="371"/>
      <c r="P3" s="20"/>
      <c r="Q3" s="371" t="s">
        <v>0</v>
      </c>
      <c r="R3" s="371" t="s">
        <v>1</v>
      </c>
      <c r="S3" s="371" t="s">
        <v>2</v>
      </c>
      <c r="T3" s="371" t="s">
        <v>3</v>
      </c>
      <c r="U3" s="371" t="s">
        <v>4</v>
      </c>
      <c r="V3" s="371"/>
      <c r="W3" s="371"/>
      <c r="X3" s="371"/>
      <c r="Y3" s="371"/>
      <c r="Z3" s="371"/>
      <c r="AA3" s="371"/>
      <c r="AB3" s="371"/>
      <c r="AC3" s="371"/>
      <c r="AD3" s="371"/>
    </row>
    <row r="4" spans="1:30" s="21" customFormat="1" ht="15" x14ac:dyDescent="0.25">
      <c r="A4" s="371"/>
      <c r="B4" s="371"/>
      <c r="C4" s="371"/>
      <c r="D4" s="371"/>
      <c r="E4" s="30">
        <v>2010</v>
      </c>
      <c r="F4" s="30">
        <v>2011</v>
      </c>
      <c r="G4" s="30">
        <v>2012</v>
      </c>
      <c r="H4" s="30">
        <v>2013</v>
      </c>
      <c r="I4" s="30">
        <v>2014</v>
      </c>
      <c r="J4" s="30">
        <v>2015</v>
      </c>
      <c r="K4" s="30">
        <v>2016</v>
      </c>
      <c r="L4" s="30">
        <v>2017</v>
      </c>
      <c r="M4" s="30">
        <v>2018</v>
      </c>
      <c r="N4" s="30">
        <v>2019</v>
      </c>
      <c r="O4" s="30">
        <v>2020</v>
      </c>
      <c r="Q4" s="371"/>
      <c r="R4" s="371"/>
      <c r="S4" s="371"/>
      <c r="T4" s="371"/>
      <c r="U4" s="147">
        <v>2021</v>
      </c>
      <c r="V4" s="147">
        <v>2022</v>
      </c>
      <c r="W4" s="147">
        <v>2023</v>
      </c>
      <c r="X4" s="147">
        <v>2024</v>
      </c>
      <c r="Y4" s="147">
        <v>2025</v>
      </c>
      <c r="Z4" s="147">
        <v>2026</v>
      </c>
      <c r="AA4" s="147">
        <v>2027</v>
      </c>
      <c r="AB4" s="147">
        <v>2028</v>
      </c>
      <c r="AC4" s="147">
        <v>2029</v>
      </c>
      <c r="AD4" s="147">
        <v>2030</v>
      </c>
    </row>
    <row r="5" spans="1:30" s="23" customFormat="1" ht="24.75" customHeight="1" x14ac:dyDescent="0.25">
      <c r="A5" s="379">
        <v>1</v>
      </c>
      <c r="B5" s="372" t="s">
        <v>5</v>
      </c>
      <c r="C5" s="31" t="s">
        <v>27</v>
      </c>
      <c r="D5" s="372" t="s">
        <v>21</v>
      </c>
      <c r="E5" s="32" t="s">
        <v>30</v>
      </c>
      <c r="F5" s="32" t="s">
        <v>30</v>
      </c>
      <c r="G5" s="32" t="s">
        <v>30</v>
      </c>
      <c r="H5" s="32" t="s">
        <v>30</v>
      </c>
      <c r="I5" s="32" t="s">
        <v>30</v>
      </c>
      <c r="J5" s="32" t="s">
        <v>30</v>
      </c>
      <c r="K5" s="32" t="s">
        <v>30</v>
      </c>
      <c r="L5" s="32" t="s">
        <v>30</v>
      </c>
      <c r="M5" s="32" t="s">
        <v>30</v>
      </c>
      <c r="N5" s="32" t="s">
        <v>30</v>
      </c>
      <c r="O5" s="33"/>
      <c r="P5" s="22"/>
      <c r="Q5" s="379">
        <v>1</v>
      </c>
      <c r="R5" s="372" t="s">
        <v>42</v>
      </c>
      <c r="S5" s="149" t="s">
        <v>41</v>
      </c>
      <c r="T5" s="372" t="s">
        <v>21</v>
      </c>
      <c r="U5" s="34">
        <v>63610</v>
      </c>
      <c r="V5" s="34"/>
      <c r="W5" s="34"/>
      <c r="X5" s="34"/>
      <c r="Y5" s="34"/>
      <c r="Z5" s="34"/>
      <c r="AA5" s="34"/>
      <c r="AB5" s="34"/>
      <c r="AC5" s="34"/>
      <c r="AD5" s="34"/>
    </row>
    <row r="6" spans="1:30" s="23" customFormat="1" ht="30" x14ac:dyDescent="0.25">
      <c r="A6" s="379"/>
      <c r="B6" s="372"/>
      <c r="C6" s="35" t="s">
        <v>6</v>
      </c>
      <c r="D6" s="372"/>
      <c r="E6" s="32" t="s">
        <v>30</v>
      </c>
      <c r="F6" s="32" t="s">
        <v>30</v>
      </c>
      <c r="G6" s="32" t="s">
        <v>30</v>
      </c>
      <c r="H6" s="32" t="s">
        <v>30</v>
      </c>
      <c r="I6" s="32" t="s">
        <v>30</v>
      </c>
      <c r="J6" s="32" t="s">
        <v>30</v>
      </c>
      <c r="K6" s="32" t="s">
        <v>30</v>
      </c>
      <c r="L6" s="32" t="s">
        <v>30</v>
      </c>
      <c r="M6" s="32" t="s">
        <v>30</v>
      </c>
      <c r="N6" s="32" t="s">
        <v>30</v>
      </c>
      <c r="O6" s="32" t="s">
        <v>30</v>
      </c>
      <c r="P6" s="22"/>
      <c r="Q6" s="379"/>
      <c r="R6" s="372"/>
      <c r="S6" s="35" t="s">
        <v>6</v>
      </c>
      <c r="T6" s="372"/>
      <c r="U6" s="36">
        <v>35000</v>
      </c>
      <c r="V6" s="36"/>
      <c r="W6" s="36"/>
      <c r="X6" s="36"/>
      <c r="Y6" s="36"/>
      <c r="Z6" s="36"/>
      <c r="AA6" s="36"/>
      <c r="AB6" s="36"/>
      <c r="AC6" s="36"/>
      <c r="AD6" s="36"/>
    </row>
    <row r="7" spans="1:30" s="23" customFormat="1" ht="19.5" customHeight="1" x14ac:dyDescent="0.25">
      <c r="A7" s="379"/>
      <c r="B7" s="372"/>
      <c r="C7" s="31" t="s">
        <v>25</v>
      </c>
      <c r="D7" s="372"/>
      <c r="E7" s="32" t="s">
        <v>30</v>
      </c>
      <c r="F7" s="32" t="s">
        <v>30</v>
      </c>
      <c r="G7" s="32" t="s">
        <v>30</v>
      </c>
      <c r="H7" s="32" t="s">
        <v>30</v>
      </c>
      <c r="I7" s="32" t="s">
        <v>189</v>
      </c>
      <c r="J7" s="32" t="s">
        <v>30</v>
      </c>
      <c r="K7" s="32" t="s">
        <v>30</v>
      </c>
      <c r="L7" s="32" t="s">
        <v>30</v>
      </c>
      <c r="M7" s="32" t="s">
        <v>30</v>
      </c>
      <c r="N7" s="32" t="s">
        <v>30</v>
      </c>
      <c r="O7" s="32" t="s">
        <v>30</v>
      </c>
      <c r="P7" s="22"/>
      <c r="Q7" s="379"/>
      <c r="R7" s="372"/>
      <c r="S7" s="149" t="s">
        <v>25</v>
      </c>
      <c r="T7" s="372"/>
      <c r="U7" s="34">
        <v>2340</v>
      </c>
      <c r="V7" s="34">
        <v>2340</v>
      </c>
      <c r="W7" s="34">
        <v>2340</v>
      </c>
      <c r="X7" s="34">
        <v>2340</v>
      </c>
      <c r="Y7" s="34">
        <v>2340</v>
      </c>
      <c r="Z7" s="34">
        <v>2340</v>
      </c>
      <c r="AA7" s="34">
        <v>2340</v>
      </c>
      <c r="AB7" s="34">
        <v>2340</v>
      </c>
      <c r="AC7" s="34">
        <v>2340</v>
      </c>
      <c r="AD7" s="34">
        <v>2340</v>
      </c>
    </row>
    <row r="8" spans="1:30" s="23" customFormat="1" ht="15" x14ac:dyDescent="0.25">
      <c r="A8" s="380">
        <v>2</v>
      </c>
      <c r="B8" s="373" t="s">
        <v>33</v>
      </c>
      <c r="C8" s="42" t="s">
        <v>8</v>
      </c>
      <c r="D8" s="373" t="s">
        <v>21</v>
      </c>
      <c r="E8" s="43" t="s">
        <v>30</v>
      </c>
      <c r="F8" s="43" t="s">
        <v>30</v>
      </c>
      <c r="G8" s="43" t="s">
        <v>30</v>
      </c>
      <c r="H8" s="43" t="s">
        <v>30</v>
      </c>
      <c r="I8" s="43" t="s">
        <v>30</v>
      </c>
      <c r="J8" s="43" t="s">
        <v>30</v>
      </c>
      <c r="K8" s="43" t="s">
        <v>30</v>
      </c>
      <c r="L8" s="44">
        <v>25.2</v>
      </c>
      <c r="M8" s="44"/>
      <c r="N8" s="44"/>
      <c r="O8" s="44"/>
      <c r="P8" s="24"/>
      <c r="Q8" s="380">
        <v>2</v>
      </c>
      <c r="R8" s="373" t="s">
        <v>7</v>
      </c>
      <c r="S8" s="42" t="s">
        <v>8</v>
      </c>
      <c r="T8" s="373" t="s">
        <v>21</v>
      </c>
      <c r="U8" s="44"/>
      <c r="V8" s="44"/>
      <c r="W8" s="44"/>
      <c r="X8" s="44"/>
      <c r="Y8" s="44"/>
      <c r="Z8" s="44"/>
      <c r="AA8" s="44"/>
      <c r="AB8" s="44"/>
      <c r="AC8" s="44"/>
      <c r="AD8" s="44"/>
    </row>
    <row r="9" spans="1:30" s="23" customFormat="1" ht="30" x14ac:dyDescent="0.25">
      <c r="A9" s="380"/>
      <c r="B9" s="373"/>
      <c r="C9" s="42" t="s">
        <v>9</v>
      </c>
      <c r="D9" s="373"/>
      <c r="E9" s="43" t="s">
        <v>30</v>
      </c>
      <c r="F9" s="43" t="s">
        <v>30</v>
      </c>
      <c r="G9" s="43" t="s">
        <v>30</v>
      </c>
      <c r="H9" s="43" t="s">
        <v>30</v>
      </c>
      <c r="I9" s="43" t="s">
        <v>30</v>
      </c>
      <c r="J9" s="43" t="s">
        <v>30</v>
      </c>
      <c r="K9" s="43" t="s">
        <v>30</v>
      </c>
      <c r="L9" s="45">
        <v>1800</v>
      </c>
      <c r="M9" s="45"/>
      <c r="N9" s="45"/>
      <c r="O9" s="45"/>
      <c r="P9" s="24"/>
      <c r="Q9" s="380"/>
      <c r="R9" s="373"/>
      <c r="S9" s="42" t="s">
        <v>9</v>
      </c>
      <c r="T9" s="373"/>
      <c r="U9" s="45"/>
      <c r="V9" s="45"/>
      <c r="W9" s="45"/>
      <c r="X9" s="45"/>
      <c r="Y9" s="45"/>
      <c r="Z9" s="45"/>
      <c r="AA9" s="45"/>
      <c r="AB9" s="45"/>
      <c r="AC9" s="45"/>
      <c r="AD9" s="45"/>
    </row>
    <row r="10" spans="1:30" s="23" customFormat="1" ht="15" customHeight="1" x14ac:dyDescent="0.25">
      <c r="A10" s="380"/>
      <c r="B10" s="373"/>
      <c r="C10" s="42" t="s">
        <v>187</v>
      </c>
      <c r="D10" s="373"/>
      <c r="E10" s="43" t="s">
        <v>30</v>
      </c>
      <c r="F10" s="43" t="s">
        <v>30</v>
      </c>
      <c r="G10" s="43" t="s">
        <v>30</v>
      </c>
      <c r="H10" s="43" t="s">
        <v>30</v>
      </c>
      <c r="I10" s="43" t="s">
        <v>30</v>
      </c>
      <c r="J10" s="43" t="s">
        <v>30</v>
      </c>
      <c r="K10" s="43" t="s">
        <v>30</v>
      </c>
      <c r="L10" s="164">
        <v>0.1</v>
      </c>
      <c r="M10" s="164"/>
      <c r="N10" s="164"/>
      <c r="O10" s="164"/>
      <c r="P10" s="24"/>
      <c r="Q10" s="380"/>
      <c r="R10" s="373"/>
      <c r="S10" s="42" t="s">
        <v>29</v>
      </c>
      <c r="T10" s="373"/>
      <c r="U10" s="44"/>
      <c r="V10" s="44"/>
      <c r="W10" s="44"/>
      <c r="X10" s="44"/>
      <c r="Y10" s="44"/>
      <c r="Z10" s="44"/>
      <c r="AA10" s="44"/>
      <c r="AB10" s="44"/>
      <c r="AC10" s="44"/>
      <c r="AD10" s="44"/>
    </row>
    <row r="11" spans="1:30" s="26" customFormat="1" ht="33.75" customHeight="1" x14ac:dyDescent="0.25">
      <c r="A11" s="380"/>
      <c r="B11" s="373"/>
      <c r="C11" s="46" t="s">
        <v>37</v>
      </c>
      <c r="D11" s="373"/>
      <c r="E11" s="47"/>
      <c r="F11" s="47"/>
      <c r="G11" s="47"/>
      <c r="H11" s="47"/>
      <c r="I11" s="47"/>
      <c r="J11" s="47"/>
      <c r="K11" s="47"/>
      <c r="L11" s="48">
        <f>L10*L9*365</f>
        <v>65700</v>
      </c>
      <c r="M11" s="48"/>
      <c r="N11" s="48"/>
      <c r="O11" s="48"/>
      <c r="P11" s="25"/>
      <c r="Q11" s="380"/>
      <c r="R11" s="373"/>
      <c r="S11" s="42" t="s">
        <v>37</v>
      </c>
      <c r="T11" s="373"/>
      <c r="U11" s="48"/>
      <c r="V11" s="48"/>
      <c r="W11" s="48"/>
      <c r="X11" s="48"/>
      <c r="Y11" s="48"/>
      <c r="Z11" s="48"/>
      <c r="AA11" s="48"/>
      <c r="AB11" s="48"/>
      <c r="AC11" s="48"/>
      <c r="AD11" s="48"/>
    </row>
    <row r="12" spans="1:30" s="23" customFormat="1" ht="30" x14ac:dyDescent="0.25">
      <c r="A12" s="380"/>
      <c r="B12" s="373"/>
      <c r="C12" s="42" t="s">
        <v>188</v>
      </c>
      <c r="D12" s="373"/>
      <c r="E12" s="43" t="s">
        <v>30</v>
      </c>
      <c r="F12" s="43" t="s">
        <v>30</v>
      </c>
      <c r="G12" s="43" t="s">
        <v>30</v>
      </c>
      <c r="H12" s="43" t="s">
        <v>30</v>
      </c>
      <c r="I12" s="43" t="s">
        <v>30</v>
      </c>
      <c r="J12" s="43" t="s">
        <v>30</v>
      </c>
      <c r="K12" s="43" t="s">
        <v>30</v>
      </c>
      <c r="L12" s="277">
        <v>2250000</v>
      </c>
      <c r="M12" s="45"/>
      <c r="N12" s="45"/>
      <c r="O12" s="45"/>
      <c r="P12" s="24"/>
      <c r="Q12" s="380"/>
      <c r="R12" s="373"/>
      <c r="S12" s="42" t="s">
        <v>10</v>
      </c>
      <c r="T12" s="373"/>
      <c r="U12" s="45"/>
      <c r="V12" s="45"/>
      <c r="W12" s="45"/>
      <c r="X12" s="45"/>
      <c r="Y12" s="45"/>
      <c r="Z12" s="45"/>
      <c r="AA12" s="45"/>
      <c r="AB12" s="45"/>
      <c r="AC12" s="45"/>
      <c r="AD12" s="45"/>
    </row>
    <row r="13" spans="1:30" s="23" customFormat="1" ht="30" x14ac:dyDescent="0.25">
      <c r="A13" s="380"/>
      <c r="B13" s="373"/>
      <c r="C13" s="42" t="s">
        <v>6</v>
      </c>
      <c r="D13" s="373"/>
      <c r="E13" s="43" t="s">
        <v>30</v>
      </c>
      <c r="F13" s="43" t="s">
        <v>30</v>
      </c>
      <c r="G13" s="43" t="s">
        <v>30</v>
      </c>
      <c r="H13" s="43" t="s">
        <v>30</v>
      </c>
      <c r="I13" s="43" t="s">
        <v>30</v>
      </c>
      <c r="J13" s="43" t="s">
        <v>30</v>
      </c>
      <c r="K13" s="43" t="s">
        <v>30</v>
      </c>
      <c r="L13" s="45">
        <f>F31*L11</f>
        <v>274940217.39130431</v>
      </c>
      <c r="M13" s="44"/>
      <c r="N13" s="44"/>
      <c r="O13" s="44"/>
      <c r="P13" s="27"/>
      <c r="Q13" s="380"/>
      <c r="R13" s="373"/>
      <c r="S13" s="42" t="s">
        <v>6</v>
      </c>
      <c r="T13" s="373"/>
      <c r="U13" s="44"/>
      <c r="V13" s="44"/>
      <c r="W13" s="44"/>
      <c r="X13" s="44"/>
      <c r="Y13" s="44"/>
      <c r="Z13" s="44"/>
      <c r="AA13" s="44"/>
      <c r="AB13" s="44"/>
      <c r="AC13" s="44"/>
      <c r="AD13" s="44"/>
    </row>
    <row r="14" spans="1:30" s="28" customFormat="1" ht="30" x14ac:dyDescent="0.25">
      <c r="A14" s="380"/>
      <c r="B14" s="373"/>
      <c r="C14" s="49" t="s">
        <v>34</v>
      </c>
      <c r="D14" s="373"/>
      <c r="E14" s="50">
        <v>0</v>
      </c>
      <c r="F14" s="50">
        <v>0</v>
      </c>
      <c r="G14" s="50">
        <v>0</v>
      </c>
      <c r="H14" s="50">
        <v>0</v>
      </c>
      <c r="I14" s="50">
        <v>0</v>
      </c>
      <c r="J14" s="50">
        <v>0</v>
      </c>
      <c r="K14" s="50">
        <v>0</v>
      </c>
      <c r="L14" s="51">
        <v>0</v>
      </c>
      <c r="M14" s="51">
        <v>21.657176674998681</v>
      </c>
      <c r="N14" s="51">
        <v>38.134450715095426</v>
      </c>
      <c r="O14" s="51">
        <v>50.869562045251392</v>
      </c>
      <c r="Q14" s="380"/>
      <c r="R14" s="373"/>
      <c r="S14" s="148" t="s">
        <v>34</v>
      </c>
      <c r="T14" s="373"/>
      <c r="U14" s="52">
        <v>80.719620583044488</v>
      </c>
      <c r="V14" s="52">
        <v>103.79203242636578</v>
      </c>
      <c r="W14" s="52">
        <v>121.90858057097435</v>
      </c>
      <c r="X14" s="52">
        <v>136.35267964726211</v>
      </c>
      <c r="Y14" s="52">
        <v>160.06897852285616</v>
      </c>
      <c r="Z14" s="52">
        <v>202.86788299780201</v>
      </c>
      <c r="AA14" s="52">
        <v>236.20670053773395</v>
      </c>
      <c r="AB14" s="52">
        <v>262.5929535549356</v>
      </c>
      <c r="AC14" s="52">
        <v>283.79907096268494</v>
      </c>
      <c r="AD14" s="52">
        <v>301.09055241447408</v>
      </c>
    </row>
    <row r="15" spans="1:30" s="23" customFormat="1" ht="46.5" customHeight="1" x14ac:dyDescent="0.25">
      <c r="A15" s="377">
        <v>3</v>
      </c>
      <c r="B15" s="374" t="s">
        <v>131</v>
      </c>
      <c r="C15" s="156" t="s">
        <v>185</v>
      </c>
      <c r="D15" s="374" t="s">
        <v>13</v>
      </c>
      <c r="E15" s="38" t="s">
        <v>30</v>
      </c>
      <c r="F15" s="38" t="s">
        <v>30</v>
      </c>
      <c r="G15" s="38" t="s">
        <v>30</v>
      </c>
      <c r="H15" s="38" t="s">
        <v>30</v>
      </c>
      <c r="I15" s="38" t="s">
        <v>30</v>
      </c>
      <c r="J15" s="38" t="s">
        <v>30</v>
      </c>
      <c r="K15" s="38" t="s">
        <v>30</v>
      </c>
      <c r="L15" s="38" t="s">
        <v>30</v>
      </c>
      <c r="M15" s="38" t="s">
        <v>30</v>
      </c>
      <c r="N15" s="38" t="s">
        <v>30</v>
      </c>
      <c r="O15" s="163">
        <f>'Pengolahan data tidak akumulasi'!O18</f>
        <v>301125</v>
      </c>
      <c r="P15" s="27"/>
      <c r="Q15" s="377">
        <v>3</v>
      </c>
      <c r="R15" s="374" t="s">
        <v>131</v>
      </c>
      <c r="S15" s="37" t="s">
        <v>39</v>
      </c>
      <c r="T15" s="374" t="s">
        <v>13</v>
      </c>
      <c r="U15" s="40">
        <f>'Pengolahan data tidak akumulasi'!P18</f>
        <v>328500</v>
      </c>
      <c r="V15" s="40">
        <f>'Pengolahan data tidak akumulasi'!Q18</f>
        <v>0</v>
      </c>
      <c r="W15" s="40">
        <f>'Pengolahan data tidak akumulasi'!R18</f>
        <v>182500</v>
      </c>
      <c r="X15" s="40">
        <f>'Pengolahan data tidak akumulasi'!S18</f>
        <v>0</v>
      </c>
      <c r="Y15" s="40">
        <f>'Pengolahan data tidak akumulasi'!T18</f>
        <v>365000</v>
      </c>
      <c r="Z15" s="40">
        <f>'Pengolahan data tidak akumulasi'!U18</f>
        <v>0</v>
      </c>
      <c r="AA15" s="40">
        <f>'Pengolahan data tidak akumulasi'!V18</f>
        <v>0</v>
      </c>
      <c r="AB15" s="40">
        <f>'Pengolahan data tidak akumulasi'!W18</f>
        <v>0</v>
      </c>
      <c r="AC15" s="40">
        <f>'Pengolahan data tidak akumulasi'!X18</f>
        <v>0</v>
      </c>
      <c r="AD15" s="40">
        <f>'Pengolahan data tidak akumulasi'!Y18</f>
        <v>0</v>
      </c>
    </row>
    <row r="16" spans="1:30" s="23" customFormat="1" ht="30.75" customHeight="1" x14ac:dyDescent="0.25">
      <c r="A16" s="377"/>
      <c r="B16" s="374"/>
      <c r="C16" s="37" t="s">
        <v>14</v>
      </c>
      <c r="D16" s="374"/>
      <c r="E16" s="38" t="s">
        <v>30</v>
      </c>
      <c r="F16" s="38" t="s">
        <v>30</v>
      </c>
      <c r="G16" s="38" t="s">
        <v>30</v>
      </c>
      <c r="H16" s="38" t="s">
        <v>30</v>
      </c>
      <c r="I16" s="38" t="s">
        <v>30</v>
      </c>
      <c r="J16" s="38" t="s">
        <v>30</v>
      </c>
      <c r="K16" s="38" t="s">
        <v>30</v>
      </c>
      <c r="L16" s="39"/>
      <c r="M16" s="39"/>
      <c r="N16" s="39"/>
      <c r="O16" s="40">
        <v>2062500</v>
      </c>
      <c r="P16" s="27"/>
      <c r="Q16" s="377"/>
      <c r="R16" s="374"/>
      <c r="S16" s="37" t="s">
        <v>14</v>
      </c>
      <c r="T16" s="374"/>
      <c r="U16" s="40">
        <f>2250000/2</f>
        <v>1125000</v>
      </c>
      <c r="V16" s="40"/>
      <c r="W16" s="40">
        <f>1250000/2</f>
        <v>625000</v>
      </c>
      <c r="X16" s="40"/>
      <c r="Y16" s="40">
        <f>2500000/2</f>
        <v>1250000</v>
      </c>
      <c r="Z16" s="40"/>
      <c r="AA16" s="40"/>
      <c r="AB16" s="40"/>
      <c r="AC16" s="40"/>
      <c r="AD16" s="40"/>
    </row>
    <row r="17" spans="1:39" s="23" customFormat="1" ht="30" x14ac:dyDescent="0.25">
      <c r="A17" s="377"/>
      <c r="B17" s="374"/>
      <c r="C17" s="37" t="s">
        <v>6</v>
      </c>
      <c r="D17" s="374"/>
      <c r="E17" s="38" t="s">
        <v>30</v>
      </c>
      <c r="F17" s="38" t="s">
        <v>30</v>
      </c>
      <c r="G17" s="38" t="s">
        <v>30</v>
      </c>
      <c r="H17" s="38" t="s">
        <v>30</v>
      </c>
      <c r="I17" s="38" t="s">
        <v>30</v>
      </c>
      <c r="J17" s="38" t="s">
        <v>30</v>
      </c>
      <c r="K17" s="38" t="s">
        <v>30</v>
      </c>
      <c r="L17" s="162"/>
      <c r="M17" s="38" t="s">
        <v>30</v>
      </c>
      <c r="N17" s="38" t="s">
        <v>30</v>
      </c>
      <c r="O17" s="40">
        <v>4300000000</v>
      </c>
      <c r="P17" s="27"/>
      <c r="Q17" s="377"/>
      <c r="R17" s="374"/>
      <c r="S17" s="37" t="s">
        <v>6</v>
      </c>
      <c r="T17" s="374"/>
      <c r="U17" s="39"/>
      <c r="V17" s="39"/>
      <c r="W17" s="39"/>
      <c r="X17" s="39"/>
      <c r="Y17" s="39"/>
      <c r="Z17" s="39"/>
      <c r="AA17" s="39"/>
      <c r="AB17" s="39"/>
      <c r="AC17" s="39"/>
      <c r="AD17" s="39"/>
    </row>
    <row r="18" spans="1:39" s="23" customFormat="1" ht="30" x14ac:dyDescent="0.25">
      <c r="A18" s="377"/>
      <c r="B18" s="374"/>
      <c r="C18" s="41" t="s">
        <v>34</v>
      </c>
      <c r="D18" s="374"/>
      <c r="E18" s="279">
        <v>0</v>
      </c>
      <c r="F18" s="279">
        <v>0</v>
      </c>
      <c r="G18" s="279">
        <v>0</v>
      </c>
      <c r="H18" s="279">
        <v>0</v>
      </c>
      <c r="I18" s="279">
        <v>0</v>
      </c>
      <c r="J18" s="279">
        <v>0</v>
      </c>
      <c r="K18" s="279">
        <v>0</v>
      </c>
      <c r="L18" s="279">
        <v>0</v>
      </c>
      <c r="M18" s="279">
        <v>0</v>
      </c>
      <c r="N18" s="279">
        <v>0</v>
      </c>
      <c r="O18" s="279">
        <v>-34226.987685</v>
      </c>
      <c r="P18" s="24"/>
      <c r="Q18" s="377"/>
      <c r="R18" s="374"/>
      <c r="S18" s="150" t="s">
        <v>25</v>
      </c>
      <c r="T18" s="374"/>
      <c r="U18" s="279">
        <v>-34357.431881770273</v>
      </c>
      <c r="V18" s="279">
        <v>33103.364990694521</v>
      </c>
      <c r="W18" s="279">
        <v>61366.98469106952</v>
      </c>
      <c r="X18" s="279">
        <v>120074.99500587868</v>
      </c>
      <c r="Y18" s="279">
        <v>122004.60676487643</v>
      </c>
      <c r="Z18" s="279">
        <v>199768.10104094673</v>
      </c>
      <c r="AA18" s="279">
        <v>257357.90332111699</v>
      </c>
      <c r="AB18" s="279">
        <v>300752.02101460297</v>
      </c>
      <c r="AC18" s="279">
        <v>332432.3816375623</v>
      </c>
      <c r="AD18" s="279">
        <v>360273.05924431985</v>
      </c>
    </row>
    <row r="19" spans="1:39" s="154" customFormat="1" ht="50.25" customHeight="1" x14ac:dyDescent="0.25">
      <c r="A19" s="385">
        <v>4</v>
      </c>
      <c r="B19" s="375" t="s">
        <v>28</v>
      </c>
      <c r="C19" s="62" t="s">
        <v>15</v>
      </c>
      <c r="D19" s="386" t="s">
        <v>21</v>
      </c>
      <c r="E19" s="63">
        <f t="shared" ref="E19:L19" si="0">(1/0.6)*E20</f>
        <v>1095</v>
      </c>
      <c r="F19" s="63">
        <f t="shared" si="0"/>
        <v>1533.3333333333335</v>
      </c>
      <c r="G19" s="63">
        <f t="shared" si="0"/>
        <v>1095</v>
      </c>
      <c r="H19" s="63">
        <f t="shared" si="0"/>
        <v>1313.3333333333335</v>
      </c>
      <c r="I19" s="63">
        <f t="shared" si="0"/>
        <v>1533.3333333333335</v>
      </c>
      <c r="J19" s="63">
        <f t="shared" si="0"/>
        <v>2408.3333333333335</v>
      </c>
      <c r="K19" s="63">
        <f t="shared" si="0"/>
        <v>5256.666666666667</v>
      </c>
      <c r="L19" s="63">
        <f t="shared" si="0"/>
        <v>5256.666666666667</v>
      </c>
      <c r="M19" s="63">
        <f>(1/0.6)*M20</f>
        <v>5256.666666666667</v>
      </c>
      <c r="N19" s="64">
        <v>5475</v>
      </c>
      <c r="O19" s="64">
        <v>7300</v>
      </c>
      <c r="P19" s="153"/>
      <c r="Q19" s="387">
        <v>4</v>
      </c>
      <c r="R19" s="375" t="s">
        <v>28</v>
      </c>
      <c r="S19" s="62" t="s">
        <v>15</v>
      </c>
      <c r="T19" s="375" t="s">
        <v>21</v>
      </c>
      <c r="U19" s="118">
        <f>1095+O19</f>
        <v>8395</v>
      </c>
      <c r="V19" s="118">
        <f>912.5+U19</f>
        <v>9307.5</v>
      </c>
      <c r="W19" s="118">
        <f>912.5+V19</f>
        <v>10220</v>
      </c>
      <c r="X19" s="118">
        <f t="shared" ref="X19:AD19" si="1">547.5+W19</f>
        <v>10767.5</v>
      </c>
      <c r="Y19" s="118">
        <f t="shared" si="1"/>
        <v>11315</v>
      </c>
      <c r="Z19" s="118">
        <f t="shared" si="1"/>
        <v>11862.5</v>
      </c>
      <c r="AA19" s="118">
        <f t="shared" si="1"/>
        <v>12410</v>
      </c>
      <c r="AB19" s="118">
        <f t="shared" si="1"/>
        <v>12957.5</v>
      </c>
      <c r="AC19" s="118">
        <f t="shared" si="1"/>
        <v>13505</v>
      </c>
      <c r="AD19" s="118">
        <f t="shared" si="1"/>
        <v>14052.5</v>
      </c>
    </row>
    <row r="20" spans="1:39" s="23" customFormat="1" ht="32.25" customHeight="1" x14ac:dyDescent="0.25">
      <c r="A20" s="385"/>
      <c r="B20" s="375"/>
      <c r="C20" s="53" t="s">
        <v>16</v>
      </c>
      <c r="D20" s="386"/>
      <c r="E20" s="56">
        <v>657</v>
      </c>
      <c r="F20" s="56">
        <v>920</v>
      </c>
      <c r="G20" s="56">
        <v>657</v>
      </c>
      <c r="H20" s="56">
        <v>788</v>
      </c>
      <c r="I20" s="56">
        <v>920</v>
      </c>
      <c r="J20" s="57">
        <v>1445</v>
      </c>
      <c r="K20" s="57">
        <v>3154</v>
      </c>
      <c r="L20" s="57">
        <v>3154</v>
      </c>
      <c r="M20" s="57">
        <v>3154</v>
      </c>
      <c r="N20" s="55">
        <v>3318</v>
      </c>
      <c r="O20" s="55">
        <v>4424</v>
      </c>
      <c r="P20" s="29"/>
      <c r="Q20" s="387"/>
      <c r="R20" s="375"/>
      <c r="S20" s="53" t="s">
        <v>16</v>
      </c>
      <c r="T20" s="375"/>
      <c r="U20" s="58">
        <f>'Pengolahan data tidak akumulasi'!P24</f>
        <v>664</v>
      </c>
      <c r="V20" s="58">
        <f>'Pengolahan data tidak akumulasi'!Q24</f>
        <v>553</v>
      </c>
      <c r="W20" s="58">
        <f>'Pengolahan data tidak akumulasi'!R24</f>
        <v>553</v>
      </c>
      <c r="X20" s="58">
        <f>'Pengolahan data tidak akumulasi'!S24</f>
        <v>332</v>
      </c>
      <c r="Y20" s="58">
        <f>'Pengolahan data tidak akumulasi'!T24</f>
        <v>332</v>
      </c>
      <c r="Z20" s="58">
        <f>'Pengolahan data tidak akumulasi'!U24</f>
        <v>332</v>
      </c>
      <c r="AA20" s="58">
        <f>'Pengolahan data tidak akumulasi'!V24</f>
        <v>332</v>
      </c>
      <c r="AB20" s="58">
        <f>'Pengolahan data tidak akumulasi'!W24</f>
        <v>332</v>
      </c>
      <c r="AC20" s="58">
        <f>'Pengolahan data tidak akumulasi'!X24</f>
        <v>332</v>
      </c>
      <c r="AD20" s="58">
        <f>'Pengolahan data tidak akumulasi'!Y24</f>
        <v>332</v>
      </c>
    </row>
    <row r="21" spans="1:39" s="26" customFormat="1" ht="34.5" customHeight="1" x14ac:dyDescent="0.25">
      <c r="A21" s="385"/>
      <c r="B21" s="375"/>
      <c r="C21" s="62" t="s">
        <v>35</v>
      </c>
      <c r="D21" s="386"/>
      <c r="E21" s="63">
        <f>'Pengolahan data tidak akumulasi'!E25</f>
        <v>59.787000000000006</v>
      </c>
      <c r="F21" s="63">
        <f>'Pengolahan data tidak akumulasi'!F25</f>
        <v>83.720000000000013</v>
      </c>
      <c r="G21" s="63">
        <f>'Pengolahan data tidak akumulasi'!G25</f>
        <v>59.787000000000006</v>
      </c>
      <c r="H21" s="63">
        <f>'Pengolahan data tidak akumulasi'!H25</f>
        <v>71.708000000000013</v>
      </c>
      <c r="I21" s="63">
        <f>'Pengolahan data tidak akumulasi'!I25</f>
        <v>83.720000000000013</v>
      </c>
      <c r="J21" s="63">
        <f>'Pengolahan data tidak akumulasi'!J25</f>
        <v>131.495</v>
      </c>
      <c r="K21" s="63">
        <f>'Pengolahan data tidak akumulasi'!K25</f>
        <v>287.01400000000001</v>
      </c>
      <c r="L21" s="63">
        <f>'Pengolahan data tidak akumulasi'!L25</f>
        <v>287.01400000000001</v>
      </c>
      <c r="M21" s="63">
        <f>'Pengolahan data tidak akumulasi'!M25</f>
        <v>287.01400000000001</v>
      </c>
      <c r="N21" s="63">
        <f>'Pengolahan data tidak akumulasi'!N25</f>
        <v>299</v>
      </c>
      <c r="O21" s="63">
        <f>'Pengolahan data tidak akumulasi'!O25</f>
        <v>398</v>
      </c>
      <c r="P21" s="263"/>
      <c r="Q21" s="387"/>
      <c r="R21" s="375"/>
      <c r="S21" s="62" t="s">
        <v>26</v>
      </c>
      <c r="T21" s="375"/>
      <c r="U21" s="264">
        <f>'Pengolahan data tidak akumulasi'!P25</f>
        <v>60.225000000000001</v>
      </c>
      <c r="V21" s="264">
        <f>'Pengolahan data tidak akumulasi'!Q25</f>
        <v>50.1875</v>
      </c>
      <c r="W21" s="264">
        <f>'Pengolahan data tidak akumulasi'!R25</f>
        <v>50.1875</v>
      </c>
      <c r="X21" s="264">
        <f>'Pengolahan data tidak akumulasi'!S25</f>
        <v>30.112500000000001</v>
      </c>
      <c r="Y21" s="264">
        <f>'Pengolahan data tidak akumulasi'!T25</f>
        <v>30.112500000000001</v>
      </c>
      <c r="Z21" s="264">
        <f>'Pengolahan data tidak akumulasi'!U25</f>
        <v>30.112500000000001</v>
      </c>
      <c r="AA21" s="264">
        <f>'Pengolahan data tidak akumulasi'!V25</f>
        <v>30.112500000000001</v>
      </c>
      <c r="AB21" s="264">
        <f>'Pengolahan data tidak akumulasi'!W25</f>
        <v>30.112500000000001</v>
      </c>
      <c r="AC21" s="264">
        <f>'Pengolahan data tidak akumulasi'!X25</f>
        <v>30.112500000000001</v>
      </c>
      <c r="AD21" s="264">
        <f>'Pengolahan data tidak akumulasi'!Y25</f>
        <v>30.112500000000001</v>
      </c>
    </row>
    <row r="22" spans="1:39" s="23" customFormat="1" ht="15" x14ac:dyDescent="0.25">
      <c r="A22" s="385"/>
      <c r="B22" s="375"/>
      <c r="C22" s="53" t="s">
        <v>17</v>
      </c>
      <c r="D22" s="386"/>
      <c r="E22" s="56">
        <v>5</v>
      </c>
      <c r="F22" s="56">
        <v>7</v>
      </c>
      <c r="G22" s="56">
        <v>5</v>
      </c>
      <c r="H22" s="56">
        <v>6</v>
      </c>
      <c r="I22" s="56">
        <v>7</v>
      </c>
      <c r="J22" s="56">
        <v>11</v>
      </c>
      <c r="K22" s="56">
        <v>24</v>
      </c>
      <c r="L22" s="56">
        <v>24</v>
      </c>
      <c r="M22" s="56">
        <v>24</v>
      </c>
      <c r="N22" s="58">
        <v>30</v>
      </c>
      <c r="O22" s="58">
        <v>40</v>
      </c>
      <c r="P22" s="29"/>
      <c r="Q22" s="387"/>
      <c r="R22" s="375"/>
      <c r="S22" s="53" t="s">
        <v>17</v>
      </c>
      <c r="T22" s="375"/>
      <c r="U22" s="76">
        <f>U20/110.6</f>
        <v>6.0036166365280295</v>
      </c>
      <c r="V22" s="76">
        <f t="shared" ref="V22:AD22" si="2">V20/110.6</f>
        <v>5</v>
      </c>
      <c r="W22" s="76">
        <f t="shared" si="2"/>
        <v>5</v>
      </c>
      <c r="X22" s="76">
        <f t="shared" si="2"/>
        <v>3.0018083182640147</v>
      </c>
      <c r="Y22" s="76">
        <f t="shared" si="2"/>
        <v>3.0018083182640147</v>
      </c>
      <c r="Z22" s="76">
        <f t="shared" si="2"/>
        <v>3.0018083182640147</v>
      </c>
      <c r="AA22" s="76">
        <f t="shared" si="2"/>
        <v>3.0018083182640147</v>
      </c>
      <c r="AB22" s="76">
        <f t="shared" si="2"/>
        <v>3.0018083182640147</v>
      </c>
      <c r="AC22" s="76">
        <f t="shared" si="2"/>
        <v>3.0018083182640147</v>
      </c>
      <c r="AD22" s="76">
        <f t="shared" si="2"/>
        <v>3.0018083182640147</v>
      </c>
    </row>
    <row r="23" spans="1:39" s="23" customFormat="1" ht="30" x14ac:dyDescent="0.25">
      <c r="A23" s="385"/>
      <c r="B23" s="375"/>
      <c r="C23" s="53" t="s">
        <v>18</v>
      </c>
      <c r="D23" s="386"/>
      <c r="E23" s="54">
        <f>'Pengolahan data tidak akumulasi'!E27</f>
        <v>2.5</v>
      </c>
      <c r="F23" s="54">
        <f>'Pengolahan data tidak akumulasi'!F27</f>
        <v>2.5</v>
      </c>
      <c r="G23" s="54">
        <f>'Pengolahan data tidak akumulasi'!G27</f>
        <v>2.5</v>
      </c>
      <c r="H23" s="54">
        <f>'Pengolahan data tidak akumulasi'!H27</f>
        <v>2.5</v>
      </c>
      <c r="I23" s="54">
        <f>'Pengolahan data tidak akumulasi'!I27</f>
        <v>2.5</v>
      </c>
      <c r="J23" s="54">
        <f>'Pengolahan data tidak akumulasi'!J27</f>
        <v>2.5</v>
      </c>
      <c r="K23" s="54">
        <f>'Pengolahan data tidak akumulasi'!K27</f>
        <v>2.5</v>
      </c>
      <c r="L23" s="54">
        <f>'Pengolahan data tidak akumulasi'!L27</f>
        <v>2.5</v>
      </c>
      <c r="M23" s="54">
        <f>'Pengolahan data tidak akumulasi'!M27</f>
        <v>2.5</v>
      </c>
      <c r="N23" s="54">
        <f>'Pengolahan data tidak akumulasi'!N27</f>
        <v>2.5</v>
      </c>
      <c r="O23" s="54">
        <f>'Pengolahan data tidak akumulasi'!O27</f>
        <v>2.5</v>
      </c>
      <c r="P23" s="29"/>
      <c r="Q23" s="387"/>
      <c r="R23" s="375"/>
      <c r="S23" s="53" t="s">
        <v>18</v>
      </c>
      <c r="T23" s="375"/>
      <c r="U23" s="58">
        <v>2.5</v>
      </c>
      <c r="V23" s="58">
        <v>2.5</v>
      </c>
      <c r="W23" s="58">
        <v>2.5</v>
      </c>
      <c r="X23" s="58">
        <v>2.5</v>
      </c>
      <c r="Y23" s="58">
        <v>2.5</v>
      </c>
      <c r="Z23" s="58">
        <v>2.5</v>
      </c>
      <c r="AA23" s="58">
        <v>2.5</v>
      </c>
      <c r="AB23" s="58">
        <v>2.5</v>
      </c>
      <c r="AC23" s="58">
        <v>2.5</v>
      </c>
      <c r="AD23" s="58">
        <v>2.5</v>
      </c>
    </row>
    <row r="24" spans="1:39" s="23" customFormat="1" ht="30" x14ac:dyDescent="0.25">
      <c r="A24" s="385"/>
      <c r="B24" s="375"/>
      <c r="C24" s="53" t="s">
        <v>6</v>
      </c>
      <c r="D24" s="386"/>
      <c r="E24" s="60"/>
      <c r="F24" s="60"/>
      <c r="G24" s="60"/>
      <c r="H24" s="60"/>
      <c r="I24" s="60"/>
      <c r="J24" s="60"/>
      <c r="K24" s="60"/>
      <c r="L24" s="60"/>
      <c r="M24" s="60"/>
      <c r="N24" s="55"/>
      <c r="O24" s="58"/>
      <c r="P24" s="29">
        <f>U24/U22</f>
        <v>0</v>
      </c>
      <c r="Q24" s="387"/>
      <c r="R24" s="375"/>
      <c r="S24" s="53" t="s">
        <v>6</v>
      </c>
      <c r="T24" s="375"/>
      <c r="U24" s="55"/>
      <c r="V24" s="55"/>
      <c r="W24" s="55"/>
      <c r="X24" s="55"/>
      <c r="Y24" s="55"/>
      <c r="Z24" s="55"/>
      <c r="AA24" s="55"/>
      <c r="AB24" s="55"/>
      <c r="AC24" s="55"/>
      <c r="AD24" s="55"/>
    </row>
    <row r="25" spans="1:39" s="67" customFormat="1" ht="45" hidden="1" customHeight="1" x14ac:dyDescent="0.25">
      <c r="A25" s="385"/>
      <c r="B25" s="375"/>
      <c r="C25" s="53" t="s">
        <v>45</v>
      </c>
      <c r="D25" s="53"/>
      <c r="E25" s="54" t="s">
        <v>30</v>
      </c>
      <c r="F25" s="54" t="s">
        <v>30</v>
      </c>
      <c r="G25" s="54" t="s">
        <v>30</v>
      </c>
      <c r="H25" s="54" t="s">
        <v>30</v>
      </c>
      <c r="I25" s="54" t="s">
        <v>30</v>
      </c>
      <c r="J25" s="54" t="s">
        <v>30</v>
      </c>
      <c r="K25" s="54" t="s">
        <v>30</v>
      </c>
      <c r="L25" s="54" t="s">
        <v>30</v>
      </c>
      <c r="M25" s="54" t="s">
        <v>30</v>
      </c>
      <c r="N25" s="59"/>
      <c r="O25" s="61">
        <v>107.6513474898378</v>
      </c>
      <c r="P25" s="152"/>
      <c r="Q25" s="267"/>
      <c r="R25" s="375"/>
      <c r="S25" s="53" t="s">
        <v>19</v>
      </c>
      <c r="T25" s="375"/>
      <c r="U25" s="61">
        <v>238.09422434824342</v>
      </c>
      <c r="V25" s="119">
        <v>231.47698002370683</v>
      </c>
      <c r="W25" s="119">
        <v>222.48336058898906</v>
      </c>
      <c r="X25" s="119">
        <v>214.93941988033927</v>
      </c>
      <c r="Y25" s="119">
        <v>201.4148114212384</v>
      </c>
      <c r="Z25" s="119">
        <v>189.77647973105974</v>
      </c>
      <c r="AA25" s="119">
        <v>179.74495404218445</v>
      </c>
      <c r="AB25" s="119">
        <v>171.08341216899066</v>
      </c>
      <c r="AC25" s="119">
        <v>163.59108351555241</v>
      </c>
      <c r="AD25" s="119">
        <v>157.09767866034844</v>
      </c>
      <c r="AE25" s="268"/>
    </row>
    <row r="26" spans="1:39" s="154" customFormat="1" ht="30.75" hidden="1" customHeight="1" x14ac:dyDescent="0.25">
      <c r="A26" s="385"/>
      <c r="B26" s="375"/>
      <c r="C26" s="62" t="s">
        <v>20</v>
      </c>
      <c r="D26" s="53"/>
      <c r="E26" s="63">
        <v>0</v>
      </c>
      <c r="F26" s="63">
        <v>216.57176674998681</v>
      </c>
      <c r="G26" s="63">
        <v>468.03914132941162</v>
      </c>
      <c r="H26" s="63">
        <v>574.6548757423991</v>
      </c>
      <c r="I26" s="63">
        <v>702.8337974855117</v>
      </c>
      <c r="J26" s="63">
        <v>847.92441062063017</v>
      </c>
      <c r="K26" s="63">
        <v>1135.7849274738585</v>
      </c>
      <c r="L26" s="63">
        <v>1923.0129571699877</v>
      </c>
      <c r="M26" s="63">
        <v>2528.50901584854</v>
      </c>
      <c r="N26" s="64">
        <v>3001.6777096189098</v>
      </c>
      <c r="O26" s="64">
        <v>3431.2824619044086</v>
      </c>
      <c r="P26" s="153"/>
      <c r="Q26" s="267"/>
      <c r="R26" s="375"/>
      <c r="S26" s="62" t="s">
        <v>20</v>
      </c>
      <c r="T26" s="375"/>
      <c r="U26" s="64">
        <v>4139.5136973801782</v>
      </c>
      <c r="V26" s="64">
        <v>3456.3694233907509</v>
      </c>
      <c r="W26" s="64">
        <v>2920.6230956477903</v>
      </c>
      <c r="X26" s="64">
        <v>2523.3846795853819</v>
      </c>
      <c r="Y26" s="64">
        <v>2152.0190858007923</v>
      </c>
      <c r="Z26" s="64">
        <v>1869.2152068047451</v>
      </c>
      <c r="AA26" s="64">
        <v>1650.8730032242615</v>
      </c>
      <c r="AB26" s="64">
        <v>1480.0477114719197</v>
      </c>
      <c r="AC26" s="64">
        <v>1344.7141669623613</v>
      </c>
      <c r="AD26" s="64">
        <v>1236.2489211123736</v>
      </c>
      <c r="AE26" s="269"/>
    </row>
    <row r="27" spans="1:39" s="8" customFormat="1" hidden="1" x14ac:dyDescent="0.2">
      <c r="A27" s="390">
        <v>5</v>
      </c>
      <c r="B27" s="376" t="s">
        <v>23</v>
      </c>
      <c r="C27" s="9" t="s">
        <v>24</v>
      </c>
      <c r="D27" s="378" t="s">
        <v>21</v>
      </c>
      <c r="E27" s="10">
        <f>30%*1200</f>
        <v>360</v>
      </c>
      <c r="F27" s="10">
        <f t="shared" ref="F27:O27" si="3">30%*1200</f>
        <v>360</v>
      </c>
      <c r="G27" s="10">
        <f t="shared" si="3"/>
        <v>360</v>
      </c>
      <c r="H27" s="10">
        <f t="shared" si="3"/>
        <v>360</v>
      </c>
      <c r="I27" s="10">
        <f t="shared" si="3"/>
        <v>360</v>
      </c>
      <c r="J27" s="10">
        <f t="shared" si="3"/>
        <v>360</v>
      </c>
      <c r="K27" s="10">
        <f t="shared" si="3"/>
        <v>360</v>
      </c>
      <c r="L27" s="10">
        <f t="shared" si="3"/>
        <v>360</v>
      </c>
      <c r="M27" s="10">
        <f t="shared" si="3"/>
        <v>360</v>
      </c>
      <c r="N27" s="10">
        <f t="shared" si="3"/>
        <v>360</v>
      </c>
      <c r="O27" s="10">
        <f t="shared" si="3"/>
        <v>360</v>
      </c>
      <c r="Q27" s="381">
        <v>5</v>
      </c>
      <c r="R27" s="367" t="s">
        <v>23</v>
      </c>
      <c r="S27" s="265" t="s">
        <v>24</v>
      </c>
      <c r="T27" s="369" t="s">
        <v>21</v>
      </c>
      <c r="U27" s="266">
        <v>360</v>
      </c>
      <c r="V27" s="266">
        <v>360</v>
      </c>
      <c r="W27" s="266">
        <v>360</v>
      </c>
      <c r="X27" s="266">
        <v>360</v>
      </c>
      <c r="Y27" s="266">
        <v>360</v>
      </c>
      <c r="Z27" s="266">
        <v>360</v>
      </c>
      <c r="AA27" s="266">
        <v>360</v>
      </c>
      <c r="AB27" s="266">
        <v>360</v>
      </c>
      <c r="AC27" s="266">
        <v>360</v>
      </c>
      <c r="AD27" s="266">
        <v>360</v>
      </c>
    </row>
    <row r="28" spans="1:39" s="8" customFormat="1" ht="25.5" hidden="1" x14ac:dyDescent="0.2">
      <c r="A28" s="390"/>
      <c r="B28" s="376"/>
      <c r="C28" s="6" t="s">
        <v>6</v>
      </c>
      <c r="D28" s="378"/>
      <c r="E28" s="11"/>
      <c r="F28" s="11"/>
      <c r="G28" s="11"/>
      <c r="H28" s="11"/>
      <c r="I28" s="11"/>
      <c r="J28" s="11"/>
      <c r="K28" s="11"/>
      <c r="L28" s="11"/>
      <c r="M28" s="11"/>
      <c r="N28" s="11"/>
      <c r="O28" s="11"/>
      <c r="Q28" s="381"/>
      <c r="R28" s="367"/>
      <c r="S28" s="6" t="s">
        <v>6</v>
      </c>
      <c r="T28" s="369"/>
      <c r="U28" s="7"/>
      <c r="V28" s="7"/>
      <c r="W28" s="7"/>
      <c r="X28" s="7"/>
      <c r="Y28" s="7"/>
      <c r="Z28" s="7"/>
      <c r="AA28" s="7"/>
      <c r="AB28" s="7"/>
      <c r="AC28" s="7"/>
      <c r="AD28" s="7"/>
    </row>
    <row r="29" spans="1:39" s="8" customFormat="1" ht="25.5" hidden="1" x14ac:dyDescent="0.2">
      <c r="A29" s="390"/>
      <c r="B29" s="376"/>
      <c r="C29" s="6" t="s">
        <v>36</v>
      </c>
      <c r="D29" s="378"/>
      <c r="E29" s="7">
        <v>557.21</v>
      </c>
      <c r="F29" s="7">
        <v>554.82000000000005</v>
      </c>
      <c r="G29" s="7">
        <v>552.29</v>
      </c>
      <c r="H29" s="7">
        <v>549.6</v>
      </c>
      <c r="I29" s="7">
        <v>546.73</v>
      </c>
      <c r="J29" s="7">
        <v>543.66999999999996</v>
      </c>
      <c r="K29" s="7">
        <v>540.38</v>
      </c>
      <c r="L29" s="7">
        <v>536.84</v>
      </c>
      <c r="M29" s="7">
        <v>533.02</v>
      </c>
      <c r="N29" s="7">
        <v>528.87</v>
      </c>
      <c r="O29" s="7">
        <v>524.34</v>
      </c>
      <c r="Q29" s="382"/>
      <c r="R29" s="368"/>
      <c r="S29" s="6" t="s">
        <v>25</v>
      </c>
      <c r="T29" s="370"/>
      <c r="U29" s="7">
        <v>519.38</v>
      </c>
      <c r="V29" s="7">
        <v>513.91999999999996</v>
      </c>
      <c r="W29" s="7">
        <v>507.87</v>
      </c>
      <c r="X29" s="7">
        <v>501.15</v>
      </c>
      <c r="Y29" s="7">
        <v>493.61</v>
      </c>
      <c r="Z29" s="7">
        <v>485.13</v>
      </c>
      <c r="AA29" s="7">
        <v>475.52</v>
      </c>
      <c r="AB29" s="7">
        <v>464.55</v>
      </c>
      <c r="AC29" s="7">
        <v>451.94</v>
      </c>
      <c r="AD29" s="7">
        <v>437.32</v>
      </c>
    </row>
    <row r="30" spans="1:39" customFormat="1" ht="15" x14ac:dyDescent="0.25">
      <c r="A30" s="3"/>
      <c r="B30" s="3"/>
      <c r="C30" s="271" t="s">
        <v>6</v>
      </c>
      <c r="D30" s="3"/>
      <c r="E30" s="272">
        <v>2750000</v>
      </c>
      <c r="F30" s="272">
        <v>3850000</v>
      </c>
      <c r="G30" s="272">
        <v>2750000</v>
      </c>
      <c r="H30" s="272">
        <v>3300000</v>
      </c>
      <c r="I30" s="272">
        <v>3850000</v>
      </c>
      <c r="J30" s="272">
        <v>6050000</v>
      </c>
      <c r="K30" s="272">
        <v>13200000</v>
      </c>
      <c r="L30" s="272">
        <v>13200000</v>
      </c>
      <c r="M30" s="272">
        <v>13200000</v>
      </c>
      <c r="N30" s="272">
        <v>15000000</v>
      </c>
      <c r="O30" s="275">
        <v>21429600</v>
      </c>
      <c r="P30" s="3"/>
      <c r="Q30" s="3"/>
      <c r="R30" s="3"/>
      <c r="S30" s="271" t="s">
        <v>6</v>
      </c>
      <c r="T30" s="3"/>
      <c r="U30" s="272">
        <v>2401965</v>
      </c>
      <c r="V30" s="272">
        <v>1993980</v>
      </c>
      <c r="W30" s="272">
        <v>2130000</v>
      </c>
      <c r="X30" s="272">
        <v>1200000</v>
      </c>
      <c r="Y30" s="272">
        <v>650995</v>
      </c>
      <c r="Z30" s="272">
        <v>650995</v>
      </c>
      <c r="AA30" s="272">
        <v>650995</v>
      </c>
      <c r="AB30" s="272">
        <v>650995</v>
      </c>
      <c r="AC30" s="272">
        <v>650995</v>
      </c>
      <c r="AD30" s="272">
        <v>650995</v>
      </c>
    </row>
    <row r="31" spans="1:39" s="273" customFormat="1" ht="15" x14ac:dyDescent="0.25">
      <c r="C31" s="178" t="s">
        <v>230</v>
      </c>
      <c r="E31" s="273">
        <f>E30/E20</f>
        <v>4185.6925418569253</v>
      </c>
      <c r="F31" s="273">
        <f t="shared" ref="F31:O31" si="4">F30/F20</f>
        <v>4184.782608695652</v>
      </c>
      <c r="G31" s="273">
        <f t="shared" si="4"/>
        <v>4185.6925418569253</v>
      </c>
      <c r="H31" s="273">
        <f t="shared" si="4"/>
        <v>4187.8172588832485</v>
      </c>
      <c r="I31" s="273">
        <f t="shared" si="4"/>
        <v>4184.782608695652</v>
      </c>
      <c r="J31" s="273">
        <f t="shared" si="4"/>
        <v>4186.8512110726642</v>
      </c>
      <c r="K31" s="273">
        <f t="shared" si="4"/>
        <v>4185.1616994292963</v>
      </c>
      <c r="L31" s="273">
        <f t="shared" si="4"/>
        <v>4185.1616994292963</v>
      </c>
      <c r="M31" s="273">
        <f t="shared" si="4"/>
        <v>4185.1616994292963</v>
      </c>
      <c r="N31" s="273">
        <f t="shared" si="4"/>
        <v>4520.7956600361667</v>
      </c>
      <c r="O31" s="273">
        <f t="shared" si="4"/>
        <v>4843.9421338155516</v>
      </c>
      <c r="U31" s="273">
        <f>U30/U20</f>
        <v>3617.4171686746986</v>
      </c>
      <c r="V31" s="273">
        <f t="shared" ref="V31" si="5">V30/V20</f>
        <v>3605.750452079566</v>
      </c>
      <c r="W31" s="273">
        <f t="shared" ref="W31" si="6">W30/W20</f>
        <v>3851.7179023508138</v>
      </c>
      <c r="X31" s="273">
        <f t="shared" ref="X31" si="7">X30/X20</f>
        <v>3614.4578313253014</v>
      </c>
      <c r="Y31" s="273">
        <f t="shared" ref="Y31" si="8">Y30/Y20</f>
        <v>1960.8283132530121</v>
      </c>
      <c r="Z31" s="273">
        <f t="shared" ref="Z31" si="9">Z30/Z20</f>
        <v>1960.8283132530121</v>
      </c>
      <c r="AA31" s="273">
        <f t="shared" ref="AA31" si="10">AA30/AA20</f>
        <v>1960.8283132530121</v>
      </c>
      <c r="AB31" s="273">
        <f t="shared" ref="AB31" si="11">AB30/AB20</f>
        <v>1960.8283132530121</v>
      </c>
      <c r="AC31" s="273">
        <f t="shared" ref="AC31" si="12">AC30/AC20</f>
        <v>1960.8283132530121</v>
      </c>
      <c r="AD31" s="273">
        <f t="shared" ref="AD31" si="13">AD30/AD20</f>
        <v>1960.8283132530121</v>
      </c>
      <c r="AE31" s="274"/>
      <c r="AF31" s="274"/>
      <c r="AG31" s="274"/>
      <c r="AH31" s="274"/>
      <c r="AI31" s="274"/>
      <c r="AJ31" s="274"/>
      <c r="AK31" s="274"/>
      <c r="AL31" s="274"/>
      <c r="AM31" s="274"/>
    </row>
    <row r="33" spans="1:11" s="279" customFormat="1" x14ac:dyDescent="0.2"/>
    <row r="34" spans="1:11" ht="45" x14ac:dyDescent="0.25">
      <c r="D34" s="3" t="s">
        <v>231</v>
      </c>
      <c r="E34" s="178" t="s">
        <v>228</v>
      </c>
      <c r="F34">
        <f>500*30%*365/1000</f>
        <v>54.75</v>
      </c>
    </row>
    <row r="35" spans="1:11" ht="15" x14ac:dyDescent="0.25">
      <c r="E35" s="178" t="s">
        <v>229</v>
      </c>
      <c r="F35" s="276">
        <v>500000</v>
      </c>
    </row>
    <row r="36" spans="1:11" ht="30" x14ac:dyDescent="0.25">
      <c r="E36" s="178" t="s">
        <v>230</v>
      </c>
      <c r="F36" s="276">
        <f>F35/F34</f>
        <v>9132.4200913242003</v>
      </c>
    </row>
    <row r="42" spans="1:11" ht="39.75" customHeight="1" x14ac:dyDescent="0.2">
      <c r="A42" s="388" t="s">
        <v>4</v>
      </c>
      <c r="B42" s="383" t="s">
        <v>232</v>
      </c>
      <c r="C42" s="384"/>
      <c r="D42" s="383" t="s">
        <v>233</v>
      </c>
      <c r="E42" s="384"/>
      <c r="F42" s="383" t="s">
        <v>131</v>
      </c>
      <c r="G42" s="384"/>
      <c r="H42" s="383" t="s">
        <v>31</v>
      </c>
      <c r="I42" s="384"/>
      <c r="J42" s="383" t="s">
        <v>234</v>
      </c>
      <c r="K42" s="384"/>
    </row>
    <row r="43" spans="1:11" ht="48" x14ac:dyDescent="0.2">
      <c r="A43" s="389"/>
      <c r="B43" s="282" t="s">
        <v>219</v>
      </c>
      <c r="C43" s="282" t="s">
        <v>235</v>
      </c>
      <c r="D43" s="282" t="s">
        <v>219</v>
      </c>
      <c r="E43" s="282" t="s">
        <v>235</v>
      </c>
      <c r="F43" s="282" t="s">
        <v>219</v>
      </c>
      <c r="G43" s="282" t="s">
        <v>235</v>
      </c>
      <c r="H43" s="282" t="s">
        <v>219</v>
      </c>
      <c r="I43" s="282" t="s">
        <v>235</v>
      </c>
      <c r="J43" s="282" t="s">
        <v>219</v>
      </c>
      <c r="K43" s="282" t="s">
        <v>235</v>
      </c>
    </row>
    <row r="44" spans="1:11" x14ac:dyDescent="0.2">
      <c r="A44" s="283">
        <v>2010</v>
      </c>
      <c r="B44" s="283">
        <v>0</v>
      </c>
      <c r="C44" s="284">
        <v>0</v>
      </c>
      <c r="D44" s="283">
        <v>0</v>
      </c>
      <c r="E44" s="284">
        <v>0</v>
      </c>
      <c r="F44" s="286">
        <f>'Pengolahan Thermal'!H6</f>
        <v>0</v>
      </c>
      <c r="G44" s="284">
        <v>0</v>
      </c>
      <c r="H44" s="285">
        <f>'REKAP PENURUNAN EMISI'!F5+'REKAP PENURUNAN EMISI'!G5</f>
        <v>49.7</v>
      </c>
      <c r="I44" s="284">
        <v>2750000</v>
      </c>
      <c r="J44" s="281">
        <f>B44+D44+F44+H44</f>
        <v>49.7</v>
      </c>
      <c r="K44" s="287">
        <f>C44+E44+G44+I44</f>
        <v>2750000</v>
      </c>
    </row>
    <row r="45" spans="1:11" x14ac:dyDescent="0.2">
      <c r="A45" s="283">
        <v>2011</v>
      </c>
      <c r="B45" s="283">
        <v>0</v>
      </c>
      <c r="C45" s="284">
        <v>0</v>
      </c>
      <c r="D45" s="283">
        <v>0</v>
      </c>
      <c r="E45" s="284">
        <v>0</v>
      </c>
      <c r="F45" s="286">
        <f>'Pengolahan Thermal'!H7</f>
        <v>0</v>
      </c>
      <c r="G45" s="284">
        <v>0</v>
      </c>
      <c r="H45" s="285">
        <f>'REKAP PENURUNAN EMISI'!F6+'REKAP PENURUNAN EMISI'!G6</f>
        <v>71.209355754585246</v>
      </c>
      <c r="I45" s="284">
        <v>3850000</v>
      </c>
      <c r="J45" s="281">
        <f t="shared" ref="J45:K64" si="14">B45+D45+F45+H45</f>
        <v>71.209355754585246</v>
      </c>
      <c r="K45" s="287">
        <f t="shared" si="14"/>
        <v>3850000</v>
      </c>
    </row>
    <row r="46" spans="1:11" x14ac:dyDescent="0.2">
      <c r="A46" s="283">
        <v>2012</v>
      </c>
      <c r="B46" s="283">
        <v>0</v>
      </c>
      <c r="C46" s="284">
        <v>0</v>
      </c>
      <c r="D46" s="283">
        <v>0</v>
      </c>
      <c r="E46" s="284">
        <v>0</v>
      </c>
      <c r="F46" s="286">
        <f>'Pengolahan Thermal'!H8</f>
        <v>0</v>
      </c>
      <c r="G46" s="284">
        <v>0</v>
      </c>
      <c r="H46" s="285">
        <f>'REKAP PENURUNAN EMISI'!F7+'REKAP PENURUNAN EMISI'!G7</f>
        <v>419.48300986286449</v>
      </c>
      <c r="I46" s="284">
        <v>2750000</v>
      </c>
      <c r="J46" s="281">
        <f t="shared" si="14"/>
        <v>419.48300986286449</v>
      </c>
      <c r="K46" s="287">
        <f t="shared" si="14"/>
        <v>2750000</v>
      </c>
    </row>
    <row r="47" spans="1:11" x14ac:dyDescent="0.2">
      <c r="A47" s="283">
        <v>2013</v>
      </c>
      <c r="B47" s="283">
        <v>0</v>
      </c>
      <c r="C47" s="284">
        <v>0</v>
      </c>
      <c r="D47" s="283">
        <v>0</v>
      </c>
      <c r="E47" s="284">
        <v>0</v>
      </c>
      <c r="F47" s="286">
        <f>'Pengolahan Thermal'!H9</f>
        <v>0</v>
      </c>
      <c r="G47" s="284">
        <v>0</v>
      </c>
      <c r="H47" s="285">
        <f>'REKAP PENURUNAN EMISI'!F8+'REKAP PENURUNAN EMISI'!G8</f>
        <v>567.1384974087191</v>
      </c>
      <c r="I47" s="284">
        <v>3300000</v>
      </c>
      <c r="J47" s="281">
        <f t="shared" si="14"/>
        <v>567.1384974087191</v>
      </c>
      <c r="K47" s="287">
        <f t="shared" si="14"/>
        <v>3300000</v>
      </c>
    </row>
    <row r="48" spans="1:11" x14ac:dyDescent="0.2">
      <c r="A48" s="283">
        <v>2014</v>
      </c>
      <c r="B48" s="283">
        <v>0</v>
      </c>
      <c r="C48" s="284">
        <v>0</v>
      </c>
      <c r="D48" s="283">
        <v>0</v>
      </c>
      <c r="E48" s="284">
        <v>0</v>
      </c>
      <c r="F48" s="286">
        <f>'Pengolahan Thermal'!H10</f>
        <v>0</v>
      </c>
      <c r="G48" s="284">
        <v>0</v>
      </c>
      <c r="H48" s="285">
        <f>'REKAP PENURUNAN EMISI'!F9+'REKAP PENURUNAN EMISI'!G9</f>
        <v>754.38749706215287</v>
      </c>
      <c r="I48" s="284">
        <v>3850000</v>
      </c>
      <c r="J48" s="281">
        <f t="shared" si="14"/>
        <v>754.38749706215287</v>
      </c>
      <c r="K48" s="287">
        <f t="shared" si="14"/>
        <v>3850000</v>
      </c>
    </row>
    <row r="49" spans="1:11" x14ac:dyDescent="0.2">
      <c r="A49" s="283">
        <v>2015</v>
      </c>
      <c r="B49" s="283">
        <v>0</v>
      </c>
      <c r="C49" s="284">
        <v>0</v>
      </c>
      <c r="D49" s="283">
        <v>0</v>
      </c>
      <c r="E49" s="284">
        <v>0</v>
      </c>
      <c r="F49" s="286">
        <f>'Pengolahan Thermal'!H11</f>
        <v>0</v>
      </c>
      <c r="G49" s="284">
        <v>0</v>
      </c>
      <c r="H49" s="285">
        <f>'REKAP PENURUNAN EMISI'!F10+'REKAP PENURUNAN EMISI'!G10</f>
        <v>778.57700653099812</v>
      </c>
      <c r="I49" s="284">
        <v>6050000</v>
      </c>
      <c r="J49" s="281">
        <f t="shared" si="14"/>
        <v>778.57700653099812</v>
      </c>
      <c r="K49" s="287">
        <f t="shared" si="14"/>
        <v>6050000</v>
      </c>
    </row>
    <row r="50" spans="1:11" x14ac:dyDescent="0.2">
      <c r="A50" s="283">
        <v>2016</v>
      </c>
      <c r="B50" s="283">
        <v>0</v>
      </c>
      <c r="C50" s="284">
        <v>0</v>
      </c>
      <c r="D50" s="283">
        <v>0</v>
      </c>
      <c r="E50" s="284">
        <v>0</v>
      </c>
      <c r="F50" s="286">
        <f>'Pengolahan Thermal'!H12</f>
        <v>0</v>
      </c>
      <c r="G50" s="284">
        <v>0</v>
      </c>
      <c r="H50" s="285">
        <f>'REKAP PENURUNAN EMISI'!F11+'REKAP PENURUNAN EMISI'!G11</f>
        <v>910.69448704790886</v>
      </c>
      <c r="I50" s="284">
        <v>13200000</v>
      </c>
      <c r="J50" s="281">
        <f t="shared" si="14"/>
        <v>910.69448704790886</v>
      </c>
      <c r="K50" s="287">
        <f t="shared" si="14"/>
        <v>13200000</v>
      </c>
    </row>
    <row r="51" spans="1:11" x14ac:dyDescent="0.2">
      <c r="A51" s="283">
        <v>2017</v>
      </c>
      <c r="B51" s="283">
        <v>0</v>
      </c>
      <c r="C51" s="284">
        <v>0</v>
      </c>
      <c r="D51" s="283">
        <v>0</v>
      </c>
      <c r="E51" s="284">
        <v>2250000</v>
      </c>
      <c r="F51" s="286">
        <f>'Pengolahan Thermal'!H13</f>
        <v>0</v>
      </c>
      <c r="G51" s="284">
        <v>0</v>
      </c>
      <c r="H51" s="285">
        <f>'REKAP PENURUNAN EMISI'!F12+'REKAP PENURUNAN EMISI'!G12</f>
        <v>1937.3965982233942</v>
      </c>
      <c r="I51" s="284">
        <v>13200000</v>
      </c>
      <c r="J51" s="281">
        <f t="shared" si="14"/>
        <v>1937.3965982233942</v>
      </c>
      <c r="K51" s="287">
        <f t="shared" si="14"/>
        <v>15450000</v>
      </c>
    </row>
    <row r="52" spans="1:11" x14ac:dyDescent="0.2">
      <c r="A52" s="283">
        <v>2018</v>
      </c>
      <c r="B52" s="283">
        <v>0</v>
      </c>
      <c r="C52" s="284">
        <v>0</v>
      </c>
      <c r="D52" s="281">
        <f>'REKAP PENURUNAN EMISI'!D13</f>
        <v>73020.068816233717</v>
      </c>
      <c r="E52" s="284">
        <v>0</v>
      </c>
      <c r="F52" s="286">
        <f>'Pengolahan Thermal'!H14</f>
        <v>0</v>
      </c>
      <c r="G52" s="284">
        <v>0</v>
      </c>
      <c r="H52" s="285">
        <f>'REKAP PENURUNAN EMISI'!F13+'REKAP PENURUNAN EMISI'!G13</f>
        <v>2857.6640991559666</v>
      </c>
      <c r="I52" s="284">
        <v>13200000</v>
      </c>
      <c r="J52" s="281">
        <f t="shared" si="14"/>
        <v>75877.732915389686</v>
      </c>
      <c r="K52" s="287">
        <f t="shared" si="14"/>
        <v>13200000</v>
      </c>
    </row>
    <row r="53" spans="1:11" x14ac:dyDescent="0.2">
      <c r="A53" s="283">
        <v>2019</v>
      </c>
      <c r="B53" s="283">
        <v>0</v>
      </c>
      <c r="C53" s="284">
        <v>0</v>
      </c>
      <c r="D53" s="281">
        <f>'REKAP PENURUNAN EMISI'!D14</f>
        <v>88613.577767936571</v>
      </c>
      <c r="E53" s="284">
        <v>0</v>
      </c>
      <c r="F53" s="286">
        <f>'Pengolahan Thermal'!H15</f>
        <v>0</v>
      </c>
      <c r="G53" s="284">
        <v>0</v>
      </c>
      <c r="H53" s="285">
        <f>'REKAP PENURUNAN EMISI'!F14+'REKAP PENURUNAN EMISI'!G14</f>
        <v>3682.5629154874796</v>
      </c>
      <c r="I53" s="284">
        <v>15000000</v>
      </c>
      <c r="J53" s="281">
        <f t="shared" si="14"/>
        <v>92296.140683424048</v>
      </c>
      <c r="K53" s="287">
        <f t="shared" si="14"/>
        <v>15000000</v>
      </c>
    </row>
    <row r="54" spans="1:11" x14ac:dyDescent="0.2">
      <c r="A54" s="283">
        <v>2020</v>
      </c>
      <c r="B54" s="283">
        <v>0</v>
      </c>
      <c r="C54" s="284">
        <v>0</v>
      </c>
      <c r="D54" s="281">
        <f>'REKAP PENURUNAN EMISI'!D15</f>
        <v>91729.627293792757</v>
      </c>
      <c r="E54" s="284">
        <v>0</v>
      </c>
      <c r="F54" s="286">
        <f>'REKAP PENURUNAN EMISI'!E15</f>
        <v>806627.92917476688</v>
      </c>
      <c r="G54" s="287">
        <v>4300000000</v>
      </c>
      <c r="H54" s="285">
        <f>'REKAP PENURUNAN EMISI'!F15+'REKAP PENURUNAN EMISI'!G15</f>
        <v>4356.5812207360068</v>
      </c>
      <c r="I54" s="284">
        <v>2142960</v>
      </c>
      <c r="J54" s="281">
        <f t="shared" si="14"/>
        <v>902714.13768929569</v>
      </c>
      <c r="K54" s="287">
        <f>C54+E54+G54+I54</f>
        <v>4302142960</v>
      </c>
    </row>
    <row r="55" spans="1:11" x14ac:dyDescent="0.2">
      <c r="A55" s="283">
        <v>2021</v>
      </c>
      <c r="B55" s="283">
        <f>'REKAP PENURUNAN EMISI'!C16</f>
        <v>2340</v>
      </c>
      <c r="C55" s="284">
        <v>35000</v>
      </c>
      <c r="D55" s="281">
        <f>'REKAP PENURUNAN EMISI'!D16</f>
        <v>94396.223961462892</v>
      </c>
      <c r="E55" s="284">
        <v>0</v>
      </c>
      <c r="F55" s="286">
        <f>'REKAP PENURUNAN EMISI'!E16</f>
        <v>1713251.6367693958</v>
      </c>
      <c r="G55" s="287">
        <v>3950000000</v>
      </c>
      <c r="H55" s="285">
        <f>'REKAP PENURUNAN EMISI'!F16+'REKAP PENURUNAN EMISI'!G16</f>
        <v>5490.8514010868967</v>
      </c>
      <c r="I55" s="284">
        <v>2401965</v>
      </c>
      <c r="J55" s="281">
        <f t="shared" si="14"/>
        <v>1815478.7121319456</v>
      </c>
      <c r="K55" s="287">
        <f>C55+E55+G55+I55</f>
        <v>3952436965</v>
      </c>
    </row>
    <row r="56" spans="1:11" x14ac:dyDescent="0.2">
      <c r="A56" s="283">
        <v>2022</v>
      </c>
      <c r="B56" s="283">
        <f>'REKAP PENURUNAN EMISI'!C17</f>
        <v>2340</v>
      </c>
      <c r="C56" s="284">
        <v>0</v>
      </c>
      <c r="D56" s="281">
        <f>'REKAP PENURUNAN EMISI'!D17</f>
        <v>96697.808083120981</v>
      </c>
      <c r="E56" s="284">
        <v>0</v>
      </c>
      <c r="F56" s="286">
        <f>'REKAP PENURUNAN EMISI'!E17</f>
        <v>1713251.6367693958</v>
      </c>
      <c r="G56" s="287">
        <v>0</v>
      </c>
      <c r="H56" s="285">
        <f>'REKAP PENURUNAN EMISI'!F17+'REKAP PENURUNAN EMISI'!G17</f>
        <v>6647.3474494702732</v>
      </c>
      <c r="I56" s="284">
        <v>1993980</v>
      </c>
      <c r="J56" s="281">
        <f t="shared" si="14"/>
        <v>1818936.7923019871</v>
      </c>
      <c r="K56" s="287">
        <f>C56+E56+G56+I56</f>
        <v>1993980</v>
      </c>
    </row>
    <row r="57" spans="1:11" x14ac:dyDescent="0.2">
      <c r="A57" s="283">
        <v>2023</v>
      </c>
      <c r="B57" s="283">
        <f>'REKAP PENURUNAN EMISI'!C18</f>
        <v>2340</v>
      </c>
      <c r="C57" s="284">
        <v>0</v>
      </c>
      <c r="D57" s="281">
        <f>'REKAP PENURUNAN EMISI'!D18</f>
        <v>98700.030781524867</v>
      </c>
      <c r="E57" s="284">
        <v>0</v>
      </c>
      <c r="F57" s="286">
        <f>'REKAP PENURUNAN EMISI'!E18</f>
        <v>2240841.5122112008</v>
      </c>
      <c r="G57" s="287">
        <v>2600000000</v>
      </c>
      <c r="H57" s="285">
        <f>'REKAP PENURUNAN EMISI'!F18+'REKAP PENURUNAN EMISI'!G18</f>
        <v>7785.632513860065</v>
      </c>
      <c r="I57" s="284">
        <v>2130000</v>
      </c>
      <c r="J57" s="281">
        <f t="shared" si="14"/>
        <v>2349667.1755065857</v>
      </c>
      <c r="K57" s="287">
        <f>C57+E57+G57+I57</f>
        <v>2602130000</v>
      </c>
    </row>
    <row r="58" spans="1:11" x14ac:dyDescent="0.2">
      <c r="A58" s="283">
        <v>2024</v>
      </c>
      <c r="B58" s="283">
        <f>'REKAP PENURUNAN EMISI'!C19</f>
        <v>2340</v>
      </c>
      <c r="C58" s="284">
        <v>0</v>
      </c>
      <c r="D58" s="281">
        <f>'REKAP PENURUNAN EMISI'!D19</f>
        <v>100454.56518847102</v>
      </c>
      <c r="E58" s="284">
        <v>0</v>
      </c>
      <c r="F58" s="286">
        <f>'REKAP PENURUNAN EMISI'!E19</f>
        <v>2240841.5122112008</v>
      </c>
      <c r="G58" s="287">
        <v>0</v>
      </c>
      <c r="H58" s="285">
        <f>'REKAP PENURUNAN EMISI'!F19+'REKAP PENURUNAN EMISI'!G19</f>
        <v>8948.8512261737924</v>
      </c>
      <c r="I58" s="284">
        <v>1200000</v>
      </c>
      <c r="J58" s="281">
        <f t="shared" si="14"/>
        <v>2352584.9286258458</v>
      </c>
      <c r="K58" s="287">
        <f t="shared" si="14"/>
        <v>1200000</v>
      </c>
    </row>
    <row r="59" spans="1:11" x14ac:dyDescent="0.2">
      <c r="A59" s="283">
        <v>2025</v>
      </c>
      <c r="B59" s="283">
        <f>'REKAP PENURUNAN EMISI'!C20</f>
        <v>2340</v>
      </c>
      <c r="C59" s="284">
        <v>0</v>
      </c>
      <c r="D59" s="281">
        <f>'REKAP PENURUNAN EMISI'!D20</f>
        <v>80345.36997621067</v>
      </c>
      <c r="E59" s="284">
        <v>0</v>
      </c>
      <c r="F59" s="286">
        <f>'REKAP PENURUNAN EMISI'!E20</f>
        <v>3332715.8838690827</v>
      </c>
      <c r="G59" s="287">
        <f>G57*2</f>
        <v>5200000000</v>
      </c>
      <c r="H59" s="285">
        <f>'REKAP PENURUNAN EMISI'!F20+'REKAP PENURUNAN EMISI'!G20</f>
        <v>10020.563787966454</v>
      </c>
      <c r="I59" s="284">
        <v>650995</v>
      </c>
      <c r="J59" s="281">
        <f t="shared" si="14"/>
        <v>3425421.81763326</v>
      </c>
      <c r="K59" s="287">
        <f t="shared" si="14"/>
        <v>5200650995</v>
      </c>
    </row>
    <row r="60" spans="1:11" x14ac:dyDescent="0.2">
      <c r="A60" s="283">
        <v>2026</v>
      </c>
      <c r="B60" s="283">
        <f>'REKAP PENURUNAN EMISI'!C21</f>
        <v>2340</v>
      </c>
      <c r="C60" s="284">
        <v>0</v>
      </c>
      <c r="D60" s="281">
        <f>'REKAP PENURUNAN EMISI'!D21</f>
        <v>65242.609619896153</v>
      </c>
      <c r="E60" s="284">
        <v>0</v>
      </c>
      <c r="F60" s="286">
        <f>'REKAP PENURUNAN EMISI'!E21</f>
        <v>3332715.8838690827</v>
      </c>
      <c r="G60" s="287">
        <v>0</v>
      </c>
      <c r="H60" s="285">
        <f>'REKAP PENURUNAN EMISI'!F21+'REKAP PENURUNAN EMISI'!G21</f>
        <v>11021.068703803212</v>
      </c>
      <c r="I60" s="284">
        <v>650995</v>
      </c>
      <c r="J60" s="281">
        <f t="shared" si="14"/>
        <v>3411319.5621927818</v>
      </c>
      <c r="K60" s="287">
        <f t="shared" si="14"/>
        <v>650995</v>
      </c>
    </row>
    <row r="61" spans="1:11" x14ac:dyDescent="0.2">
      <c r="A61" s="283">
        <v>2027</v>
      </c>
      <c r="B61" s="283">
        <f>'REKAP PENURUNAN EMISI'!C22</f>
        <v>2340</v>
      </c>
      <c r="C61" s="284">
        <v>0</v>
      </c>
      <c r="D61" s="281">
        <f>'REKAP PENURUNAN EMISI'!D22</f>
        <v>53735.399882129605</v>
      </c>
      <c r="E61" s="284">
        <v>0</v>
      </c>
      <c r="F61" s="286">
        <f>'REKAP PENURUNAN EMISI'!E22</f>
        <v>3332715.8838690827</v>
      </c>
      <c r="G61" s="287">
        <v>0</v>
      </c>
      <c r="H61" s="285">
        <f>'REKAP PENURUNAN EMISI'!F22+'REKAP PENURUNAN EMISI'!G22</f>
        <v>11965.34627480949</v>
      </c>
      <c r="I61" s="284">
        <v>650995</v>
      </c>
      <c r="J61" s="281">
        <f t="shared" si="14"/>
        <v>3400756.6300260215</v>
      </c>
      <c r="K61" s="287">
        <f t="shared" si="14"/>
        <v>650995</v>
      </c>
    </row>
    <row r="62" spans="1:11" x14ac:dyDescent="0.2">
      <c r="A62" s="283">
        <v>2028</v>
      </c>
      <c r="B62" s="283">
        <f>'REKAP PENURUNAN EMISI'!C23</f>
        <v>2340</v>
      </c>
      <c r="C62" s="284">
        <v>0</v>
      </c>
      <c r="D62" s="281">
        <f>'REKAP PENURUNAN EMISI'!D23</f>
        <v>44841.018758243343</v>
      </c>
      <c r="E62" s="284">
        <v>0</v>
      </c>
      <c r="F62" s="286">
        <f>'REKAP PENURUNAN EMISI'!E23</f>
        <v>3332715.8838690827</v>
      </c>
      <c r="G62" s="287">
        <v>0</v>
      </c>
      <c r="H62" s="285">
        <f>'REKAP PENURUNAN EMISI'!F23+'REKAP PENURUNAN EMISI'!G23</f>
        <v>12864.611370159668</v>
      </c>
      <c r="I62" s="284">
        <v>650995</v>
      </c>
      <c r="J62" s="281">
        <f t="shared" si="14"/>
        <v>3392761.5139974859</v>
      </c>
      <c r="K62" s="287">
        <f t="shared" si="14"/>
        <v>650995</v>
      </c>
    </row>
    <row r="63" spans="1:11" x14ac:dyDescent="0.2">
      <c r="A63" s="283">
        <v>2029</v>
      </c>
      <c r="B63" s="283">
        <f>'REKAP PENURUNAN EMISI'!C24</f>
        <v>2340</v>
      </c>
      <c r="C63" s="284">
        <v>0</v>
      </c>
      <c r="D63" s="281">
        <f>'REKAP PENURUNAN EMISI'!D24</f>
        <v>37869.514231789879</v>
      </c>
      <c r="E63" s="284">
        <v>0</v>
      </c>
      <c r="F63" s="286">
        <f>'REKAP PENURUNAN EMISI'!E24</f>
        <v>3332715.8838690827</v>
      </c>
      <c r="G63" s="287">
        <v>0</v>
      </c>
      <c r="H63" s="285">
        <f>'REKAP PENURUNAN EMISI'!F24+'REKAP PENURUNAN EMISI'!G24</f>
        <v>13727.384572032923</v>
      </c>
      <c r="I63" s="284">
        <v>650995</v>
      </c>
      <c r="J63" s="281">
        <f t="shared" si="14"/>
        <v>3386652.7826729054</v>
      </c>
      <c r="K63" s="287">
        <f t="shared" si="14"/>
        <v>650995</v>
      </c>
    </row>
    <row r="64" spans="1:11" x14ac:dyDescent="0.2">
      <c r="A64" s="283">
        <v>2030</v>
      </c>
      <c r="B64" s="283">
        <f>'REKAP PENURUNAN EMISI'!C25</f>
        <v>2340</v>
      </c>
      <c r="C64" s="284">
        <v>0</v>
      </c>
      <c r="D64" s="281">
        <f>'REKAP PENURUNAN EMISI'!D25</f>
        <v>32332.047556765723</v>
      </c>
      <c r="E64" s="284">
        <v>0</v>
      </c>
      <c r="F64" s="286">
        <f>'REKAP PENURUNAN EMISI'!E25</f>
        <v>3332715.8838690827</v>
      </c>
      <c r="G64" s="287">
        <v>0</v>
      </c>
      <c r="H64" s="285">
        <f>'REKAP PENURUNAN EMISI'!F25+'REKAP PENURUNAN EMISI'!G25</f>
        <v>14560.235816025794</v>
      </c>
      <c r="I64" s="284">
        <v>650995</v>
      </c>
      <c r="J64" s="281">
        <f t="shared" si="14"/>
        <v>3381948.1672418742</v>
      </c>
      <c r="K64" s="287">
        <f t="shared" si="14"/>
        <v>650995</v>
      </c>
    </row>
    <row r="65" spans="1:11" ht="15" x14ac:dyDescent="0.2">
      <c r="A65" s="283" t="s">
        <v>236</v>
      </c>
      <c r="B65" s="283"/>
      <c r="C65" s="284">
        <f>SUM(C44:C64)</f>
        <v>35000</v>
      </c>
      <c r="D65" s="283"/>
      <c r="E65" s="284">
        <f>SUM(E44:E64)</f>
        <v>2250000</v>
      </c>
      <c r="F65" s="283"/>
      <c r="G65" s="288">
        <f>SUM(G44:G64)</f>
        <v>16050000000</v>
      </c>
      <c r="H65" s="283"/>
      <c r="I65" s="284">
        <f>SUM(I44:I64)</f>
        <v>90924875</v>
      </c>
      <c r="J65" s="283"/>
      <c r="K65" s="288">
        <f>SUM(K44:K64)</f>
        <v>16143209875</v>
      </c>
    </row>
    <row r="66" spans="1:11" ht="96" x14ac:dyDescent="0.2">
      <c r="A66" s="283" t="s">
        <v>237</v>
      </c>
      <c r="B66" s="285"/>
      <c r="C66" s="285">
        <f>C65/B64</f>
        <v>14.957264957264957</v>
      </c>
      <c r="D66" s="285"/>
      <c r="E66" s="285">
        <f>E65/D64</f>
        <v>69.590396217550122</v>
      </c>
      <c r="F66" s="285"/>
      <c r="G66" s="288">
        <f>G65/F64</f>
        <v>4815.8920709937374</v>
      </c>
      <c r="H66" s="285"/>
      <c r="I66" s="285">
        <f>I65/H64</f>
        <v>6244.7391751665928</v>
      </c>
      <c r="J66" s="285"/>
      <c r="K66" s="288">
        <f>K65/J64</f>
        <v>4773.3463307823222</v>
      </c>
    </row>
  </sheetData>
  <mergeCells count="46">
    <mergeCell ref="J42:K42"/>
    <mergeCell ref="A19:A26"/>
    <mergeCell ref="B19:B26"/>
    <mergeCell ref="D19:D24"/>
    <mergeCell ref="Q19:Q24"/>
    <mergeCell ref="A42:A43"/>
    <mergeCell ref="B42:C42"/>
    <mergeCell ref="D42:E42"/>
    <mergeCell ref="F42:G42"/>
    <mergeCell ref="H42:I42"/>
    <mergeCell ref="A27:A29"/>
    <mergeCell ref="A15:A18"/>
    <mergeCell ref="D27:D29"/>
    <mergeCell ref="Q3:Q4"/>
    <mergeCell ref="Q5:Q7"/>
    <mergeCell ref="Q8:Q14"/>
    <mergeCell ref="Q15:Q18"/>
    <mergeCell ref="Q27:Q29"/>
    <mergeCell ref="D3:D4"/>
    <mergeCell ref="C3:C4"/>
    <mergeCell ref="B3:B4"/>
    <mergeCell ref="A3:A4"/>
    <mergeCell ref="A5:A7"/>
    <mergeCell ref="A8:A14"/>
    <mergeCell ref="E3:O3"/>
    <mergeCell ref="D8:D14"/>
    <mergeCell ref="D5:D7"/>
    <mergeCell ref="D15:D18"/>
    <mergeCell ref="B27:B29"/>
    <mergeCell ref="B5:B7"/>
    <mergeCell ref="B8:B14"/>
    <mergeCell ref="B15:B18"/>
    <mergeCell ref="R27:R29"/>
    <mergeCell ref="T27:T29"/>
    <mergeCell ref="U3:AD3"/>
    <mergeCell ref="T3:T4"/>
    <mergeCell ref="T5:T7"/>
    <mergeCell ref="T8:T14"/>
    <mergeCell ref="T15:T18"/>
    <mergeCell ref="R15:R18"/>
    <mergeCell ref="S3:S4"/>
    <mergeCell ref="R3:R4"/>
    <mergeCell ref="R5:R7"/>
    <mergeCell ref="R8:R14"/>
    <mergeCell ref="T19:T26"/>
    <mergeCell ref="R19:R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zoomScaleNormal="100" workbookViewId="0">
      <selection activeCell="C16" sqref="C16"/>
    </sheetView>
  </sheetViews>
  <sheetFormatPr defaultRowHeight="15" x14ac:dyDescent="0.25"/>
  <cols>
    <col min="2" max="2" width="13.7109375" customWidth="1"/>
    <col min="3" max="3" width="19.140625" customWidth="1"/>
    <col min="4" max="4" width="13.42578125" customWidth="1"/>
    <col min="5" max="5" width="14.42578125" customWidth="1"/>
    <col min="6" max="7" width="14.5703125" customWidth="1"/>
    <col min="8" max="8" width="14.42578125" style="19" customWidth="1"/>
    <col min="9" max="9" width="15.85546875" style="19" customWidth="1"/>
    <col min="10" max="10" width="14" customWidth="1"/>
    <col min="11" max="11" width="14.5703125" customWidth="1"/>
    <col min="13" max="13" width="13.7109375" customWidth="1"/>
    <col min="14" max="14" width="11.85546875" style="12" customWidth="1"/>
  </cols>
  <sheetData>
    <row r="1" spans="1:16" x14ac:dyDescent="0.25">
      <c r="B1" s="4"/>
    </row>
    <row r="2" spans="1:16" ht="21" x14ac:dyDescent="0.35">
      <c r="A2" s="395" t="s">
        <v>4</v>
      </c>
      <c r="B2" s="397" t="s">
        <v>220</v>
      </c>
      <c r="C2" s="394" t="s">
        <v>226</v>
      </c>
      <c r="D2" s="394"/>
      <c r="E2" s="394"/>
      <c r="F2" s="394"/>
      <c r="G2" s="394"/>
      <c r="H2" s="394"/>
      <c r="I2" s="394"/>
      <c r="J2" s="74" t="s">
        <v>40</v>
      </c>
      <c r="N2"/>
      <c r="P2" s="12"/>
    </row>
    <row r="3" spans="1:16" ht="64.5" customHeight="1" x14ac:dyDescent="0.25">
      <c r="A3" s="395"/>
      <c r="B3" s="398"/>
      <c r="C3" s="391" t="s">
        <v>221</v>
      </c>
      <c r="D3" s="391" t="s">
        <v>222</v>
      </c>
      <c r="E3" s="391" t="s">
        <v>223</v>
      </c>
      <c r="F3" s="391" t="s">
        <v>31</v>
      </c>
      <c r="G3" s="391"/>
      <c r="H3" s="396" t="s">
        <v>43</v>
      </c>
      <c r="I3" s="396" t="s">
        <v>44</v>
      </c>
      <c r="J3" s="391" t="s">
        <v>238</v>
      </c>
      <c r="N3"/>
      <c r="P3" s="18" t="s">
        <v>23</v>
      </c>
    </row>
    <row r="4" spans="1:16" ht="72.75" customHeight="1" x14ac:dyDescent="0.25">
      <c r="A4" s="395"/>
      <c r="B4" s="399"/>
      <c r="C4" s="391"/>
      <c r="D4" s="391"/>
      <c r="E4" s="391"/>
      <c r="F4" s="5" t="s">
        <v>224</v>
      </c>
      <c r="G4" s="5" t="s">
        <v>225</v>
      </c>
      <c r="H4" s="396"/>
      <c r="I4" s="396"/>
      <c r="J4" s="391"/>
      <c r="N4"/>
      <c r="P4" s="18"/>
    </row>
    <row r="5" spans="1:16" x14ac:dyDescent="0.25">
      <c r="A5" s="1">
        <v>2010</v>
      </c>
      <c r="B5" s="2">
        <v>4323800</v>
      </c>
      <c r="C5" s="75" t="str">
        <f>'IPAL Aerob'!C6</f>
        <v>-</v>
      </c>
      <c r="D5" s="170">
        <f>'Komposting di TPA'!G6</f>
        <v>0</v>
      </c>
      <c r="E5" s="170">
        <f>'Pengolahan Thermal'!H6</f>
        <v>0</v>
      </c>
      <c r="F5" s="170">
        <f>'3R'!L5</f>
        <v>0</v>
      </c>
      <c r="G5" s="170">
        <v>49.7</v>
      </c>
      <c r="H5" s="170">
        <f>SUM(C5:G5)</f>
        <v>49.7</v>
      </c>
      <c r="I5" s="278">
        <f>H5/1000</f>
        <v>4.9700000000000001E-2</v>
      </c>
      <c r="J5" s="170">
        <f t="shared" ref="J5:J13" si="0">B5-H5</f>
        <v>4323750.3</v>
      </c>
      <c r="M5" s="15"/>
      <c r="N5" s="15"/>
      <c r="O5" s="16"/>
      <c r="P5" s="13">
        <v>557.21</v>
      </c>
    </row>
    <row r="6" spans="1:16" x14ac:dyDescent="0.25">
      <c r="A6" s="1">
        <v>2011</v>
      </c>
      <c r="B6" s="2">
        <v>5573500</v>
      </c>
      <c r="C6" s="75" t="str">
        <f>'IPAL Aerob'!C7</f>
        <v>-</v>
      </c>
      <c r="D6" s="170">
        <f>'Komposting di TPA'!G7</f>
        <v>0</v>
      </c>
      <c r="E6" s="170">
        <f>'Pengolahan Thermal'!H7</f>
        <v>0</v>
      </c>
      <c r="F6" s="170">
        <f>'3R'!L6</f>
        <v>21.525589004598441</v>
      </c>
      <c r="G6" s="170">
        <f>'3R'!I6</f>
        <v>49.683766749986802</v>
      </c>
      <c r="H6" s="170">
        <f>SUM(C6:G6)</f>
        <v>71.209355754585246</v>
      </c>
      <c r="I6" s="278">
        <f t="shared" ref="I6:I25" si="1">H6/1000</f>
        <v>7.1209355754585243E-2</v>
      </c>
      <c r="J6" s="170">
        <f t="shared" si="0"/>
        <v>5573428.7906442452</v>
      </c>
      <c r="M6" s="15"/>
      <c r="N6" s="15"/>
      <c r="O6" s="16"/>
      <c r="P6" s="13">
        <v>554.82000000000005</v>
      </c>
    </row>
    <row r="7" spans="1:16" x14ac:dyDescent="0.25">
      <c r="A7" s="1">
        <v>2012</v>
      </c>
      <c r="B7" s="2">
        <v>6525000</v>
      </c>
      <c r="C7" s="75" t="str">
        <f>'IPAL Aerob'!C8</f>
        <v>-</v>
      </c>
      <c r="D7" s="170">
        <f>'Komposting di TPA'!G8</f>
        <v>0</v>
      </c>
      <c r="E7" s="170">
        <f>'Pengolahan Thermal'!H8</f>
        <v>0</v>
      </c>
      <c r="F7" s="170">
        <f>'3R'!L7</f>
        <v>70.623668533452872</v>
      </c>
      <c r="G7" s="170">
        <f>'3R'!I7</f>
        <v>348.85934132941162</v>
      </c>
      <c r="H7" s="170">
        <f t="shared" ref="H7:H25" si="2">SUM(C7:G7)</f>
        <v>419.48300986286449</v>
      </c>
      <c r="I7" s="278">
        <f t="shared" si="1"/>
        <v>0.41948300986286446</v>
      </c>
      <c r="J7" s="170">
        <f t="shared" si="0"/>
        <v>6524580.5169901373</v>
      </c>
      <c r="M7" s="15"/>
      <c r="N7" s="15"/>
      <c r="O7" s="16"/>
      <c r="P7" s="13">
        <v>552.29</v>
      </c>
    </row>
    <row r="8" spans="1:16" x14ac:dyDescent="0.25">
      <c r="A8" s="1">
        <v>2013</v>
      </c>
      <c r="B8" s="2">
        <v>7271800</v>
      </c>
      <c r="C8" s="75" t="str">
        <f>'IPAL Aerob'!C9</f>
        <v>-</v>
      </c>
      <c r="D8" s="170">
        <f>'Komposting di TPA'!G9</f>
        <v>0</v>
      </c>
      <c r="E8" s="170">
        <f>'Pengolahan Thermal'!H9</f>
        <v>0</v>
      </c>
      <c r="F8" s="170">
        <f>'3R'!L8</f>
        <v>135.42682166632</v>
      </c>
      <c r="G8" s="170">
        <f>'3R'!I8</f>
        <v>431.71167574239911</v>
      </c>
      <c r="H8" s="170">
        <f t="shared" si="2"/>
        <v>567.1384974087191</v>
      </c>
      <c r="I8" s="278">
        <f t="shared" si="1"/>
        <v>0.56713849740871913</v>
      </c>
      <c r="J8" s="170">
        <f t="shared" si="0"/>
        <v>7271232.8615025915</v>
      </c>
      <c r="M8" s="15"/>
      <c r="N8" s="15"/>
      <c r="O8" s="16"/>
      <c r="P8" s="13">
        <v>549.6</v>
      </c>
    </row>
    <row r="9" spans="1:16" x14ac:dyDescent="0.25">
      <c r="A9" s="1">
        <v>2014</v>
      </c>
      <c r="B9" s="2">
        <v>7877200</v>
      </c>
      <c r="C9" s="75" t="str">
        <f>'IPAL Aerob'!C10</f>
        <v>-</v>
      </c>
      <c r="D9" s="170">
        <f>'Komposting di TPA'!G10</f>
        <v>0</v>
      </c>
      <c r="E9" s="170">
        <f>'Pengolahan Thermal'!H10</f>
        <v>0</v>
      </c>
      <c r="F9" s="170">
        <f>'3R'!L9</f>
        <v>218.44169957664121</v>
      </c>
      <c r="G9" s="170">
        <f>'3R'!I9</f>
        <v>535.94579748551166</v>
      </c>
      <c r="H9" s="170">
        <f t="shared" si="2"/>
        <v>754.38749706215287</v>
      </c>
      <c r="I9" s="278">
        <f t="shared" si="1"/>
        <v>0.75438749706215291</v>
      </c>
      <c r="J9" s="170">
        <f t="shared" si="0"/>
        <v>7876445.6125029381</v>
      </c>
      <c r="M9" s="15"/>
      <c r="N9" s="15"/>
      <c r="O9" s="16"/>
      <c r="P9" s="13">
        <v>546.73</v>
      </c>
    </row>
    <row r="10" spans="1:16" x14ac:dyDescent="0.25">
      <c r="A10" s="1">
        <v>2015</v>
      </c>
      <c r="B10" s="2">
        <v>8384800</v>
      </c>
      <c r="C10" s="75" t="str">
        <f>'IPAL Aerob'!C11</f>
        <v>-</v>
      </c>
      <c r="D10" s="170">
        <f>'Komposting di TPA'!G11</f>
        <v>0</v>
      </c>
      <c r="E10" s="170">
        <f>'Pengolahan Thermal'!H11</f>
        <v>0</v>
      </c>
      <c r="F10" s="170">
        <f>'3R'!L10</f>
        <v>192.775595910368</v>
      </c>
      <c r="G10" s="170">
        <f>'3R'!I10</f>
        <v>585.80141062063012</v>
      </c>
      <c r="H10" s="170">
        <f t="shared" si="2"/>
        <v>778.57700653099812</v>
      </c>
      <c r="I10" s="278">
        <f t="shared" si="1"/>
        <v>0.77857700653099815</v>
      </c>
      <c r="J10" s="170">
        <f t="shared" si="0"/>
        <v>8384021.4229934691</v>
      </c>
      <c r="M10" s="15"/>
      <c r="N10" s="15"/>
      <c r="O10" s="16"/>
      <c r="P10" s="13">
        <v>543.66999999999996</v>
      </c>
    </row>
    <row r="11" spans="1:16" x14ac:dyDescent="0.25">
      <c r="A11" s="1">
        <v>2016</v>
      </c>
      <c r="B11" s="2">
        <v>8824500</v>
      </c>
      <c r="C11" s="75" t="str">
        <f>'IPAL Aerob'!C12</f>
        <v>-</v>
      </c>
      <c r="D11" s="170">
        <f>'Komposting di TPA'!G12</f>
        <v>0</v>
      </c>
      <c r="E11" s="170">
        <f>'Pengolahan Thermal'!H12</f>
        <v>0</v>
      </c>
      <c r="F11" s="170">
        <f>'3R'!L11</f>
        <v>347.04515957405044</v>
      </c>
      <c r="G11" s="170">
        <f>'3R'!I11</f>
        <v>563.64932747385842</v>
      </c>
      <c r="H11" s="170">
        <f t="shared" si="2"/>
        <v>910.69448704790886</v>
      </c>
      <c r="I11" s="278">
        <f t="shared" si="1"/>
        <v>0.9106944870479089</v>
      </c>
      <c r="J11" s="170">
        <f t="shared" si="0"/>
        <v>8823589.3055129517</v>
      </c>
      <c r="M11" s="15"/>
      <c r="N11" s="15"/>
      <c r="O11" s="16"/>
      <c r="P11" s="13">
        <v>540.38</v>
      </c>
    </row>
    <row r="12" spans="1:16" x14ac:dyDescent="0.25">
      <c r="A12" s="1">
        <v>2017</v>
      </c>
      <c r="B12" s="2">
        <v>9216900</v>
      </c>
      <c r="C12" s="75" t="str">
        <f>'IPAL Aerob'!C13</f>
        <v>-</v>
      </c>
      <c r="D12" s="170">
        <v>0</v>
      </c>
      <c r="E12" s="170">
        <f>'Pengolahan Thermal'!H13</f>
        <v>0</v>
      </c>
      <c r="F12" s="170">
        <f>'3R'!L12</f>
        <v>586.51924105340663</v>
      </c>
      <c r="G12" s="170">
        <f>'3R'!I12</f>
        <v>1350.8773571699876</v>
      </c>
      <c r="H12" s="170">
        <f t="shared" si="2"/>
        <v>1937.3965982233942</v>
      </c>
      <c r="I12" s="278">
        <f t="shared" si="1"/>
        <v>1.9373965982233943</v>
      </c>
      <c r="J12" s="170">
        <f t="shared" si="0"/>
        <v>9214962.6034017764</v>
      </c>
      <c r="M12" s="15"/>
      <c r="N12" s="15"/>
      <c r="O12" s="16"/>
      <c r="P12" s="13">
        <v>536.84</v>
      </c>
    </row>
    <row r="13" spans="1:16" x14ac:dyDescent="0.25">
      <c r="A13" s="1">
        <v>2018</v>
      </c>
      <c r="B13" s="2">
        <v>9576500</v>
      </c>
      <c r="C13" s="75" t="str">
        <f>'IPAL Aerob'!C14</f>
        <v>-</v>
      </c>
      <c r="D13" s="170">
        <v>73020.068816233717</v>
      </c>
      <c r="E13" s="170">
        <f>'Pengolahan Thermal'!H14</f>
        <v>0</v>
      </c>
      <c r="F13" s="170">
        <f>'3R'!L13</f>
        <v>901.29068330742666</v>
      </c>
      <c r="G13" s="170">
        <f>'3R'!I13</f>
        <v>1956.3734158485399</v>
      </c>
      <c r="H13" s="170">
        <f t="shared" si="2"/>
        <v>75877.732915389686</v>
      </c>
      <c r="I13" s="278">
        <f t="shared" si="1"/>
        <v>75.877732915389686</v>
      </c>
      <c r="J13" s="170">
        <f t="shared" si="0"/>
        <v>9500622.2670846097</v>
      </c>
      <c r="M13" s="15"/>
      <c r="N13" s="15"/>
      <c r="O13" s="16"/>
      <c r="P13" s="13">
        <v>533.02</v>
      </c>
    </row>
    <row r="14" spans="1:16" x14ac:dyDescent="0.25">
      <c r="A14" s="1">
        <v>2019</v>
      </c>
      <c r="B14" s="2">
        <v>9913500</v>
      </c>
      <c r="C14" s="75" t="str">
        <f>'IPAL Aerob'!C15</f>
        <v>-</v>
      </c>
      <c r="D14" s="170">
        <v>88613.577767936571</v>
      </c>
      <c r="E14" s="170">
        <f>'Pengolahan Thermal'!H15</f>
        <v>0</v>
      </c>
      <c r="F14" s="170">
        <f>'3R'!L14</f>
        <v>1282.7704058685695</v>
      </c>
      <c r="G14" s="170">
        <f>'3R'!I14</f>
        <v>2399.7925096189101</v>
      </c>
      <c r="H14" s="170">
        <f t="shared" si="2"/>
        <v>92296.140683424048</v>
      </c>
      <c r="I14" s="278">
        <f t="shared" si="1"/>
        <v>92.296140683424042</v>
      </c>
      <c r="J14" s="170">
        <f t="shared" ref="J14:J25" si="3">B14-H14</f>
        <v>9821203.8593165763</v>
      </c>
      <c r="M14" s="15" t="s">
        <v>240</v>
      </c>
      <c r="N14" s="15" t="s">
        <v>239</v>
      </c>
      <c r="O14" s="16"/>
      <c r="P14" s="13">
        <v>528.87</v>
      </c>
    </row>
    <row r="15" spans="1:16" x14ac:dyDescent="0.25">
      <c r="A15" s="1">
        <v>2020</v>
      </c>
      <c r="B15" s="2">
        <v>10235100</v>
      </c>
      <c r="C15" s="75" t="s">
        <v>30</v>
      </c>
      <c r="D15" s="170">
        <v>91729.627293792757</v>
      </c>
      <c r="E15" s="170">
        <v>806627.92917476688</v>
      </c>
      <c r="F15" s="170">
        <f>'3R'!L15</f>
        <v>1727.8123588315982</v>
      </c>
      <c r="G15" s="170">
        <f>'3R'!I15</f>
        <v>2628.7688619044084</v>
      </c>
      <c r="H15" s="170">
        <f t="shared" si="2"/>
        <v>902714.13768929569</v>
      </c>
      <c r="I15" s="278">
        <f t="shared" si="1"/>
        <v>902.71413768929574</v>
      </c>
      <c r="J15" s="170">
        <f t="shared" si="3"/>
        <v>9332385.8623107038</v>
      </c>
      <c r="M15" s="15">
        <v>469727.04713578941</v>
      </c>
      <c r="N15" s="15">
        <v>-34226.987685</v>
      </c>
      <c r="O15" s="16"/>
      <c r="P15" s="13">
        <v>524.34</v>
      </c>
    </row>
    <row r="16" spans="1:16" x14ac:dyDescent="0.25">
      <c r="A16" s="1">
        <v>2021</v>
      </c>
      <c r="B16" s="2">
        <v>10674400</v>
      </c>
      <c r="C16" s="280">
        <f>'IPAL Aerob'!E17</f>
        <v>2340</v>
      </c>
      <c r="D16" s="170">
        <v>94396.223961462892</v>
      </c>
      <c r="E16" s="170">
        <v>1713251.6367693958</v>
      </c>
      <c r="F16" s="170">
        <f>'3R'!L16</f>
        <v>2265.0495037067185</v>
      </c>
      <c r="G16" s="170">
        <f>'3R'!I16</f>
        <v>3225.8018973801782</v>
      </c>
      <c r="H16" s="170">
        <f t="shared" si="2"/>
        <v>1815478.7121319456</v>
      </c>
      <c r="I16" s="278">
        <f t="shared" si="1"/>
        <v>1815.4787121319457</v>
      </c>
      <c r="J16" s="170">
        <f t="shared" si="3"/>
        <v>8858921.2878680546</v>
      </c>
      <c r="M16" s="15">
        <v>461959.31447492412</v>
      </c>
      <c r="N16" s="15">
        <v>-34357.431881770273</v>
      </c>
      <c r="O16" s="16"/>
      <c r="P16" s="13">
        <v>519.38</v>
      </c>
    </row>
    <row r="17" spans="1:16" x14ac:dyDescent="0.25">
      <c r="A17" s="1">
        <v>2022</v>
      </c>
      <c r="B17" s="2">
        <v>11113000</v>
      </c>
      <c r="C17" s="280">
        <f>'IPAL Aerob'!E18</f>
        <v>2340</v>
      </c>
      <c r="D17" s="170">
        <v>96697.808083120981</v>
      </c>
      <c r="E17" s="170">
        <v>1713251.6367693958</v>
      </c>
      <c r="F17" s="170">
        <f>'3R'!L17</f>
        <v>2762.5020094924712</v>
      </c>
      <c r="G17" s="170">
        <f>'3R'!I17</f>
        <v>3884.845439977802</v>
      </c>
      <c r="H17" s="170">
        <f t="shared" si="2"/>
        <v>1818936.7923019868</v>
      </c>
      <c r="I17" s="278">
        <f t="shared" si="1"/>
        <v>1818.9367923019868</v>
      </c>
      <c r="J17" s="170">
        <f t="shared" si="3"/>
        <v>9294063.2076980136</v>
      </c>
      <c r="M17" s="15">
        <v>461959.31447492412</v>
      </c>
      <c r="N17" s="15">
        <v>33103.364990694521</v>
      </c>
      <c r="O17" s="16"/>
      <c r="P17" s="13">
        <v>513.91999999999996</v>
      </c>
    </row>
    <row r="18" spans="1:16" x14ac:dyDescent="0.25">
      <c r="A18" s="1">
        <v>2023</v>
      </c>
      <c r="B18" s="2">
        <v>11553900</v>
      </c>
      <c r="C18" s="280">
        <f>'IPAL Aerob'!E19</f>
        <v>2340</v>
      </c>
      <c r="D18" s="170">
        <v>98700.030781524867</v>
      </c>
      <c r="E18" s="170">
        <v>2240841.5122112008</v>
      </c>
      <c r="F18" s="170">
        <f>'3R'!L18</f>
        <v>3222.0543123127482</v>
      </c>
      <c r="G18" s="170">
        <f>'3R'!I18</f>
        <v>4563.5782015473169</v>
      </c>
      <c r="H18" s="170">
        <f t="shared" si="2"/>
        <v>2349667.1755065857</v>
      </c>
      <c r="I18" s="278">
        <f t="shared" si="1"/>
        <v>2349.6671755065859</v>
      </c>
      <c r="J18" s="170">
        <f t="shared" si="3"/>
        <v>9204232.8244934138</v>
      </c>
      <c r="M18" s="15">
        <v>201324.81636501587</v>
      </c>
      <c r="N18" s="15">
        <v>61366.98469106952</v>
      </c>
      <c r="O18" s="16"/>
      <c r="P18" s="13">
        <v>507.87</v>
      </c>
    </row>
    <row r="19" spans="1:16" x14ac:dyDescent="0.25">
      <c r="A19" s="1">
        <v>2024</v>
      </c>
      <c r="B19" s="2">
        <v>11999800</v>
      </c>
      <c r="C19" s="280">
        <f>'IPAL Aerob'!E20</f>
        <v>2340</v>
      </c>
      <c r="D19" s="170">
        <v>100454.56518847102</v>
      </c>
      <c r="E19" s="170">
        <v>2240841.5122112008</v>
      </c>
      <c r="F19" s="170">
        <f>'3R'!L19</f>
        <v>3648.8253736913539</v>
      </c>
      <c r="G19" s="170">
        <f>'3R'!I19</f>
        <v>5300.0258524824376</v>
      </c>
      <c r="H19" s="170">
        <f t="shared" si="2"/>
        <v>2352584.9286258458</v>
      </c>
      <c r="I19" s="278">
        <f t="shared" si="1"/>
        <v>2352.5849286258458</v>
      </c>
      <c r="J19" s="170">
        <f t="shared" si="3"/>
        <v>9647215.0713741537</v>
      </c>
      <c r="M19" s="15">
        <v>201324.81636501587</v>
      </c>
      <c r="N19" s="15">
        <v>120074.99500587868</v>
      </c>
      <c r="O19" s="16"/>
      <c r="P19" s="13">
        <v>501.15</v>
      </c>
    </row>
    <row r="20" spans="1:16" x14ac:dyDescent="0.25">
      <c r="A20" s="1">
        <v>2025</v>
      </c>
      <c r="B20" s="2">
        <v>12452600</v>
      </c>
      <c r="C20" s="280">
        <f>'IPAL Aerob'!E21</f>
        <v>2340</v>
      </c>
      <c r="D20" s="170">
        <v>80345.36997621067</v>
      </c>
      <c r="E20" s="170">
        <v>3332715.8838690827</v>
      </c>
      <c r="F20" s="170">
        <f>'3R'!L20</f>
        <v>4039.9606218091471</v>
      </c>
      <c r="G20" s="170">
        <f>'3R'!I20</f>
        <v>5980.6031661573061</v>
      </c>
      <c r="H20" s="170">
        <f t="shared" si="2"/>
        <v>3425421.81763326</v>
      </c>
      <c r="I20" s="278">
        <f t="shared" si="1"/>
        <v>3425.4218176332602</v>
      </c>
      <c r="J20" s="170">
        <f t="shared" si="3"/>
        <v>9027178.18236674</v>
      </c>
      <c r="M20" s="15">
        <v>1402638.7269271566</v>
      </c>
      <c r="N20" s="15">
        <v>122004.60676487643</v>
      </c>
      <c r="O20" s="16"/>
      <c r="P20" s="13">
        <v>493.61</v>
      </c>
    </row>
    <row r="21" spans="1:16" x14ac:dyDescent="0.25">
      <c r="A21" s="1">
        <v>2026</v>
      </c>
      <c r="B21" s="2">
        <v>12914000</v>
      </c>
      <c r="C21" s="280">
        <f>'IPAL Aerob'!E22</f>
        <v>2340</v>
      </c>
      <c r="D21" s="170">
        <v>65242.609619896153</v>
      </c>
      <c r="E21" s="170">
        <v>3332715.8838690827</v>
      </c>
      <c r="F21" s="170">
        <f>'3R'!L21</f>
        <v>4400.0632854750193</v>
      </c>
      <c r="G21" s="170">
        <f>'3R'!I21</f>
        <v>6621.0054183281918</v>
      </c>
      <c r="H21" s="170">
        <f t="shared" si="2"/>
        <v>3411319.5621927818</v>
      </c>
      <c r="I21" s="278">
        <f t="shared" si="1"/>
        <v>3411.3195621927816</v>
      </c>
      <c r="J21" s="170">
        <f t="shared" si="3"/>
        <v>9502680.4378072172</v>
      </c>
      <c r="M21" s="15">
        <v>1402638.7269271566</v>
      </c>
      <c r="N21" s="15">
        <v>199768.10104094673</v>
      </c>
      <c r="O21" s="16"/>
      <c r="P21" s="13">
        <v>485.13</v>
      </c>
    </row>
    <row r="22" spans="1:16" x14ac:dyDescent="0.25">
      <c r="A22" s="1">
        <v>2027</v>
      </c>
      <c r="B22" s="2">
        <v>13385400</v>
      </c>
      <c r="C22" s="280">
        <f>'IPAL Aerob'!E23</f>
        <v>2340</v>
      </c>
      <c r="D22" s="170">
        <v>53735.399882129605</v>
      </c>
      <c r="E22" s="170">
        <v>3332715.8838690827</v>
      </c>
      <c r="F22" s="170">
        <f>'3R'!L22</f>
        <v>4733.082383074785</v>
      </c>
      <c r="G22" s="170">
        <f>'3R'!I22</f>
        <v>7232.263891734704</v>
      </c>
      <c r="H22" s="170">
        <f t="shared" si="2"/>
        <v>3400756.6300260215</v>
      </c>
      <c r="I22" s="278">
        <f t="shared" si="1"/>
        <v>3400.7566300260214</v>
      </c>
      <c r="J22" s="170">
        <f t="shared" si="3"/>
        <v>9984643.369973978</v>
      </c>
      <c r="M22" s="15">
        <v>1402638.7269271566</v>
      </c>
      <c r="N22" s="15">
        <v>257357.90332111699</v>
      </c>
      <c r="O22" s="16"/>
      <c r="P22" s="13">
        <v>475.52</v>
      </c>
    </row>
    <row r="23" spans="1:16" x14ac:dyDescent="0.25">
      <c r="A23" s="1">
        <v>2028</v>
      </c>
      <c r="B23" s="2">
        <v>13868100</v>
      </c>
      <c r="C23" s="280">
        <f>'IPAL Aerob'!E24</f>
        <v>2340</v>
      </c>
      <c r="D23" s="170">
        <v>44841.018758243343</v>
      </c>
      <c r="E23" s="170">
        <v>3332715.8838690827</v>
      </c>
      <c r="F23" s="170">
        <f>'3R'!L23</f>
        <v>5042.4105747863468</v>
      </c>
      <c r="G23" s="170">
        <f>'3R'!I23</f>
        <v>7822.2007953733209</v>
      </c>
      <c r="H23" s="170">
        <f t="shared" si="2"/>
        <v>3392761.5139974859</v>
      </c>
      <c r="I23" s="278">
        <f t="shared" si="1"/>
        <v>3392.761513997486</v>
      </c>
      <c r="J23" s="170">
        <f t="shared" si="3"/>
        <v>10475338.486002514</v>
      </c>
      <c r="M23" s="15">
        <v>1402638.7269271566</v>
      </c>
      <c r="N23" s="15">
        <v>300752.02101460297</v>
      </c>
      <c r="O23" s="16"/>
      <c r="P23" s="13">
        <v>464.55</v>
      </c>
    </row>
    <row r="24" spans="1:16" x14ac:dyDescent="0.25">
      <c r="A24" s="1">
        <v>2029</v>
      </c>
      <c r="B24" s="2">
        <v>14344500</v>
      </c>
      <c r="C24" s="280">
        <f>'IPAL Aerob'!E25</f>
        <v>2340</v>
      </c>
      <c r="D24" s="170">
        <v>37869.514231789879</v>
      </c>
      <c r="E24" s="170">
        <v>3332715.8838690827</v>
      </c>
      <c r="F24" s="170">
        <f>'3R'!L24</f>
        <v>5330.9670161332315</v>
      </c>
      <c r="G24" s="170">
        <f>'3R'!I24</f>
        <v>8396.4175558996922</v>
      </c>
      <c r="H24" s="170">
        <f t="shared" si="2"/>
        <v>3386652.7826729054</v>
      </c>
      <c r="I24" s="278">
        <f t="shared" si="1"/>
        <v>3386.6527826729052</v>
      </c>
      <c r="J24" s="170">
        <f t="shared" si="3"/>
        <v>10957847.217327096</v>
      </c>
      <c r="M24" s="15">
        <v>1402638.7269271566</v>
      </c>
      <c r="N24" s="15">
        <v>332432.3816375623</v>
      </c>
      <c r="O24" s="16"/>
      <c r="P24" s="13">
        <v>451.94</v>
      </c>
    </row>
    <row r="25" spans="1:16" x14ac:dyDescent="0.25">
      <c r="A25" s="1">
        <v>2030</v>
      </c>
      <c r="B25" s="2">
        <v>14874100</v>
      </c>
      <c r="C25" s="280">
        <f>'IPAL Aerob'!E26</f>
        <v>2340</v>
      </c>
      <c r="D25" s="170">
        <v>32332.047556765723</v>
      </c>
      <c r="E25" s="170">
        <v>3332715.8838690827</v>
      </c>
      <c r="F25" s="170">
        <f>'3R'!L25</f>
        <v>5601.2675374752334</v>
      </c>
      <c r="G25" s="170">
        <f>'3R'!I25</f>
        <v>8958.9682785505611</v>
      </c>
      <c r="H25" s="170">
        <f t="shared" si="2"/>
        <v>3381948.1672418742</v>
      </c>
      <c r="I25" s="278">
        <f t="shared" si="1"/>
        <v>3381.9481672418742</v>
      </c>
      <c r="J25" s="170">
        <f t="shared" si="3"/>
        <v>11492151.832758125</v>
      </c>
      <c r="M25" s="15">
        <v>1402638.7269271566</v>
      </c>
      <c r="N25" s="15">
        <v>360273.05924431985</v>
      </c>
      <c r="O25" s="16"/>
      <c r="P25" s="13">
        <v>437.32</v>
      </c>
    </row>
    <row r="26" spans="1:16" ht="14.25" customHeight="1" x14ac:dyDescent="0.25">
      <c r="A26" s="392" t="s">
        <v>227</v>
      </c>
      <c r="B26" s="392"/>
      <c r="C26" s="392"/>
      <c r="D26" s="392"/>
      <c r="E26" s="392"/>
      <c r="F26" s="392"/>
      <c r="G26" s="392"/>
      <c r="H26" s="392"/>
      <c r="I26" s="393"/>
      <c r="J26" s="262">
        <f>H25/B25</f>
        <v>0.22737161692081365</v>
      </c>
      <c r="N26" s="17"/>
      <c r="O26" s="17"/>
      <c r="P26" s="14"/>
    </row>
    <row r="27" spans="1:16" x14ac:dyDescent="0.25">
      <c r="N27"/>
      <c r="P27" s="12"/>
    </row>
  </sheetData>
  <mergeCells count="11">
    <mergeCell ref="A26:I26"/>
    <mergeCell ref="C2:I2"/>
    <mergeCell ref="A2:A4"/>
    <mergeCell ref="H3:H4"/>
    <mergeCell ref="I3:I4"/>
    <mergeCell ref="B2:B4"/>
    <mergeCell ref="J3:J4"/>
    <mergeCell ref="F3:G3"/>
    <mergeCell ref="C3:C4"/>
    <mergeCell ref="D3:D4"/>
    <mergeCell ref="E3:E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8"/>
  <sheetViews>
    <sheetView zoomScale="40" zoomScaleNormal="40" workbookViewId="0">
      <selection activeCell="N25" sqref="N25"/>
    </sheetView>
  </sheetViews>
  <sheetFormatPr defaultRowHeight="15" x14ac:dyDescent="0.25"/>
  <cols>
    <col min="3" max="5" width="9.140625" style="70"/>
    <col min="6" max="6" width="12.85546875" style="70" customWidth="1"/>
    <col min="7" max="7" width="10.5703125" customWidth="1"/>
    <col min="8" max="8" width="12.85546875" style="70" customWidth="1"/>
    <col min="9" max="9" width="13.42578125" style="70" customWidth="1"/>
    <col min="10" max="10" width="12.85546875" style="70" customWidth="1"/>
    <col min="11" max="11" width="11.5703125" style="167" customWidth="1"/>
    <col min="12" max="12" width="18.42578125" customWidth="1"/>
    <col min="14" max="21" width="12.7109375" customWidth="1"/>
  </cols>
  <sheetData>
    <row r="2" spans="2:12" x14ac:dyDescent="0.25">
      <c r="B2" t="s">
        <v>213</v>
      </c>
    </row>
    <row r="3" spans="2:12" x14ac:dyDescent="0.25">
      <c r="B3" s="371" t="s">
        <v>4</v>
      </c>
      <c r="C3" s="402" t="s">
        <v>48</v>
      </c>
      <c r="D3" s="402" t="s">
        <v>18</v>
      </c>
      <c r="E3" s="402" t="s">
        <v>195</v>
      </c>
      <c r="F3" s="402" t="s">
        <v>49</v>
      </c>
      <c r="G3" s="401" t="s">
        <v>193</v>
      </c>
      <c r="H3" s="401"/>
      <c r="I3" s="401"/>
      <c r="J3" s="401" t="s">
        <v>194</v>
      </c>
      <c r="K3" s="401"/>
      <c r="L3" s="401"/>
    </row>
    <row r="4" spans="2:12" ht="108" customHeight="1" x14ac:dyDescent="0.25">
      <c r="B4" s="371"/>
      <c r="C4" s="402"/>
      <c r="D4" s="402"/>
      <c r="E4" s="402"/>
      <c r="F4" s="402"/>
      <c r="G4" s="147" t="s">
        <v>190</v>
      </c>
      <c r="H4" s="169" t="s">
        <v>46</v>
      </c>
      <c r="I4" s="71" t="s">
        <v>20</v>
      </c>
      <c r="J4" s="147" t="s">
        <v>191</v>
      </c>
      <c r="K4" s="168" t="s">
        <v>47</v>
      </c>
      <c r="L4" s="169" t="s">
        <v>192</v>
      </c>
    </row>
    <row r="5" spans="2:12" x14ac:dyDescent="0.25">
      <c r="B5" s="147">
        <v>2010</v>
      </c>
      <c r="C5" s="56">
        <v>5</v>
      </c>
      <c r="D5" s="68">
        <v>2.5</v>
      </c>
      <c r="E5" s="68">
        <v>1095</v>
      </c>
      <c r="F5" s="60">
        <v>2750000</v>
      </c>
      <c r="G5" s="165">
        <v>657</v>
      </c>
      <c r="H5" s="56">
        <v>657</v>
      </c>
      <c r="I5" s="155">
        <v>-119.1798</v>
      </c>
      <c r="J5" s="56">
        <v>59.787000000000006</v>
      </c>
      <c r="K5" s="166">
        <f>J5</f>
        <v>59.787000000000006</v>
      </c>
      <c r="L5" s="155">
        <v>0</v>
      </c>
    </row>
    <row r="6" spans="2:12" x14ac:dyDescent="0.25">
      <c r="B6" s="147">
        <v>2011</v>
      </c>
      <c r="C6" s="56">
        <v>7</v>
      </c>
      <c r="D6" s="68">
        <v>2.5</v>
      </c>
      <c r="E6" s="68">
        <v>1533.3333333333335</v>
      </c>
      <c r="F6" s="60">
        <v>3850000</v>
      </c>
      <c r="G6" s="165">
        <v>920</v>
      </c>
      <c r="H6" s="56">
        <v>920</v>
      </c>
      <c r="I6" s="155">
        <v>49.683766749986802</v>
      </c>
      <c r="J6" s="56">
        <v>83.720000000000013</v>
      </c>
      <c r="K6" s="166">
        <f>K5+J6</f>
        <v>143.50700000000001</v>
      </c>
      <c r="L6" s="155">
        <v>21.525589004598441</v>
      </c>
    </row>
    <row r="7" spans="2:12" x14ac:dyDescent="0.25">
      <c r="B7" s="147">
        <v>2012</v>
      </c>
      <c r="C7" s="56">
        <v>5</v>
      </c>
      <c r="D7" s="68">
        <v>2.5</v>
      </c>
      <c r="E7" s="68">
        <v>1095</v>
      </c>
      <c r="F7" s="60">
        <v>2750000</v>
      </c>
      <c r="G7" s="165">
        <v>657</v>
      </c>
      <c r="H7" s="56">
        <v>657</v>
      </c>
      <c r="I7" s="155">
        <v>348.85934132941162</v>
      </c>
      <c r="J7" s="56">
        <v>59.787000000000006</v>
      </c>
      <c r="K7" s="166">
        <f t="shared" ref="K7:K25" si="0">K6+J7</f>
        <v>203.29400000000001</v>
      </c>
      <c r="L7" s="155">
        <v>70.623668533452872</v>
      </c>
    </row>
    <row r="8" spans="2:12" x14ac:dyDescent="0.25">
      <c r="B8" s="147">
        <v>2013</v>
      </c>
      <c r="C8" s="56">
        <v>6</v>
      </c>
      <c r="D8" s="68">
        <v>2.5</v>
      </c>
      <c r="E8" s="68">
        <v>1313.3333333333335</v>
      </c>
      <c r="F8" s="60">
        <v>3300000</v>
      </c>
      <c r="G8" s="165">
        <v>788</v>
      </c>
      <c r="H8" s="56">
        <v>788</v>
      </c>
      <c r="I8" s="155">
        <v>431.71167574239911</v>
      </c>
      <c r="J8" s="56">
        <v>71.708000000000013</v>
      </c>
      <c r="K8" s="166">
        <f t="shared" si="0"/>
        <v>275.00200000000001</v>
      </c>
      <c r="L8" s="155">
        <v>135.42682166632</v>
      </c>
    </row>
    <row r="9" spans="2:12" x14ac:dyDescent="0.25">
      <c r="B9" s="147">
        <v>2014</v>
      </c>
      <c r="C9" s="56">
        <v>7</v>
      </c>
      <c r="D9" s="68">
        <v>2.5</v>
      </c>
      <c r="E9" s="68">
        <v>1533.3333333333335</v>
      </c>
      <c r="F9" s="60">
        <v>3850000</v>
      </c>
      <c r="G9" s="165">
        <v>920</v>
      </c>
      <c r="H9" s="56">
        <v>920</v>
      </c>
      <c r="I9" s="155">
        <v>535.94579748551166</v>
      </c>
      <c r="J9" s="56">
        <v>83.720000000000013</v>
      </c>
      <c r="K9" s="166">
        <f t="shared" si="0"/>
        <v>358.72200000000004</v>
      </c>
      <c r="L9" s="155">
        <v>218.44169957664121</v>
      </c>
    </row>
    <row r="10" spans="2:12" x14ac:dyDescent="0.25">
      <c r="B10" s="147">
        <v>2015</v>
      </c>
      <c r="C10" s="56">
        <v>11</v>
      </c>
      <c r="D10" s="68">
        <v>2.5</v>
      </c>
      <c r="E10" s="68">
        <v>2408.3333333333335</v>
      </c>
      <c r="F10" s="60">
        <v>6050000</v>
      </c>
      <c r="G10" s="165">
        <v>1445</v>
      </c>
      <c r="H10" s="57">
        <v>1445</v>
      </c>
      <c r="I10" s="155">
        <v>585.80141062063012</v>
      </c>
      <c r="J10" s="57">
        <v>131.495</v>
      </c>
      <c r="K10" s="166">
        <f t="shared" si="0"/>
        <v>490.21700000000004</v>
      </c>
      <c r="L10" s="155">
        <v>192.775595910368</v>
      </c>
    </row>
    <row r="11" spans="2:12" x14ac:dyDescent="0.25">
      <c r="B11" s="147">
        <v>2016</v>
      </c>
      <c r="C11" s="56">
        <v>24</v>
      </c>
      <c r="D11" s="68">
        <v>2.5</v>
      </c>
      <c r="E11" s="68">
        <v>5256.666666666667</v>
      </c>
      <c r="F11" s="60">
        <v>13200000</v>
      </c>
      <c r="G11" s="165">
        <v>3154</v>
      </c>
      <c r="H11" s="57">
        <v>3154</v>
      </c>
      <c r="I11" s="155">
        <v>563.64932747385842</v>
      </c>
      <c r="J11" s="57">
        <v>287.01400000000001</v>
      </c>
      <c r="K11" s="166">
        <f t="shared" si="0"/>
        <v>777.23099999999999</v>
      </c>
      <c r="L11" s="155">
        <v>347.04515957405044</v>
      </c>
    </row>
    <row r="12" spans="2:12" x14ac:dyDescent="0.25">
      <c r="B12" s="147">
        <v>2017</v>
      </c>
      <c r="C12" s="56">
        <v>24</v>
      </c>
      <c r="D12" s="68">
        <v>2.5</v>
      </c>
      <c r="E12" s="68">
        <v>5256.666666666667</v>
      </c>
      <c r="F12" s="60">
        <v>13200000</v>
      </c>
      <c r="G12" s="165">
        <v>3154</v>
      </c>
      <c r="H12" s="57">
        <v>3154</v>
      </c>
      <c r="I12" s="155">
        <v>1350.8773571699876</v>
      </c>
      <c r="J12" s="57">
        <v>287.01400000000001</v>
      </c>
      <c r="K12" s="166">
        <f t="shared" si="0"/>
        <v>1064.2449999999999</v>
      </c>
      <c r="L12" s="155">
        <v>586.51924105340663</v>
      </c>
    </row>
    <row r="13" spans="2:12" x14ac:dyDescent="0.25">
      <c r="B13" s="147">
        <v>2018</v>
      </c>
      <c r="C13" s="56">
        <v>24</v>
      </c>
      <c r="D13" s="68">
        <v>2.5</v>
      </c>
      <c r="E13" s="68">
        <v>5256.666666666667</v>
      </c>
      <c r="F13" s="60">
        <v>13200000</v>
      </c>
      <c r="G13" s="165">
        <v>3154</v>
      </c>
      <c r="H13" s="57">
        <v>3154</v>
      </c>
      <c r="I13" s="155">
        <v>1956.3734158485399</v>
      </c>
      <c r="J13" s="57">
        <v>287.01400000000001</v>
      </c>
      <c r="K13" s="166">
        <f t="shared" si="0"/>
        <v>1351.259</v>
      </c>
      <c r="L13" s="155">
        <v>901.29068330742666</v>
      </c>
    </row>
    <row r="14" spans="2:12" x14ac:dyDescent="0.25">
      <c r="B14" s="147">
        <v>2019</v>
      </c>
      <c r="C14" s="68">
        <v>30</v>
      </c>
      <c r="D14" s="68">
        <v>2.5</v>
      </c>
      <c r="E14" s="68">
        <v>5475</v>
      </c>
      <c r="F14" s="69">
        <v>15000000</v>
      </c>
      <c r="G14" s="165">
        <v>3318</v>
      </c>
      <c r="H14" s="69">
        <v>3318</v>
      </c>
      <c r="I14" s="155">
        <v>2399.7925096189101</v>
      </c>
      <c r="J14" s="69">
        <v>299</v>
      </c>
      <c r="K14" s="166">
        <f t="shared" si="0"/>
        <v>1650.259</v>
      </c>
      <c r="L14" s="155">
        <v>1282.7704058685695</v>
      </c>
    </row>
    <row r="15" spans="2:12" x14ac:dyDescent="0.25">
      <c r="B15" s="147">
        <v>2020</v>
      </c>
      <c r="C15" s="68">
        <v>40</v>
      </c>
      <c r="D15" s="68">
        <v>2.5</v>
      </c>
      <c r="E15" s="68">
        <v>7300</v>
      </c>
      <c r="F15" s="68" t="s">
        <v>22</v>
      </c>
      <c r="G15" s="165">
        <v>4424</v>
      </c>
      <c r="H15" s="69">
        <v>4424</v>
      </c>
      <c r="I15" s="155">
        <v>2628.7688619044084</v>
      </c>
      <c r="J15" s="69">
        <v>398</v>
      </c>
      <c r="K15" s="166">
        <f t="shared" si="0"/>
        <v>2048.259</v>
      </c>
      <c r="L15" s="155">
        <v>1727.8123588315982</v>
      </c>
    </row>
    <row r="16" spans="2:12" x14ac:dyDescent="0.25">
      <c r="B16" s="147">
        <v>2021</v>
      </c>
      <c r="C16" s="77">
        <v>45.542495479204341</v>
      </c>
      <c r="D16" s="68">
        <v>2.5</v>
      </c>
      <c r="E16" s="68">
        <v>1095</v>
      </c>
      <c r="F16" s="69">
        <v>2401965</v>
      </c>
      <c r="G16" s="165">
        <v>664</v>
      </c>
      <c r="H16" s="68">
        <v>5037</v>
      </c>
      <c r="I16" s="155">
        <v>3225.8018973801782</v>
      </c>
      <c r="J16" s="68">
        <v>60.225000000000001</v>
      </c>
      <c r="K16" s="166">
        <f t="shared" si="0"/>
        <v>2108.4839999999999</v>
      </c>
      <c r="L16" s="155">
        <v>2265.0495037067185</v>
      </c>
    </row>
    <row r="17" spans="2:21" x14ac:dyDescent="0.25">
      <c r="B17" s="147">
        <v>2022</v>
      </c>
      <c r="C17" s="77">
        <v>50.492766726943948</v>
      </c>
      <c r="D17" s="68">
        <v>2.5</v>
      </c>
      <c r="E17" s="68">
        <v>912.5</v>
      </c>
      <c r="F17" s="69">
        <v>1993980</v>
      </c>
      <c r="G17" s="165">
        <v>553</v>
      </c>
      <c r="H17" s="68">
        <v>5584.5</v>
      </c>
      <c r="I17" s="155">
        <v>3884.845439977802</v>
      </c>
      <c r="J17" s="68">
        <v>50.1875</v>
      </c>
      <c r="K17" s="166">
        <f t="shared" si="0"/>
        <v>2158.6714999999999</v>
      </c>
      <c r="L17" s="155">
        <v>2762.5020094924712</v>
      </c>
    </row>
    <row r="18" spans="2:21" x14ac:dyDescent="0.25">
      <c r="B18" s="147">
        <v>2023</v>
      </c>
      <c r="C18" s="77">
        <v>55.443037974683548</v>
      </c>
      <c r="D18" s="68">
        <v>2.5</v>
      </c>
      <c r="E18" s="68">
        <v>912.5</v>
      </c>
      <c r="F18" s="69">
        <v>2130000</v>
      </c>
      <c r="G18" s="165">
        <v>553</v>
      </c>
      <c r="H18" s="68">
        <v>6132</v>
      </c>
      <c r="I18" s="155">
        <v>4563.5782015473169</v>
      </c>
      <c r="J18" s="68">
        <v>50.1875</v>
      </c>
      <c r="K18" s="166">
        <f t="shared" si="0"/>
        <v>2208.8589999999999</v>
      </c>
      <c r="L18" s="155">
        <v>3222.0543123127482</v>
      </c>
    </row>
    <row r="19" spans="2:21" x14ac:dyDescent="0.25">
      <c r="B19" s="147">
        <v>2024</v>
      </c>
      <c r="C19" s="77">
        <v>58.413200723327307</v>
      </c>
      <c r="D19" s="68">
        <v>2.5</v>
      </c>
      <c r="E19" s="68">
        <v>547.5</v>
      </c>
      <c r="F19" s="69">
        <v>1200000</v>
      </c>
      <c r="G19" s="165">
        <v>332</v>
      </c>
      <c r="H19" s="68">
        <v>6460.5</v>
      </c>
      <c r="I19" s="155">
        <v>5300.0258524824376</v>
      </c>
      <c r="J19" s="68">
        <v>30.112500000000001</v>
      </c>
      <c r="K19" s="166">
        <f t="shared" si="0"/>
        <v>2238.9715000000001</v>
      </c>
      <c r="L19" s="155">
        <v>3648.8253736913539</v>
      </c>
    </row>
    <row r="20" spans="2:21" x14ac:dyDescent="0.25">
      <c r="B20" s="147">
        <v>2025</v>
      </c>
      <c r="C20" s="77">
        <v>61.383363471971073</v>
      </c>
      <c r="D20" s="68">
        <v>2.5</v>
      </c>
      <c r="E20" s="68">
        <v>547.5</v>
      </c>
      <c r="F20" s="69">
        <v>650995</v>
      </c>
      <c r="G20" s="165">
        <v>332</v>
      </c>
      <c r="H20" s="68">
        <v>6789</v>
      </c>
      <c r="I20" s="155">
        <v>5980.6031661573061</v>
      </c>
      <c r="J20" s="68">
        <v>30.112500000000001</v>
      </c>
      <c r="K20" s="166">
        <f t="shared" si="0"/>
        <v>2269.0840000000003</v>
      </c>
      <c r="L20" s="155">
        <v>4039.9606218091471</v>
      </c>
    </row>
    <row r="21" spans="2:21" x14ac:dyDescent="0.25">
      <c r="B21" s="147">
        <v>2026</v>
      </c>
      <c r="C21" s="77">
        <v>64.353526220614825</v>
      </c>
      <c r="D21" s="68">
        <v>2.5</v>
      </c>
      <c r="E21" s="68">
        <v>547.5</v>
      </c>
      <c r="F21" s="69">
        <v>650995</v>
      </c>
      <c r="G21" s="165">
        <v>332</v>
      </c>
      <c r="H21" s="68">
        <v>7117.5</v>
      </c>
      <c r="I21" s="155">
        <v>6621.0054183281918</v>
      </c>
      <c r="J21" s="68">
        <v>30.112500000000001</v>
      </c>
      <c r="K21" s="166">
        <f t="shared" si="0"/>
        <v>2299.1965000000005</v>
      </c>
      <c r="L21" s="155">
        <v>4400.0632854750193</v>
      </c>
    </row>
    <row r="22" spans="2:21" x14ac:dyDescent="0.25">
      <c r="B22" s="147">
        <v>2027</v>
      </c>
      <c r="C22" s="77">
        <v>67.323688969258598</v>
      </c>
      <c r="D22" s="68">
        <v>2.5</v>
      </c>
      <c r="E22" s="68">
        <v>547.5</v>
      </c>
      <c r="F22" s="69">
        <v>650995</v>
      </c>
      <c r="G22" s="165">
        <v>332</v>
      </c>
      <c r="H22" s="68">
        <v>7446</v>
      </c>
      <c r="I22" s="155">
        <v>7232.263891734704</v>
      </c>
      <c r="J22" s="68">
        <v>30.112500000000001</v>
      </c>
      <c r="K22" s="166">
        <f t="shared" si="0"/>
        <v>2329.3090000000007</v>
      </c>
      <c r="L22" s="155">
        <v>4733.082383074785</v>
      </c>
    </row>
    <row r="23" spans="2:21" x14ac:dyDescent="0.25">
      <c r="B23" s="147">
        <v>2028</v>
      </c>
      <c r="C23" s="77">
        <v>70.293851717902356</v>
      </c>
      <c r="D23" s="68">
        <v>2.5</v>
      </c>
      <c r="E23" s="68">
        <v>547.5</v>
      </c>
      <c r="F23" s="69">
        <v>650995</v>
      </c>
      <c r="G23" s="165">
        <v>332</v>
      </c>
      <c r="H23" s="68">
        <v>7774.5</v>
      </c>
      <c r="I23" s="155">
        <v>7822.2007953733209</v>
      </c>
      <c r="J23" s="68">
        <v>30.112500000000001</v>
      </c>
      <c r="K23" s="166">
        <f t="shared" si="0"/>
        <v>2359.4215000000008</v>
      </c>
      <c r="L23" s="155">
        <v>5042.4105747863468</v>
      </c>
    </row>
    <row r="24" spans="2:21" x14ac:dyDescent="0.25">
      <c r="B24" s="147">
        <v>2029</v>
      </c>
      <c r="C24" s="77">
        <v>73.264014466546115</v>
      </c>
      <c r="D24" s="68">
        <v>2.5</v>
      </c>
      <c r="E24" s="68">
        <v>547.5</v>
      </c>
      <c r="F24" s="69">
        <v>650995</v>
      </c>
      <c r="G24" s="165">
        <v>332</v>
      </c>
      <c r="H24" s="68">
        <v>8103</v>
      </c>
      <c r="I24" s="155">
        <v>8396.4175558996922</v>
      </c>
      <c r="J24" s="68">
        <v>30.112500000000001</v>
      </c>
      <c r="K24" s="166">
        <f t="shared" si="0"/>
        <v>2389.534000000001</v>
      </c>
      <c r="L24" s="155">
        <v>5330.9670161332315</v>
      </c>
    </row>
    <row r="25" spans="2:21" x14ac:dyDescent="0.25">
      <c r="B25" s="147">
        <v>2030</v>
      </c>
      <c r="C25" s="77">
        <v>76.234177215189874</v>
      </c>
      <c r="D25" s="68">
        <v>2.5</v>
      </c>
      <c r="E25" s="68">
        <v>547.5</v>
      </c>
      <c r="F25" s="69">
        <v>650995</v>
      </c>
      <c r="G25" s="165">
        <v>332</v>
      </c>
      <c r="H25" s="68">
        <v>8431.5</v>
      </c>
      <c r="I25" s="155">
        <v>8958.9682785505611</v>
      </c>
      <c r="J25" s="68">
        <v>30.112500000000001</v>
      </c>
      <c r="K25" s="166">
        <f t="shared" si="0"/>
        <v>2419.6465000000012</v>
      </c>
      <c r="L25" s="155">
        <v>5601.2675374752334</v>
      </c>
      <c r="N25" t="s">
        <v>217</v>
      </c>
    </row>
    <row r="26" spans="2:21" x14ac:dyDescent="0.25">
      <c r="M26" s="400" t="s">
        <v>214</v>
      </c>
      <c r="N26" s="400"/>
      <c r="O26" s="400"/>
      <c r="P26" s="400"/>
      <c r="Q26" s="400"/>
      <c r="R26" s="400"/>
      <c r="S26" s="400"/>
    </row>
    <row r="27" spans="2:21" ht="105" x14ac:dyDescent="0.25">
      <c r="M27" s="211" t="s">
        <v>4</v>
      </c>
      <c r="N27" s="212" t="s">
        <v>15</v>
      </c>
      <c r="O27" s="212" t="s">
        <v>196</v>
      </c>
      <c r="P27" s="212" t="s">
        <v>197</v>
      </c>
      <c r="Q27" s="212" t="s">
        <v>17</v>
      </c>
      <c r="R27" s="212" t="s">
        <v>18</v>
      </c>
      <c r="S27" s="212" t="s">
        <v>6</v>
      </c>
      <c r="T27" s="212" t="s">
        <v>149</v>
      </c>
      <c r="U27" s="210"/>
    </row>
    <row r="28" spans="2:21" x14ac:dyDescent="0.25">
      <c r="M28" s="211">
        <f>B5</f>
        <v>2010</v>
      </c>
      <c r="N28" s="213">
        <v>1095</v>
      </c>
      <c r="O28" s="213">
        <v>657</v>
      </c>
      <c r="P28" s="213">
        <v>59.787000000000006</v>
      </c>
      <c r="Q28" s="213">
        <v>5</v>
      </c>
      <c r="R28" s="213">
        <v>2.5</v>
      </c>
      <c r="S28" s="213"/>
      <c r="T28" s="213" t="s">
        <v>30</v>
      </c>
      <c r="U28" s="210"/>
    </row>
    <row r="29" spans="2:21" x14ac:dyDescent="0.25">
      <c r="M29" s="211">
        <f t="shared" ref="M29:M48" si="1">B6</f>
        <v>2011</v>
      </c>
      <c r="N29" s="213">
        <v>1533.3333333333335</v>
      </c>
      <c r="O29" s="213">
        <v>920</v>
      </c>
      <c r="P29" s="213">
        <v>83.720000000000013</v>
      </c>
      <c r="Q29" s="213">
        <v>7</v>
      </c>
      <c r="R29" s="213">
        <v>2.5</v>
      </c>
      <c r="S29" s="213"/>
      <c r="T29" s="213" t="s">
        <v>30</v>
      </c>
      <c r="U29" s="210"/>
    </row>
    <row r="30" spans="2:21" x14ac:dyDescent="0.25">
      <c r="M30" s="211">
        <f t="shared" si="1"/>
        <v>2012</v>
      </c>
      <c r="N30" s="213">
        <v>1095</v>
      </c>
      <c r="O30" s="213">
        <v>657</v>
      </c>
      <c r="P30" s="213">
        <v>59.787000000000006</v>
      </c>
      <c r="Q30" s="213">
        <v>5</v>
      </c>
      <c r="R30" s="213">
        <v>2.5</v>
      </c>
      <c r="S30" s="213"/>
      <c r="T30" s="213" t="s">
        <v>30</v>
      </c>
      <c r="U30" s="210"/>
    </row>
    <row r="31" spans="2:21" x14ac:dyDescent="0.25">
      <c r="M31" s="211">
        <f t="shared" si="1"/>
        <v>2013</v>
      </c>
      <c r="N31" s="213">
        <v>1313.3333333333335</v>
      </c>
      <c r="O31" s="213">
        <v>788</v>
      </c>
      <c r="P31" s="213">
        <v>71.708000000000013</v>
      </c>
      <c r="Q31" s="213">
        <v>6</v>
      </c>
      <c r="R31" s="213">
        <v>2.5</v>
      </c>
      <c r="S31" s="213"/>
      <c r="T31" s="213" t="s">
        <v>30</v>
      </c>
      <c r="U31" s="210"/>
    </row>
    <row r="32" spans="2:21" x14ac:dyDescent="0.25">
      <c r="M32" s="211">
        <f t="shared" si="1"/>
        <v>2014</v>
      </c>
      <c r="N32" s="213">
        <v>1533.3333333333335</v>
      </c>
      <c r="O32" s="213">
        <v>920</v>
      </c>
      <c r="P32" s="213">
        <v>83.720000000000013</v>
      </c>
      <c r="Q32" s="213">
        <v>7</v>
      </c>
      <c r="R32" s="213">
        <v>2.5</v>
      </c>
      <c r="S32" s="213"/>
      <c r="T32" s="213" t="s">
        <v>30</v>
      </c>
      <c r="U32" s="210"/>
    </row>
    <row r="33" spans="13:21" x14ac:dyDescent="0.25">
      <c r="M33" s="211">
        <f t="shared" si="1"/>
        <v>2015</v>
      </c>
      <c r="N33" s="213">
        <v>2408.3333333333335</v>
      </c>
      <c r="O33" s="213">
        <v>1445</v>
      </c>
      <c r="P33" s="213">
        <v>131.495</v>
      </c>
      <c r="Q33" s="213">
        <v>11</v>
      </c>
      <c r="R33" s="213">
        <v>2.5</v>
      </c>
      <c r="S33" s="213"/>
      <c r="T33" s="213" t="s">
        <v>30</v>
      </c>
      <c r="U33" s="210"/>
    </row>
    <row r="34" spans="13:21" x14ac:dyDescent="0.25">
      <c r="M34" s="211">
        <f t="shared" si="1"/>
        <v>2016</v>
      </c>
      <c r="N34" s="213">
        <v>5256.666666666667</v>
      </c>
      <c r="O34" s="213">
        <v>3154</v>
      </c>
      <c r="P34" s="213">
        <v>287.01400000000001</v>
      </c>
      <c r="Q34" s="213">
        <v>24</v>
      </c>
      <c r="R34" s="213">
        <v>2.5</v>
      </c>
      <c r="S34" s="213"/>
      <c r="T34" s="213" t="s">
        <v>30</v>
      </c>
      <c r="U34" s="210"/>
    </row>
    <row r="35" spans="13:21" x14ac:dyDescent="0.25">
      <c r="M35" s="211">
        <f t="shared" si="1"/>
        <v>2017</v>
      </c>
      <c r="N35" s="213">
        <v>5256.666666666667</v>
      </c>
      <c r="O35" s="213">
        <v>3154</v>
      </c>
      <c r="P35" s="213">
        <v>287.01400000000001</v>
      </c>
      <c r="Q35" s="213">
        <v>24</v>
      </c>
      <c r="R35" s="213">
        <v>2.5</v>
      </c>
      <c r="S35" s="213"/>
      <c r="T35" s="213" t="s">
        <v>30</v>
      </c>
      <c r="U35" s="210"/>
    </row>
    <row r="36" spans="13:21" x14ac:dyDescent="0.25">
      <c r="M36" s="211">
        <f t="shared" si="1"/>
        <v>2018</v>
      </c>
      <c r="N36" s="213">
        <v>5256.666666666667</v>
      </c>
      <c r="O36" s="213">
        <v>3154</v>
      </c>
      <c r="P36" s="213">
        <v>287.01400000000001</v>
      </c>
      <c r="Q36" s="213">
        <v>24</v>
      </c>
      <c r="R36" s="213">
        <v>2.5</v>
      </c>
      <c r="S36" s="213"/>
      <c r="T36" s="213" t="s">
        <v>30</v>
      </c>
      <c r="U36" s="210"/>
    </row>
    <row r="37" spans="13:21" x14ac:dyDescent="0.25">
      <c r="M37" s="211">
        <f t="shared" si="1"/>
        <v>2019</v>
      </c>
      <c r="N37" s="213">
        <v>5475</v>
      </c>
      <c r="O37" s="213">
        <v>3318</v>
      </c>
      <c r="P37" s="213">
        <v>299</v>
      </c>
      <c r="Q37" s="213">
        <v>30</v>
      </c>
      <c r="R37" s="213">
        <v>2.5</v>
      </c>
      <c r="S37" s="213"/>
      <c r="T37" s="213"/>
      <c r="U37" s="210"/>
    </row>
    <row r="38" spans="13:21" x14ac:dyDescent="0.25">
      <c r="M38" s="211">
        <f t="shared" si="1"/>
        <v>2020</v>
      </c>
      <c r="N38" s="213">
        <v>7300</v>
      </c>
      <c r="O38" s="213">
        <v>4424</v>
      </c>
      <c r="P38" s="213">
        <v>398</v>
      </c>
      <c r="Q38" s="213">
        <v>40</v>
      </c>
      <c r="R38" s="213">
        <v>2.5</v>
      </c>
      <c r="S38" s="213"/>
      <c r="T38" s="213">
        <v>107.6513474898378</v>
      </c>
      <c r="U38" s="210"/>
    </row>
    <row r="39" spans="13:21" x14ac:dyDescent="0.25">
      <c r="M39" s="211">
        <f t="shared" si="1"/>
        <v>2021</v>
      </c>
      <c r="N39" s="213">
        <v>1095</v>
      </c>
      <c r="O39" s="213">
        <v>664</v>
      </c>
      <c r="P39" s="213">
        <v>60.225000000000001</v>
      </c>
      <c r="Q39" s="213">
        <v>6</v>
      </c>
      <c r="R39" s="213">
        <v>2.5</v>
      </c>
      <c r="S39" s="213"/>
      <c r="T39" s="213">
        <v>238.09422434824342</v>
      </c>
      <c r="U39" s="210"/>
    </row>
    <row r="40" spans="13:21" x14ac:dyDescent="0.25">
      <c r="M40" s="211">
        <f t="shared" si="1"/>
        <v>2022</v>
      </c>
      <c r="N40" s="213">
        <v>912.5</v>
      </c>
      <c r="O40" s="213">
        <v>553</v>
      </c>
      <c r="P40" s="213">
        <v>50.1875</v>
      </c>
      <c r="Q40" s="213">
        <v>5</v>
      </c>
      <c r="R40" s="213">
        <v>2.5</v>
      </c>
      <c r="S40" s="213"/>
      <c r="T40" s="213">
        <v>231.47698002370683</v>
      </c>
      <c r="U40" s="210"/>
    </row>
    <row r="41" spans="13:21" x14ac:dyDescent="0.25">
      <c r="M41" s="211">
        <f t="shared" si="1"/>
        <v>2023</v>
      </c>
      <c r="N41" s="213">
        <v>912.5</v>
      </c>
      <c r="O41" s="213">
        <v>553</v>
      </c>
      <c r="P41" s="213">
        <v>50.1875</v>
      </c>
      <c r="Q41" s="213">
        <v>5</v>
      </c>
      <c r="R41" s="213">
        <v>2.5</v>
      </c>
      <c r="S41" s="213"/>
      <c r="T41" s="213">
        <v>222.48336058898906</v>
      </c>
      <c r="U41" s="210"/>
    </row>
    <row r="42" spans="13:21" x14ac:dyDescent="0.25">
      <c r="M42" s="211">
        <f t="shared" si="1"/>
        <v>2024</v>
      </c>
      <c r="N42" s="213">
        <v>547.5</v>
      </c>
      <c r="O42" s="213">
        <v>332</v>
      </c>
      <c r="P42" s="213">
        <v>30.112500000000001</v>
      </c>
      <c r="Q42" s="213">
        <v>3</v>
      </c>
      <c r="R42" s="213">
        <v>2.5</v>
      </c>
      <c r="S42" s="213"/>
      <c r="T42" s="213">
        <v>214.93941988033927</v>
      </c>
      <c r="U42" s="210"/>
    </row>
    <row r="43" spans="13:21" x14ac:dyDescent="0.25">
      <c r="M43" s="211">
        <f t="shared" si="1"/>
        <v>2025</v>
      </c>
      <c r="N43" s="213">
        <v>547.5</v>
      </c>
      <c r="O43" s="213">
        <v>332</v>
      </c>
      <c r="P43" s="213">
        <v>30.112500000000001</v>
      </c>
      <c r="Q43" s="213">
        <v>3</v>
      </c>
      <c r="R43" s="213">
        <v>2.5</v>
      </c>
      <c r="S43" s="213"/>
      <c r="T43" s="213">
        <v>201.4148114212384</v>
      </c>
      <c r="U43" s="210"/>
    </row>
    <row r="44" spans="13:21" x14ac:dyDescent="0.25">
      <c r="M44" s="211">
        <f t="shared" si="1"/>
        <v>2026</v>
      </c>
      <c r="N44" s="213">
        <v>547.5</v>
      </c>
      <c r="O44" s="213">
        <v>332</v>
      </c>
      <c r="P44" s="213">
        <v>30.112500000000001</v>
      </c>
      <c r="Q44" s="213">
        <v>3</v>
      </c>
      <c r="R44" s="213">
        <v>2.5</v>
      </c>
      <c r="S44" s="213"/>
      <c r="T44" s="213">
        <v>189.77647973105974</v>
      </c>
      <c r="U44" s="210"/>
    </row>
    <row r="45" spans="13:21" x14ac:dyDescent="0.25">
      <c r="M45" s="211">
        <f t="shared" si="1"/>
        <v>2027</v>
      </c>
      <c r="N45" s="213">
        <v>547.5</v>
      </c>
      <c r="O45" s="213">
        <v>332</v>
      </c>
      <c r="P45" s="213">
        <v>30.112500000000001</v>
      </c>
      <c r="Q45" s="213">
        <v>3</v>
      </c>
      <c r="R45" s="213">
        <v>2.5</v>
      </c>
      <c r="S45" s="213"/>
      <c r="T45" s="213">
        <v>179.74495404218445</v>
      </c>
      <c r="U45" s="210"/>
    </row>
    <row r="46" spans="13:21" x14ac:dyDescent="0.25">
      <c r="M46" s="211">
        <f t="shared" si="1"/>
        <v>2028</v>
      </c>
      <c r="N46" s="213">
        <v>547.5</v>
      </c>
      <c r="O46" s="213">
        <v>332</v>
      </c>
      <c r="P46" s="213">
        <v>30.112500000000001</v>
      </c>
      <c r="Q46" s="213">
        <v>3</v>
      </c>
      <c r="R46" s="213">
        <v>2.5</v>
      </c>
      <c r="S46" s="213"/>
      <c r="T46" s="213">
        <v>171.08341216899066</v>
      </c>
      <c r="U46" s="210"/>
    </row>
    <row r="47" spans="13:21" x14ac:dyDescent="0.25">
      <c r="M47" s="211">
        <f t="shared" si="1"/>
        <v>2029</v>
      </c>
      <c r="N47" s="213">
        <v>547.5</v>
      </c>
      <c r="O47" s="213">
        <v>332</v>
      </c>
      <c r="P47" s="213">
        <v>30.112500000000001</v>
      </c>
      <c r="Q47" s="213">
        <v>3</v>
      </c>
      <c r="R47" s="213">
        <v>2.5</v>
      </c>
      <c r="S47" s="213"/>
      <c r="T47" s="213">
        <v>163.59108351555241</v>
      </c>
      <c r="U47" s="210"/>
    </row>
    <row r="48" spans="13:21" x14ac:dyDescent="0.25">
      <c r="M48" s="211">
        <f t="shared" si="1"/>
        <v>2030</v>
      </c>
      <c r="N48" s="213">
        <v>547.5</v>
      </c>
      <c r="O48" s="213">
        <v>332</v>
      </c>
      <c r="P48" s="213">
        <v>30.112500000000001</v>
      </c>
      <c r="Q48" s="213">
        <v>3</v>
      </c>
      <c r="R48" s="213">
        <v>2.5</v>
      </c>
      <c r="S48" s="213"/>
      <c r="T48" s="213">
        <v>157.09767866034844</v>
      </c>
      <c r="U48" s="210"/>
    </row>
  </sheetData>
  <mergeCells count="8">
    <mergeCell ref="M26:S26"/>
    <mergeCell ref="B3:B4"/>
    <mergeCell ref="G3:I3"/>
    <mergeCell ref="J3:L3"/>
    <mergeCell ref="F3:F4"/>
    <mergeCell ref="E3:E4"/>
    <mergeCell ref="D3:D4"/>
    <mergeCell ref="C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51"/>
  <sheetViews>
    <sheetView tabSelected="1" topLeftCell="B7" zoomScale="130" zoomScaleNormal="130" workbookViewId="0">
      <selection activeCell="H18" sqref="H18"/>
    </sheetView>
  </sheetViews>
  <sheetFormatPr defaultRowHeight="15" x14ac:dyDescent="0.25"/>
  <cols>
    <col min="3" max="3" width="15.7109375" customWidth="1"/>
    <col min="4" max="4" width="13" customWidth="1"/>
    <col min="5" max="5" width="12.42578125" customWidth="1"/>
    <col min="7" max="8" width="13.85546875" style="178" customWidth="1"/>
    <col min="9" max="9" width="17.28515625" style="178" customWidth="1"/>
    <col min="10" max="10" width="18.140625" style="178" customWidth="1"/>
    <col min="11" max="11" width="22.7109375" style="178" customWidth="1"/>
  </cols>
  <sheetData>
    <row r="3" spans="2:6" x14ac:dyDescent="0.25">
      <c r="B3" s="72"/>
      <c r="C3" s="72">
        <v>1</v>
      </c>
      <c r="D3" s="72"/>
      <c r="E3" s="72"/>
      <c r="F3" s="72"/>
    </row>
    <row r="4" spans="2:6" ht="27.75" customHeight="1" x14ac:dyDescent="0.25">
      <c r="B4" s="404" t="s">
        <v>5</v>
      </c>
      <c r="C4" s="404"/>
      <c r="D4" s="404"/>
      <c r="E4" s="404"/>
      <c r="F4" s="72"/>
    </row>
    <row r="5" spans="2:6" ht="60" x14ac:dyDescent="0.25">
      <c r="B5" s="193"/>
      <c r="C5" s="193" t="s">
        <v>218</v>
      </c>
      <c r="D5" s="193" t="s">
        <v>6</v>
      </c>
      <c r="E5" s="193" t="s">
        <v>219</v>
      </c>
      <c r="F5" s="72"/>
    </row>
    <row r="6" spans="2:6" x14ac:dyDescent="0.25">
      <c r="B6" s="193">
        <v>2010</v>
      </c>
      <c r="C6" s="214" t="s">
        <v>30</v>
      </c>
      <c r="D6" s="214" t="s">
        <v>30</v>
      </c>
      <c r="E6" s="214" t="s">
        <v>30</v>
      </c>
      <c r="F6" s="72"/>
    </row>
    <row r="7" spans="2:6" x14ac:dyDescent="0.25">
      <c r="B7" s="193">
        <v>2011</v>
      </c>
      <c r="C7" s="214" t="s">
        <v>30</v>
      </c>
      <c r="D7" s="214" t="s">
        <v>30</v>
      </c>
      <c r="E7" s="214" t="s">
        <v>30</v>
      </c>
      <c r="F7" s="72"/>
    </row>
    <row r="8" spans="2:6" x14ac:dyDescent="0.25">
      <c r="B8" s="193">
        <v>2012</v>
      </c>
      <c r="C8" s="214" t="s">
        <v>30</v>
      </c>
      <c r="D8" s="214" t="s">
        <v>30</v>
      </c>
      <c r="E8" s="214" t="s">
        <v>30</v>
      </c>
      <c r="F8" s="72"/>
    </row>
    <row r="9" spans="2:6" x14ac:dyDescent="0.25">
      <c r="B9" s="193">
        <v>2013</v>
      </c>
      <c r="C9" s="214" t="s">
        <v>30</v>
      </c>
      <c r="D9" s="214" t="s">
        <v>30</v>
      </c>
      <c r="E9" s="214" t="s">
        <v>30</v>
      </c>
      <c r="F9" s="72"/>
    </row>
    <row r="10" spans="2:6" x14ac:dyDescent="0.25">
      <c r="B10" s="193">
        <v>2014</v>
      </c>
      <c r="C10" s="214" t="s">
        <v>30</v>
      </c>
      <c r="D10" s="214" t="s">
        <v>30</v>
      </c>
      <c r="E10" s="214" t="s">
        <v>30</v>
      </c>
      <c r="F10" s="72"/>
    </row>
    <row r="11" spans="2:6" x14ac:dyDescent="0.25">
      <c r="B11" s="193">
        <v>2015</v>
      </c>
      <c r="C11" s="214" t="s">
        <v>30</v>
      </c>
      <c r="D11" s="214" t="s">
        <v>30</v>
      </c>
      <c r="E11" s="214" t="s">
        <v>30</v>
      </c>
      <c r="F11" s="72"/>
    </row>
    <row r="12" spans="2:6" x14ac:dyDescent="0.25">
      <c r="B12" s="193">
        <v>2016</v>
      </c>
      <c r="C12" s="214" t="s">
        <v>30</v>
      </c>
      <c r="D12" s="214" t="s">
        <v>30</v>
      </c>
      <c r="E12" s="214" t="s">
        <v>30</v>
      </c>
      <c r="F12" s="72"/>
    </row>
    <row r="13" spans="2:6" x14ac:dyDescent="0.25">
      <c r="B13" s="193">
        <v>2017</v>
      </c>
      <c r="C13" s="214" t="s">
        <v>30</v>
      </c>
      <c r="D13" s="214" t="s">
        <v>30</v>
      </c>
      <c r="E13" s="214" t="s">
        <v>30</v>
      </c>
      <c r="F13" s="72"/>
    </row>
    <row r="14" spans="2:6" x14ac:dyDescent="0.25">
      <c r="B14" s="193">
        <v>2018</v>
      </c>
      <c r="C14" s="214" t="s">
        <v>30</v>
      </c>
      <c r="D14" s="214" t="s">
        <v>30</v>
      </c>
      <c r="E14" s="214" t="s">
        <v>30</v>
      </c>
      <c r="F14" s="72"/>
    </row>
    <row r="15" spans="2:6" x14ac:dyDescent="0.25">
      <c r="B15" s="193">
        <v>2019</v>
      </c>
      <c r="C15" s="214" t="s">
        <v>30</v>
      </c>
      <c r="D15" s="214" t="s">
        <v>30</v>
      </c>
      <c r="E15" s="214" t="s">
        <v>30</v>
      </c>
      <c r="F15" s="72"/>
    </row>
    <row r="16" spans="2:6" x14ac:dyDescent="0.25">
      <c r="B16" s="193">
        <v>2020</v>
      </c>
      <c r="C16" s="214"/>
      <c r="D16" s="214" t="s">
        <v>30</v>
      </c>
      <c r="E16" s="214" t="s">
        <v>30</v>
      </c>
      <c r="F16" s="72"/>
    </row>
    <row r="17" spans="2:11" x14ac:dyDescent="0.25">
      <c r="B17" s="193">
        <v>2021</v>
      </c>
      <c r="C17" s="261">
        <v>63610</v>
      </c>
      <c r="D17" s="261">
        <v>35000</v>
      </c>
      <c r="E17" s="261">
        <v>2340</v>
      </c>
      <c r="F17" s="72"/>
    </row>
    <row r="18" spans="2:11" x14ac:dyDescent="0.25">
      <c r="B18" s="193">
        <v>2022</v>
      </c>
      <c r="C18" s="261">
        <v>63610</v>
      </c>
      <c r="D18" s="261">
        <v>35000</v>
      </c>
      <c r="E18" s="261">
        <v>2340</v>
      </c>
      <c r="F18" s="72"/>
    </row>
    <row r="19" spans="2:11" x14ac:dyDescent="0.25">
      <c r="B19" s="193">
        <v>2023</v>
      </c>
      <c r="C19" s="261">
        <v>63610</v>
      </c>
      <c r="D19" s="261">
        <v>35000</v>
      </c>
      <c r="E19" s="261">
        <v>2340</v>
      </c>
      <c r="F19" s="72"/>
    </row>
    <row r="20" spans="2:11" x14ac:dyDescent="0.25">
      <c r="B20" s="193">
        <v>2024</v>
      </c>
      <c r="C20" s="261">
        <v>63610</v>
      </c>
      <c r="D20" s="261">
        <v>35000</v>
      </c>
      <c r="E20" s="261">
        <v>2340</v>
      </c>
      <c r="F20" s="72"/>
    </row>
    <row r="21" spans="2:11" x14ac:dyDescent="0.25">
      <c r="B21" s="193">
        <v>2025</v>
      </c>
      <c r="C21" s="261">
        <v>63610</v>
      </c>
      <c r="D21" s="261">
        <v>35000</v>
      </c>
      <c r="E21" s="261">
        <v>2340</v>
      </c>
      <c r="F21" s="72"/>
    </row>
    <row r="22" spans="2:11" x14ac:dyDescent="0.25">
      <c r="B22" s="193">
        <v>2026</v>
      </c>
      <c r="C22" s="261">
        <v>63610</v>
      </c>
      <c r="D22" s="261">
        <v>35000</v>
      </c>
      <c r="E22" s="261">
        <v>2340</v>
      </c>
      <c r="F22" s="72"/>
    </row>
    <row r="23" spans="2:11" x14ac:dyDescent="0.25">
      <c r="B23" s="193">
        <v>2027</v>
      </c>
      <c r="C23" s="261">
        <v>63610</v>
      </c>
      <c r="D23" s="261">
        <v>35000</v>
      </c>
      <c r="E23" s="261">
        <v>2340</v>
      </c>
      <c r="F23" s="72"/>
    </row>
    <row r="24" spans="2:11" x14ac:dyDescent="0.25">
      <c r="B24" s="193">
        <v>2028</v>
      </c>
      <c r="C24" s="261">
        <v>63610</v>
      </c>
      <c r="D24" s="261">
        <v>35000</v>
      </c>
      <c r="E24" s="261">
        <v>2340</v>
      </c>
      <c r="F24" s="72"/>
    </row>
    <row r="25" spans="2:11" x14ac:dyDescent="0.25">
      <c r="B25" s="193">
        <v>2029</v>
      </c>
      <c r="C25" s="261">
        <v>63610</v>
      </c>
      <c r="D25" s="261">
        <v>35000</v>
      </c>
      <c r="E25" s="261">
        <v>2340</v>
      </c>
      <c r="F25" s="72"/>
    </row>
    <row r="26" spans="2:11" x14ac:dyDescent="0.25">
      <c r="B26" s="193">
        <v>2030</v>
      </c>
      <c r="C26" s="261">
        <v>63610</v>
      </c>
      <c r="D26" s="261">
        <v>35000</v>
      </c>
      <c r="E26" s="261">
        <v>2340</v>
      </c>
      <c r="F26" s="72"/>
    </row>
    <row r="27" spans="2:11" s="105" customFormat="1" x14ac:dyDescent="0.25">
      <c r="B27" s="200"/>
      <c r="C27" s="204"/>
      <c r="D27" s="204"/>
      <c r="E27" s="204"/>
      <c r="F27" s="183"/>
      <c r="G27" t="s">
        <v>217</v>
      </c>
      <c r="H27" s="260"/>
      <c r="I27" s="260"/>
      <c r="J27" s="260"/>
      <c r="K27" s="260"/>
    </row>
    <row r="28" spans="2:11" ht="15" customHeight="1" x14ac:dyDescent="0.25">
      <c r="F28" s="403" t="s">
        <v>215</v>
      </c>
      <c r="G28" s="403"/>
      <c r="H28" s="403"/>
      <c r="I28" s="403"/>
      <c r="J28" s="403"/>
    </row>
    <row r="29" spans="2:11" ht="60" x14ac:dyDescent="0.25">
      <c r="F29" s="195">
        <f>B5</f>
        <v>0</v>
      </c>
      <c r="G29" s="194" t="s">
        <v>216</v>
      </c>
      <c r="H29" s="194" t="s">
        <v>6</v>
      </c>
      <c r="I29" s="194" t="s">
        <v>56</v>
      </c>
      <c r="J29" s="194" t="s">
        <v>126</v>
      </c>
    </row>
    <row r="30" spans="2:11" x14ac:dyDescent="0.25">
      <c r="F30" s="195">
        <f t="shared" ref="F30:F51" si="0">B6</f>
        <v>2010</v>
      </c>
      <c r="G30" s="126"/>
      <c r="H30" s="126"/>
      <c r="I30" s="126"/>
      <c r="J30" s="126"/>
    </row>
    <row r="31" spans="2:11" x14ac:dyDescent="0.25">
      <c r="F31" s="195">
        <f t="shared" si="0"/>
        <v>2011</v>
      </c>
      <c r="G31" s="126"/>
      <c r="H31" s="126"/>
      <c r="I31" s="126"/>
      <c r="J31" s="126"/>
    </row>
    <row r="32" spans="2:11" x14ac:dyDescent="0.25">
      <c r="F32" s="195">
        <f t="shared" si="0"/>
        <v>2012</v>
      </c>
      <c r="G32" s="126"/>
      <c r="H32" s="126"/>
      <c r="I32" s="126"/>
      <c r="J32" s="126"/>
    </row>
    <row r="33" spans="6:10" x14ac:dyDescent="0.25">
      <c r="F33" s="195">
        <f t="shared" si="0"/>
        <v>2013</v>
      </c>
      <c r="G33" s="126"/>
      <c r="H33" s="126"/>
      <c r="I33" s="126"/>
      <c r="J33" s="126"/>
    </row>
    <row r="34" spans="6:10" x14ac:dyDescent="0.25">
      <c r="F34" s="195">
        <f t="shared" si="0"/>
        <v>2014</v>
      </c>
      <c r="G34" s="126"/>
      <c r="H34" s="126"/>
      <c r="I34" s="126"/>
      <c r="J34" s="126"/>
    </row>
    <row r="35" spans="6:10" x14ac:dyDescent="0.25">
      <c r="F35" s="195">
        <f t="shared" si="0"/>
        <v>2015</v>
      </c>
      <c r="G35" s="126"/>
      <c r="H35" s="126"/>
      <c r="I35" s="126"/>
      <c r="J35" s="126"/>
    </row>
    <row r="36" spans="6:10" x14ac:dyDescent="0.25">
      <c r="F36" s="195">
        <f t="shared" si="0"/>
        <v>2016</v>
      </c>
      <c r="G36" s="126"/>
      <c r="H36" s="126"/>
      <c r="I36" s="126"/>
      <c r="J36" s="126"/>
    </row>
    <row r="37" spans="6:10" x14ac:dyDescent="0.25">
      <c r="F37" s="195">
        <f t="shared" si="0"/>
        <v>2017</v>
      </c>
      <c r="G37" s="126"/>
      <c r="H37" s="126"/>
      <c r="I37" s="126"/>
      <c r="J37" s="126"/>
    </row>
    <row r="38" spans="6:10" x14ac:dyDescent="0.25">
      <c r="F38" s="195">
        <f t="shared" si="0"/>
        <v>2018</v>
      </c>
      <c r="G38" s="126"/>
      <c r="H38" s="126"/>
      <c r="I38" s="126"/>
      <c r="J38" s="126"/>
    </row>
    <row r="39" spans="6:10" x14ac:dyDescent="0.25">
      <c r="F39" s="195">
        <f t="shared" si="0"/>
        <v>2019</v>
      </c>
      <c r="G39" s="126"/>
      <c r="H39" s="126"/>
      <c r="I39" s="126"/>
      <c r="J39" s="126"/>
    </row>
    <row r="40" spans="6:10" x14ac:dyDescent="0.25">
      <c r="F40" s="195">
        <f t="shared" si="0"/>
        <v>2020</v>
      </c>
      <c r="G40" s="126"/>
      <c r="H40" s="126"/>
      <c r="I40" s="126"/>
      <c r="J40" s="126"/>
    </row>
    <row r="41" spans="6:10" x14ac:dyDescent="0.25">
      <c r="F41" s="195">
        <f t="shared" si="0"/>
        <v>2021</v>
      </c>
      <c r="G41" s="126"/>
      <c r="H41" s="126"/>
      <c r="I41" s="126"/>
      <c r="J41" s="126"/>
    </row>
    <row r="42" spans="6:10" ht="16.5" customHeight="1" x14ac:dyDescent="0.25">
      <c r="F42" s="195">
        <f t="shared" si="0"/>
        <v>2022</v>
      </c>
      <c r="G42" s="126">
        <v>63610</v>
      </c>
      <c r="H42" s="126"/>
      <c r="I42" s="126" t="s">
        <v>125</v>
      </c>
      <c r="J42" s="126" t="s">
        <v>127</v>
      </c>
    </row>
    <row r="43" spans="6:10" x14ac:dyDescent="0.25">
      <c r="F43" s="195">
        <f t="shared" si="0"/>
        <v>2023</v>
      </c>
      <c r="G43" s="126"/>
      <c r="H43" s="126"/>
      <c r="I43" s="126"/>
      <c r="J43" s="126"/>
    </row>
    <row r="44" spans="6:10" x14ac:dyDescent="0.25">
      <c r="F44" s="195">
        <f t="shared" si="0"/>
        <v>2024</v>
      </c>
      <c r="G44" s="126"/>
      <c r="H44" s="126"/>
      <c r="I44" s="126"/>
      <c r="J44" s="126"/>
    </row>
    <row r="45" spans="6:10" x14ac:dyDescent="0.25">
      <c r="F45" s="195">
        <f t="shared" si="0"/>
        <v>2025</v>
      </c>
      <c r="G45" s="126"/>
      <c r="H45" s="126"/>
      <c r="I45" s="126"/>
      <c r="J45" s="126"/>
    </row>
    <row r="46" spans="6:10" x14ac:dyDescent="0.25">
      <c r="F46" s="195">
        <f t="shared" si="0"/>
        <v>2026</v>
      </c>
      <c r="G46" s="126"/>
      <c r="H46" s="126"/>
      <c r="I46" s="126"/>
      <c r="J46" s="126"/>
    </row>
    <row r="47" spans="6:10" x14ac:dyDescent="0.25">
      <c r="F47" s="195">
        <f t="shared" si="0"/>
        <v>2027</v>
      </c>
      <c r="G47" s="126"/>
      <c r="H47" s="126"/>
      <c r="I47" s="126"/>
      <c r="J47" s="126"/>
    </row>
    <row r="48" spans="6:10" x14ac:dyDescent="0.25">
      <c r="F48" s="195">
        <f t="shared" si="0"/>
        <v>2028</v>
      </c>
      <c r="G48" s="126"/>
      <c r="H48" s="126"/>
      <c r="I48" s="126"/>
      <c r="J48" s="126"/>
    </row>
    <row r="49" spans="6:10" x14ac:dyDescent="0.25">
      <c r="F49" s="195">
        <f t="shared" si="0"/>
        <v>2029</v>
      </c>
      <c r="G49" s="126"/>
      <c r="H49" s="126"/>
      <c r="I49" s="126"/>
      <c r="J49" s="126"/>
    </row>
    <row r="50" spans="6:10" x14ac:dyDescent="0.25">
      <c r="F50" s="195">
        <f t="shared" si="0"/>
        <v>2030</v>
      </c>
      <c r="G50" s="126"/>
      <c r="H50" s="126"/>
      <c r="I50" s="126"/>
      <c r="J50" s="126"/>
    </row>
    <row r="51" spans="6:10" x14ac:dyDescent="0.25">
      <c r="F51" s="195">
        <f t="shared" si="0"/>
        <v>0</v>
      </c>
      <c r="G51" s="126"/>
      <c r="H51" s="126"/>
      <c r="I51" s="126"/>
      <c r="J51" s="126"/>
    </row>
  </sheetData>
  <mergeCells count="2">
    <mergeCell ref="F28:J28"/>
    <mergeCell ref="B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49"/>
  <sheetViews>
    <sheetView topLeftCell="I35" zoomScaleNormal="100" workbookViewId="0">
      <selection activeCell="J44" sqref="J44"/>
    </sheetView>
  </sheetViews>
  <sheetFormatPr defaultRowHeight="15" x14ac:dyDescent="0.25"/>
  <cols>
    <col min="4" max="4" width="11.28515625" customWidth="1"/>
    <col min="5" max="6" width="15.7109375" customWidth="1"/>
    <col min="7" max="7" width="13" customWidth="1"/>
    <col min="8" max="8" width="12.42578125" customWidth="1"/>
    <col min="10" max="11" width="16.140625" customWidth="1"/>
    <col min="12" max="12" width="27" customWidth="1"/>
    <col min="13" max="16" width="16.140625" customWidth="1"/>
    <col min="17" max="17" width="24.7109375" customWidth="1"/>
  </cols>
  <sheetData>
    <row r="3" spans="2:9" x14ac:dyDescent="0.25">
      <c r="B3" s="72"/>
      <c r="C3" s="72"/>
      <c r="D3" s="72"/>
      <c r="E3" s="72">
        <v>1</v>
      </c>
      <c r="F3" s="72"/>
      <c r="G3" s="72"/>
      <c r="H3" s="72"/>
      <c r="I3" s="72"/>
    </row>
    <row r="4" spans="2:9" ht="18.75" customHeight="1" x14ac:dyDescent="0.25">
      <c r="B4" s="405" t="s">
        <v>211</v>
      </c>
      <c r="C4" s="405"/>
      <c r="D4" s="405"/>
      <c r="E4" s="405"/>
      <c r="F4" s="405"/>
      <c r="G4" s="405"/>
      <c r="H4" s="405"/>
      <c r="I4" s="72"/>
    </row>
    <row r="5" spans="2:9" ht="75" x14ac:dyDescent="0.25">
      <c r="B5" s="196"/>
      <c r="C5" s="198" t="s">
        <v>200</v>
      </c>
      <c r="D5" s="196" t="s">
        <v>198</v>
      </c>
      <c r="E5" s="196" t="s">
        <v>199</v>
      </c>
      <c r="F5" s="196" t="s">
        <v>201</v>
      </c>
      <c r="G5" s="196" t="s">
        <v>6</v>
      </c>
      <c r="H5" s="196" t="s">
        <v>219</v>
      </c>
      <c r="I5" s="72"/>
    </row>
    <row r="6" spans="2:9" x14ac:dyDescent="0.25">
      <c r="B6" s="196">
        <v>2010</v>
      </c>
      <c r="C6" s="205"/>
      <c r="D6" s="206"/>
      <c r="E6" s="207"/>
      <c r="F6" s="207">
        <v>0</v>
      </c>
      <c r="G6" s="208"/>
      <c r="H6" s="207">
        <v>0</v>
      </c>
      <c r="I6" s="72"/>
    </row>
    <row r="7" spans="2:9" x14ac:dyDescent="0.25">
      <c r="B7" s="196">
        <v>2011</v>
      </c>
      <c r="C7" s="205"/>
      <c r="D7" s="206"/>
      <c r="E7" s="207"/>
      <c r="F7" s="207">
        <v>0</v>
      </c>
      <c r="G7" s="208"/>
      <c r="H7" s="207">
        <v>0</v>
      </c>
      <c r="I7" s="72"/>
    </row>
    <row r="8" spans="2:9" x14ac:dyDescent="0.25">
      <c r="B8" s="196">
        <v>2012</v>
      </c>
      <c r="C8" s="205"/>
      <c r="D8" s="206"/>
      <c r="E8" s="207"/>
      <c r="F8" s="207">
        <v>0</v>
      </c>
      <c r="G8" s="208"/>
      <c r="H8" s="207">
        <v>0</v>
      </c>
      <c r="I8" s="72"/>
    </row>
    <row r="9" spans="2:9" x14ac:dyDescent="0.25">
      <c r="B9" s="196">
        <v>2013</v>
      </c>
      <c r="C9" s="205"/>
      <c r="D9" s="206"/>
      <c r="E9" s="207"/>
      <c r="F9" s="207">
        <v>0</v>
      </c>
      <c r="G9" s="208"/>
      <c r="H9" s="207">
        <v>0</v>
      </c>
      <c r="I9" s="72"/>
    </row>
    <row r="10" spans="2:9" x14ac:dyDescent="0.25">
      <c r="B10" s="196">
        <v>2014</v>
      </c>
      <c r="C10" s="205"/>
      <c r="D10" s="206"/>
      <c r="E10" s="207"/>
      <c r="F10" s="207">
        <v>0</v>
      </c>
      <c r="G10" s="208"/>
      <c r="H10" s="207">
        <v>0</v>
      </c>
      <c r="I10" s="72"/>
    </row>
    <row r="11" spans="2:9" x14ac:dyDescent="0.25">
      <c r="B11" s="196">
        <v>2015</v>
      </c>
      <c r="C11" s="205"/>
      <c r="D11" s="206"/>
      <c r="E11" s="207"/>
      <c r="F11" s="207">
        <v>0</v>
      </c>
      <c r="G11" s="208"/>
      <c r="H11" s="207">
        <v>0</v>
      </c>
      <c r="I11" s="72"/>
    </row>
    <row r="12" spans="2:9" x14ac:dyDescent="0.25">
      <c r="B12" s="196">
        <v>2016</v>
      </c>
      <c r="C12" s="205"/>
      <c r="D12" s="206"/>
      <c r="E12" s="207"/>
      <c r="F12" s="207">
        <v>0</v>
      </c>
      <c r="G12" s="208"/>
      <c r="H12" s="207">
        <v>0</v>
      </c>
      <c r="I12" s="72"/>
    </row>
    <row r="13" spans="2:9" x14ac:dyDescent="0.25">
      <c r="B13" s="196">
        <v>2017</v>
      </c>
      <c r="C13" s="205"/>
      <c r="D13" s="206"/>
      <c r="E13" s="207"/>
      <c r="F13" s="207">
        <v>0</v>
      </c>
      <c r="G13" s="208"/>
      <c r="H13" s="207">
        <v>0</v>
      </c>
      <c r="I13" s="72"/>
    </row>
    <row r="14" spans="2:9" x14ac:dyDescent="0.25">
      <c r="B14" s="196">
        <v>2018</v>
      </c>
      <c r="C14" s="205"/>
      <c r="D14" s="206"/>
      <c r="E14" s="207"/>
      <c r="F14" s="207">
        <v>0</v>
      </c>
      <c r="G14" s="208"/>
      <c r="H14" s="207">
        <v>0</v>
      </c>
      <c r="I14" s="72"/>
    </row>
    <row r="15" spans="2:9" x14ac:dyDescent="0.25">
      <c r="B15" s="196">
        <v>2019</v>
      </c>
      <c r="C15" s="205"/>
      <c r="D15" s="206"/>
      <c r="E15" s="207"/>
      <c r="F15" s="207">
        <v>0</v>
      </c>
      <c r="G15" s="208"/>
      <c r="H15" s="207">
        <v>0</v>
      </c>
      <c r="I15" s="72"/>
    </row>
    <row r="16" spans="2:9" x14ac:dyDescent="0.25">
      <c r="B16" s="196">
        <v>2020</v>
      </c>
      <c r="C16" s="205">
        <v>1650</v>
      </c>
      <c r="D16" s="206">
        <v>0.5</v>
      </c>
      <c r="E16" s="207">
        <v>301125</v>
      </c>
      <c r="F16" s="207">
        <f>E16</f>
        <v>301125</v>
      </c>
      <c r="G16" s="208"/>
      <c r="H16" s="207">
        <v>-34226.987685</v>
      </c>
      <c r="I16" s="72"/>
    </row>
    <row r="17" spans="2:20" x14ac:dyDescent="0.25">
      <c r="B17" s="196">
        <v>2021</v>
      </c>
      <c r="C17" s="205">
        <v>1800</v>
      </c>
      <c r="D17" s="206">
        <v>0.5</v>
      </c>
      <c r="E17" s="207">
        <v>328500</v>
      </c>
      <c r="F17" s="207">
        <f>F16+E17</f>
        <v>629625</v>
      </c>
      <c r="G17" s="208"/>
      <c r="H17" s="207">
        <v>-34357.431881770273</v>
      </c>
      <c r="I17" s="72"/>
    </row>
    <row r="18" spans="2:20" x14ac:dyDescent="0.25">
      <c r="B18" s="196">
        <v>2022</v>
      </c>
      <c r="C18" s="205"/>
      <c r="D18" s="206"/>
      <c r="E18" s="207">
        <v>0</v>
      </c>
      <c r="F18" s="207">
        <f t="shared" ref="F18:F26" si="0">F17+E18</f>
        <v>629625</v>
      </c>
      <c r="G18" s="208"/>
      <c r="H18" s="207">
        <v>33103.364990694521</v>
      </c>
      <c r="I18" s="72"/>
    </row>
    <row r="19" spans="2:20" x14ac:dyDescent="0.25">
      <c r="B19" s="196">
        <v>2023</v>
      </c>
      <c r="C19" s="205">
        <v>1000</v>
      </c>
      <c r="D19" s="206">
        <v>0.5</v>
      </c>
      <c r="E19" s="207">
        <v>182500</v>
      </c>
      <c r="F19" s="207">
        <f t="shared" si="0"/>
        <v>812125</v>
      </c>
      <c r="G19" s="208"/>
      <c r="H19" s="207">
        <v>61366.98469106952</v>
      </c>
      <c r="I19" s="72"/>
    </row>
    <row r="20" spans="2:20" x14ac:dyDescent="0.25">
      <c r="B20" s="196">
        <v>2024</v>
      </c>
      <c r="C20" s="205"/>
      <c r="D20" s="206"/>
      <c r="E20" s="207">
        <v>0</v>
      </c>
      <c r="F20" s="207">
        <f t="shared" si="0"/>
        <v>812125</v>
      </c>
      <c r="G20" s="208"/>
      <c r="H20" s="207">
        <v>120074.99500587868</v>
      </c>
      <c r="I20" s="72"/>
    </row>
    <row r="21" spans="2:20" x14ac:dyDescent="0.25">
      <c r="B21" s="196">
        <v>2025</v>
      </c>
      <c r="C21" s="205">
        <v>2000</v>
      </c>
      <c r="D21" s="206">
        <v>0.5</v>
      </c>
      <c r="E21" s="207">
        <v>365000</v>
      </c>
      <c r="F21" s="207">
        <f t="shared" si="0"/>
        <v>1177125</v>
      </c>
      <c r="G21" s="208"/>
      <c r="H21" s="207">
        <v>122004.60676487643</v>
      </c>
      <c r="I21" s="72"/>
    </row>
    <row r="22" spans="2:20" x14ac:dyDescent="0.25">
      <c r="B22" s="196">
        <v>2026</v>
      </c>
      <c r="C22" s="205"/>
      <c r="D22" s="206"/>
      <c r="E22" s="207">
        <v>0</v>
      </c>
      <c r="F22" s="207">
        <f t="shared" si="0"/>
        <v>1177125</v>
      </c>
      <c r="G22" s="208"/>
      <c r="H22" s="207">
        <v>199768.10104094673</v>
      </c>
      <c r="I22" s="72"/>
    </row>
    <row r="23" spans="2:20" x14ac:dyDescent="0.25">
      <c r="B23" s="196">
        <v>2027</v>
      </c>
      <c r="C23" s="205"/>
      <c r="D23" s="206"/>
      <c r="E23" s="207">
        <v>0</v>
      </c>
      <c r="F23" s="207">
        <f t="shared" si="0"/>
        <v>1177125</v>
      </c>
      <c r="G23" s="208"/>
      <c r="H23" s="207">
        <v>257357.90332111699</v>
      </c>
      <c r="I23" s="72"/>
    </row>
    <row r="24" spans="2:20" x14ac:dyDescent="0.25">
      <c r="B24" s="196">
        <v>2028</v>
      </c>
      <c r="C24" s="205"/>
      <c r="D24" s="206"/>
      <c r="E24" s="207">
        <v>0</v>
      </c>
      <c r="F24" s="207">
        <f t="shared" si="0"/>
        <v>1177125</v>
      </c>
      <c r="G24" s="208"/>
      <c r="H24" s="207">
        <v>300752.02101460297</v>
      </c>
      <c r="I24" s="72"/>
    </row>
    <row r="25" spans="2:20" x14ac:dyDescent="0.25">
      <c r="B25" s="196">
        <v>2029</v>
      </c>
      <c r="C25" s="205"/>
      <c r="D25" s="206"/>
      <c r="E25" s="207">
        <v>0</v>
      </c>
      <c r="F25" s="207">
        <f t="shared" si="0"/>
        <v>1177125</v>
      </c>
      <c r="G25" s="208"/>
      <c r="H25" s="207">
        <v>332432.3816375623</v>
      </c>
      <c r="I25" s="72"/>
    </row>
    <row r="26" spans="2:20" ht="18" customHeight="1" x14ac:dyDescent="0.25">
      <c r="B26" s="196">
        <v>2030</v>
      </c>
      <c r="C26" s="205"/>
      <c r="D26" s="206"/>
      <c r="E26" s="207">
        <v>0</v>
      </c>
      <c r="F26" s="207">
        <f t="shared" si="0"/>
        <v>1177125</v>
      </c>
      <c r="G26" s="208"/>
      <c r="H26" s="207">
        <v>360273.05924431985</v>
      </c>
      <c r="I26" s="72"/>
      <c r="J26" t="s">
        <v>217</v>
      </c>
    </row>
    <row r="27" spans="2:20" s="105" customFormat="1" ht="18" customHeight="1" x14ac:dyDescent="0.25">
      <c r="B27" s="200"/>
      <c r="C27" s="201"/>
      <c r="D27" s="202"/>
      <c r="E27" s="203"/>
      <c r="F27" s="203"/>
      <c r="G27" s="204"/>
      <c r="H27" s="203"/>
      <c r="I27" s="400" t="s">
        <v>212</v>
      </c>
      <c r="J27" s="400"/>
      <c r="K27" s="400"/>
      <c r="L27" s="400"/>
      <c r="M27" s="400"/>
      <c r="N27" s="400"/>
      <c r="O27" s="400"/>
    </row>
    <row r="28" spans="2:20" ht="81.75" customHeight="1" x14ac:dyDescent="0.25">
      <c r="B28" s="72"/>
      <c r="C28" s="72"/>
      <c r="D28" s="72"/>
      <c r="E28" s="72"/>
      <c r="F28" s="72"/>
      <c r="G28" s="72"/>
      <c r="H28" s="72"/>
      <c r="I28" s="196" t="s">
        <v>210</v>
      </c>
      <c r="J28" s="197" t="s">
        <v>59</v>
      </c>
      <c r="K28" s="197" t="s">
        <v>185</v>
      </c>
      <c r="L28" s="197" t="s">
        <v>183</v>
      </c>
      <c r="M28" s="197" t="s">
        <v>184</v>
      </c>
      <c r="N28" s="197" t="s">
        <v>186</v>
      </c>
      <c r="O28" s="197" t="s">
        <v>14</v>
      </c>
      <c r="P28" s="197" t="s">
        <v>6</v>
      </c>
      <c r="Q28" s="197" t="s">
        <v>144</v>
      </c>
      <c r="R28" s="178"/>
      <c r="S28" s="178"/>
      <c r="T28" s="178"/>
    </row>
    <row r="29" spans="2:20" x14ac:dyDescent="0.25">
      <c r="I29" s="196">
        <v>2010</v>
      </c>
      <c r="J29" s="209"/>
      <c r="K29" s="209"/>
      <c r="L29" s="209"/>
      <c r="M29" s="209"/>
      <c r="N29" s="209"/>
      <c r="O29" s="209"/>
      <c r="P29" s="209"/>
      <c r="Q29" s="209"/>
      <c r="R29" s="178"/>
      <c r="S29" s="178"/>
      <c r="T29" s="178"/>
    </row>
    <row r="30" spans="2:20" x14ac:dyDescent="0.25">
      <c r="I30" s="196">
        <v>2011</v>
      </c>
      <c r="J30" s="209"/>
      <c r="K30" s="209"/>
      <c r="L30" s="209"/>
      <c r="M30" s="209"/>
      <c r="N30" s="209"/>
      <c r="O30" s="209"/>
      <c r="P30" s="209"/>
      <c r="Q30" s="209"/>
      <c r="R30" s="178"/>
      <c r="S30" s="178"/>
      <c r="T30" s="178"/>
    </row>
    <row r="31" spans="2:20" x14ac:dyDescent="0.25">
      <c r="I31" s="196">
        <v>2012</v>
      </c>
      <c r="J31" s="209"/>
      <c r="K31" s="209"/>
      <c r="L31" s="209"/>
      <c r="M31" s="209"/>
      <c r="N31" s="209"/>
      <c r="O31" s="209"/>
      <c r="P31" s="209"/>
      <c r="Q31" s="209"/>
      <c r="R31" s="178"/>
      <c r="S31" s="178"/>
      <c r="T31" s="178"/>
    </row>
    <row r="32" spans="2:20" x14ac:dyDescent="0.25">
      <c r="I32" s="196">
        <v>2013</v>
      </c>
      <c r="J32" s="209"/>
      <c r="K32" s="209"/>
      <c r="L32" s="209"/>
      <c r="M32" s="209"/>
      <c r="N32" s="209"/>
      <c r="O32" s="209"/>
      <c r="P32" s="209"/>
      <c r="Q32" s="209"/>
      <c r="R32" s="178"/>
      <c r="S32" s="178"/>
      <c r="T32" s="178"/>
    </row>
    <row r="33" spans="9:20" x14ac:dyDescent="0.25">
      <c r="I33" s="196">
        <v>2014</v>
      </c>
      <c r="J33" s="209"/>
      <c r="K33" s="209"/>
      <c r="L33" s="209"/>
      <c r="M33" s="209"/>
      <c r="N33" s="209"/>
      <c r="O33" s="209"/>
      <c r="P33" s="209"/>
      <c r="Q33" s="209"/>
      <c r="R33" s="178"/>
      <c r="S33" s="178"/>
      <c r="T33" s="178"/>
    </row>
    <row r="34" spans="9:20" x14ac:dyDescent="0.25">
      <c r="I34" s="196">
        <v>2015</v>
      </c>
      <c r="J34" s="209"/>
      <c r="K34" s="209"/>
      <c r="L34" s="209"/>
      <c r="M34" s="209"/>
      <c r="N34" s="209"/>
      <c r="O34" s="209"/>
      <c r="P34" s="209"/>
      <c r="Q34" s="209"/>
      <c r="R34" s="178"/>
      <c r="S34" s="178"/>
      <c r="T34" s="178"/>
    </row>
    <row r="35" spans="9:20" x14ac:dyDescent="0.25">
      <c r="I35" s="196">
        <v>2016</v>
      </c>
      <c r="J35" s="209"/>
      <c r="K35" s="209"/>
      <c r="L35" s="209"/>
      <c r="M35" s="209"/>
      <c r="N35" s="209"/>
      <c r="O35" s="209"/>
      <c r="P35" s="209"/>
      <c r="Q35" s="209"/>
      <c r="R35" s="178"/>
      <c r="S35" s="178"/>
      <c r="T35" s="178"/>
    </row>
    <row r="36" spans="9:20" x14ac:dyDescent="0.25">
      <c r="I36" s="196">
        <v>2017</v>
      </c>
      <c r="J36" s="209"/>
      <c r="K36" s="209"/>
      <c r="L36" s="209"/>
      <c r="M36" s="209"/>
      <c r="N36" s="209"/>
      <c r="O36" s="209"/>
      <c r="P36" s="209"/>
      <c r="Q36" s="209"/>
      <c r="R36" s="178"/>
      <c r="S36" s="178"/>
      <c r="T36" s="178"/>
    </row>
    <row r="37" spans="9:20" x14ac:dyDescent="0.25">
      <c r="I37" s="196">
        <v>2018</v>
      </c>
      <c r="J37" s="209"/>
      <c r="K37" s="209"/>
      <c r="L37" s="209"/>
      <c r="M37" s="209"/>
      <c r="N37" s="209"/>
      <c r="O37" s="209"/>
      <c r="P37" s="209"/>
      <c r="Q37" s="209"/>
      <c r="R37" s="178"/>
      <c r="S37" s="178"/>
      <c r="T37" s="178"/>
    </row>
    <row r="38" spans="9:20" x14ac:dyDescent="0.25">
      <c r="I38" s="196">
        <v>2019</v>
      </c>
      <c r="J38" s="209"/>
      <c r="K38" s="209"/>
      <c r="L38" s="209"/>
      <c r="M38" s="209"/>
      <c r="N38" s="209"/>
      <c r="O38" s="209"/>
      <c r="P38" s="209"/>
      <c r="Q38" s="209"/>
      <c r="R38" s="178"/>
      <c r="S38" s="178"/>
      <c r="T38" s="178"/>
    </row>
    <row r="39" spans="9:20" ht="63.75" customHeight="1" x14ac:dyDescent="0.25">
      <c r="I39" s="196">
        <v>2020</v>
      </c>
      <c r="J39" s="199" t="s">
        <v>132</v>
      </c>
      <c r="K39" s="199" t="s">
        <v>136</v>
      </c>
      <c r="L39" s="199" t="s">
        <v>207</v>
      </c>
      <c r="M39" s="199">
        <v>0.5</v>
      </c>
      <c r="N39" s="199">
        <v>301125</v>
      </c>
      <c r="O39" s="199" t="s">
        <v>139</v>
      </c>
      <c r="P39" s="199" t="s">
        <v>142</v>
      </c>
      <c r="Q39" s="199" t="s">
        <v>145</v>
      </c>
      <c r="R39" s="178"/>
      <c r="S39" s="178"/>
      <c r="T39" s="178"/>
    </row>
    <row r="40" spans="9:20" ht="63.75" customHeight="1" x14ac:dyDescent="0.25">
      <c r="I40" s="196">
        <v>2021</v>
      </c>
      <c r="J40" s="199" t="s">
        <v>133</v>
      </c>
      <c r="K40" s="199" t="s">
        <v>103</v>
      </c>
      <c r="L40" s="199" t="s">
        <v>208</v>
      </c>
      <c r="M40" s="199">
        <v>0.5</v>
      </c>
      <c r="N40" s="199">
        <v>328500</v>
      </c>
      <c r="O40" s="199" t="s">
        <v>105</v>
      </c>
      <c r="P40" s="199" t="s">
        <v>143</v>
      </c>
      <c r="Q40" s="199" t="s">
        <v>108</v>
      </c>
      <c r="R40" s="178"/>
      <c r="S40" s="178"/>
      <c r="T40" s="178"/>
    </row>
    <row r="41" spans="9:20" x14ac:dyDescent="0.25">
      <c r="I41" s="196">
        <v>2022</v>
      </c>
      <c r="J41" s="199"/>
      <c r="K41" s="199"/>
      <c r="L41" s="199"/>
      <c r="M41" s="199"/>
      <c r="N41" s="199"/>
      <c r="O41" s="199"/>
      <c r="P41" s="199"/>
      <c r="Q41" s="199"/>
      <c r="R41" s="178"/>
      <c r="S41" s="178"/>
      <c r="T41" s="178"/>
    </row>
    <row r="42" spans="9:20" ht="75.75" customHeight="1" x14ac:dyDescent="0.25">
      <c r="I42" s="196">
        <v>2023</v>
      </c>
      <c r="J42" s="199" t="s">
        <v>134</v>
      </c>
      <c r="K42" s="199" t="s">
        <v>137</v>
      </c>
      <c r="L42" s="199" t="s">
        <v>182</v>
      </c>
      <c r="M42" s="199">
        <v>0.5</v>
      </c>
      <c r="N42" s="199">
        <v>182500</v>
      </c>
      <c r="O42" s="199" t="s">
        <v>140</v>
      </c>
      <c r="P42" s="199"/>
      <c r="Q42" s="199" t="s">
        <v>146</v>
      </c>
      <c r="R42" s="178"/>
      <c r="S42" s="178"/>
      <c r="T42" s="178"/>
    </row>
    <row r="43" spans="9:20" x14ac:dyDescent="0.25">
      <c r="I43" s="196">
        <v>2024</v>
      </c>
      <c r="J43" s="199"/>
      <c r="K43" s="199"/>
      <c r="L43" s="199"/>
      <c r="M43" s="199"/>
      <c r="N43" s="199"/>
      <c r="O43" s="199"/>
      <c r="P43" s="199"/>
      <c r="Q43" s="199"/>
      <c r="R43" s="178"/>
      <c r="S43" s="178"/>
      <c r="T43" s="178"/>
    </row>
    <row r="44" spans="9:20" ht="64.5" customHeight="1" x14ac:dyDescent="0.25">
      <c r="I44" s="196">
        <v>2025</v>
      </c>
      <c r="J44" s="199" t="s">
        <v>135</v>
      </c>
      <c r="K44" s="199" t="s">
        <v>138</v>
      </c>
      <c r="L44" s="199" t="s">
        <v>209</v>
      </c>
      <c r="M44" s="199">
        <v>0.5</v>
      </c>
      <c r="N44" s="199">
        <v>365000</v>
      </c>
      <c r="O44" s="199" t="s">
        <v>141</v>
      </c>
      <c r="P44" s="199"/>
      <c r="Q44" s="199" t="s">
        <v>147</v>
      </c>
      <c r="R44" s="178"/>
      <c r="S44" s="178"/>
      <c r="T44" s="178"/>
    </row>
    <row r="45" spans="9:20" x14ac:dyDescent="0.25">
      <c r="I45" s="196">
        <v>2026</v>
      </c>
      <c r="J45" s="199"/>
      <c r="K45" s="199"/>
      <c r="L45" s="199"/>
      <c r="M45" s="199"/>
      <c r="N45" s="199">
        <v>0</v>
      </c>
      <c r="O45" s="199"/>
      <c r="P45" s="199"/>
      <c r="Q45" s="199"/>
      <c r="R45" s="178"/>
      <c r="S45" s="178"/>
      <c r="T45" s="178"/>
    </row>
    <row r="46" spans="9:20" x14ac:dyDescent="0.25">
      <c r="I46" s="196">
        <v>2027</v>
      </c>
      <c r="J46" s="199"/>
      <c r="K46" s="199"/>
      <c r="L46" s="199"/>
      <c r="M46" s="199"/>
      <c r="N46" s="199">
        <v>0</v>
      </c>
      <c r="O46" s="199"/>
      <c r="P46" s="199"/>
      <c r="Q46" s="199"/>
      <c r="R46" s="178"/>
      <c r="S46" s="178"/>
      <c r="T46" s="178"/>
    </row>
    <row r="47" spans="9:20" x14ac:dyDescent="0.25">
      <c r="I47" s="196">
        <v>2028</v>
      </c>
      <c r="J47" s="199"/>
      <c r="K47" s="199"/>
      <c r="L47" s="199"/>
      <c r="M47" s="199"/>
      <c r="N47" s="199">
        <v>0</v>
      </c>
      <c r="O47" s="199"/>
      <c r="P47" s="199"/>
      <c r="Q47" s="199"/>
      <c r="R47" s="178"/>
      <c r="S47" s="178"/>
      <c r="T47" s="178"/>
    </row>
    <row r="48" spans="9:20" x14ac:dyDescent="0.25">
      <c r="I48" s="196">
        <v>2029</v>
      </c>
      <c r="J48" s="199"/>
      <c r="K48" s="199"/>
      <c r="L48" s="199"/>
      <c r="M48" s="199"/>
      <c r="N48" s="199">
        <v>0</v>
      </c>
      <c r="O48" s="199"/>
      <c r="P48" s="199"/>
      <c r="Q48" s="199"/>
      <c r="R48" s="178"/>
      <c r="S48" s="178"/>
      <c r="T48" s="178"/>
    </row>
    <row r="49" spans="9:20" x14ac:dyDescent="0.25">
      <c r="I49" s="196">
        <v>2030</v>
      </c>
      <c r="J49" s="199"/>
      <c r="K49" s="199"/>
      <c r="L49" s="199"/>
      <c r="M49" s="199"/>
      <c r="N49" s="199">
        <v>0</v>
      </c>
      <c r="O49" s="199"/>
      <c r="P49" s="199"/>
      <c r="Q49" s="199"/>
      <c r="R49" s="178"/>
      <c r="S49" s="178"/>
      <c r="T49" s="178"/>
    </row>
  </sheetData>
  <mergeCells count="2">
    <mergeCell ref="I27:O27"/>
    <mergeCell ref="B4:H4"/>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9"/>
  <sheetViews>
    <sheetView zoomScale="40" zoomScaleNormal="40" workbookViewId="0">
      <selection activeCell="K13" sqref="K13"/>
    </sheetView>
  </sheetViews>
  <sheetFormatPr defaultRowHeight="15" x14ac:dyDescent="0.25"/>
  <cols>
    <col min="3" max="3" width="12.7109375" customWidth="1"/>
    <col min="4" max="4" width="15.140625" customWidth="1"/>
    <col min="5" max="5" width="15.7109375" customWidth="1"/>
    <col min="6" max="6" width="13" customWidth="1"/>
    <col min="7" max="8" width="12.42578125" customWidth="1"/>
    <col min="11" max="16" width="17.28515625" customWidth="1"/>
  </cols>
  <sheetData>
    <row r="3" spans="2:17" x14ac:dyDescent="0.25">
      <c r="B3" s="72"/>
      <c r="C3" s="72"/>
      <c r="D3" s="72"/>
      <c r="E3" s="72"/>
      <c r="F3" s="72"/>
      <c r="G3" s="72"/>
      <c r="H3" s="72"/>
      <c r="I3" s="72"/>
    </row>
    <row r="4" spans="2:17" ht="48.75" customHeight="1" x14ac:dyDescent="0.25">
      <c r="B4" s="72"/>
      <c r="C4" s="72"/>
      <c r="D4" s="72"/>
      <c r="E4" s="406"/>
      <c r="F4" s="406"/>
      <c r="G4" s="406"/>
      <c r="H4" s="151"/>
      <c r="I4" s="72"/>
      <c r="J4" t="s">
        <v>128</v>
      </c>
      <c r="Q4" s="178"/>
    </row>
    <row r="5" spans="2:17" s="178" customFormat="1" ht="71.25" customHeight="1" x14ac:dyDescent="0.25">
      <c r="B5" s="73"/>
      <c r="C5" s="73" t="s">
        <v>203</v>
      </c>
      <c r="D5" s="73" t="str">
        <f>'REKAPTDKAKUMULASI+indikasi dana'!C10</f>
        <v>Prosentase Pengomposan</v>
      </c>
      <c r="E5" s="177" t="s">
        <v>202</v>
      </c>
      <c r="F5" s="73" t="s">
        <v>6</v>
      </c>
      <c r="G5" s="73" t="s">
        <v>219</v>
      </c>
      <c r="H5" s="187"/>
    </row>
    <row r="6" spans="2:17" x14ac:dyDescent="0.25">
      <c r="B6" s="73">
        <v>2010</v>
      </c>
      <c r="C6" s="179"/>
      <c r="D6" s="179"/>
      <c r="E6" s="180" t="s">
        <v>30</v>
      </c>
      <c r="F6" s="180" t="s">
        <v>30</v>
      </c>
      <c r="G6" s="180">
        <v>0</v>
      </c>
      <c r="H6" s="188"/>
    </row>
    <row r="7" spans="2:17" x14ac:dyDescent="0.25">
      <c r="B7" s="73">
        <v>2011</v>
      </c>
      <c r="C7" s="179"/>
      <c r="D7" s="179"/>
      <c r="E7" s="180" t="s">
        <v>30</v>
      </c>
      <c r="F7" s="180" t="s">
        <v>30</v>
      </c>
      <c r="G7" s="180">
        <v>0</v>
      </c>
      <c r="H7" s="188"/>
    </row>
    <row r="8" spans="2:17" x14ac:dyDescent="0.25">
      <c r="B8" s="73">
        <v>2012</v>
      </c>
      <c r="C8" s="179"/>
      <c r="D8" s="179"/>
      <c r="E8" s="180" t="s">
        <v>30</v>
      </c>
      <c r="F8" s="180" t="s">
        <v>30</v>
      </c>
      <c r="G8" s="180">
        <v>0</v>
      </c>
      <c r="H8" s="188"/>
    </row>
    <row r="9" spans="2:17" x14ac:dyDescent="0.25">
      <c r="B9" s="73">
        <v>2013</v>
      </c>
      <c r="C9" s="179"/>
      <c r="D9" s="179"/>
      <c r="E9" s="180" t="s">
        <v>30</v>
      </c>
      <c r="F9" s="180" t="s">
        <v>30</v>
      </c>
      <c r="G9" s="180">
        <v>0</v>
      </c>
      <c r="H9" s="188"/>
    </row>
    <row r="10" spans="2:17" x14ac:dyDescent="0.25">
      <c r="B10" s="73">
        <v>2014</v>
      </c>
      <c r="C10" s="179"/>
      <c r="D10" s="179"/>
      <c r="E10" s="180" t="s">
        <v>30</v>
      </c>
      <c r="F10" s="180" t="s">
        <v>30</v>
      </c>
      <c r="G10" s="180">
        <v>0</v>
      </c>
      <c r="H10" s="188"/>
    </row>
    <row r="11" spans="2:17" x14ac:dyDescent="0.25">
      <c r="B11" s="73">
        <v>2015</v>
      </c>
      <c r="C11" s="179"/>
      <c r="D11" s="179"/>
      <c r="E11" s="180" t="s">
        <v>30</v>
      </c>
      <c r="F11" s="180" t="s">
        <v>30</v>
      </c>
      <c r="G11" s="180">
        <v>0</v>
      </c>
      <c r="H11" s="188"/>
    </row>
    <row r="12" spans="2:17" x14ac:dyDescent="0.25">
      <c r="B12" s="73">
        <v>2016</v>
      </c>
      <c r="C12" s="179"/>
      <c r="D12" s="179"/>
      <c r="E12" s="180" t="s">
        <v>30</v>
      </c>
      <c r="F12" s="180" t="s">
        <v>30</v>
      </c>
      <c r="G12" s="180">
        <v>0</v>
      </c>
      <c r="H12" s="188"/>
    </row>
    <row r="13" spans="2:17" x14ac:dyDescent="0.25">
      <c r="B13" s="73">
        <v>2017</v>
      </c>
      <c r="C13" s="181">
        <f>'REKAPTDKAKUMULASI+indikasi dana'!L9</f>
        <v>1800</v>
      </c>
      <c r="D13" s="182">
        <f>'REKAPTDKAKUMULASI+indikasi dana'!L10</f>
        <v>0.1</v>
      </c>
      <c r="E13" s="179">
        <f>'REKAPTDKAKUMULASI+indikasi dana'!L11</f>
        <v>65700</v>
      </c>
      <c r="F13" s="180" t="s">
        <v>30</v>
      </c>
      <c r="G13" s="180">
        <v>-11917.98</v>
      </c>
      <c r="H13" s="188"/>
    </row>
    <row r="14" spans="2:17" x14ac:dyDescent="0.25">
      <c r="B14" s="73">
        <v>2018</v>
      </c>
      <c r="C14" s="181">
        <f>C13</f>
        <v>1800</v>
      </c>
      <c r="D14" s="182">
        <f t="shared" ref="D14:E14" si="0">D13</f>
        <v>0.1</v>
      </c>
      <c r="E14" s="181">
        <f t="shared" si="0"/>
        <v>65700</v>
      </c>
      <c r="F14" s="180" t="s">
        <v>30</v>
      </c>
      <c r="G14" s="180">
        <v>9739.1966749986823</v>
      </c>
      <c r="H14" s="188"/>
    </row>
    <row r="15" spans="2:17" x14ac:dyDescent="0.25">
      <c r="B15" s="73">
        <v>2019</v>
      </c>
      <c r="C15" s="181">
        <f t="shared" ref="C15:C26" si="1">C14</f>
        <v>1800</v>
      </c>
      <c r="D15" s="182">
        <f t="shared" ref="D15:D26" si="2">D14</f>
        <v>0.1</v>
      </c>
      <c r="E15" s="181">
        <f t="shared" ref="E15:E26" si="3">E14</f>
        <v>65700</v>
      </c>
      <c r="F15" s="180" t="s">
        <v>30</v>
      </c>
      <c r="G15" s="180">
        <v>26216.470715095431</v>
      </c>
      <c r="H15" s="188"/>
    </row>
    <row r="16" spans="2:17" x14ac:dyDescent="0.25">
      <c r="B16" s="73">
        <v>2020</v>
      </c>
      <c r="C16" s="181">
        <f t="shared" si="1"/>
        <v>1800</v>
      </c>
      <c r="D16" s="182">
        <f t="shared" si="2"/>
        <v>0.1</v>
      </c>
      <c r="E16" s="181">
        <f t="shared" si="3"/>
        <v>65700</v>
      </c>
      <c r="F16" s="180" t="s">
        <v>30</v>
      </c>
      <c r="G16" s="180">
        <v>38951.582045251402</v>
      </c>
      <c r="H16" s="188"/>
    </row>
    <row r="17" spans="2:18" x14ac:dyDescent="0.25">
      <c r="B17" s="73">
        <v>2021</v>
      </c>
      <c r="C17" s="181">
        <f t="shared" si="1"/>
        <v>1800</v>
      </c>
      <c r="D17" s="182">
        <f t="shared" si="2"/>
        <v>0.1</v>
      </c>
      <c r="E17" s="181">
        <f t="shared" si="3"/>
        <v>65700</v>
      </c>
      <c r="F17" s="180"/>
      <c r="G17" s="180">
        <v>48949.22863096236</v>
      </c>
      <c r="H17" s="188"/>
    </row>
    <row r="18" spans="2:18" x14ac:dyDescent="0.25">
      <c r="B18" s="73">
        <v>2022</v>
      </c>
      <c r="C18" s="181">
        <f t="shared" si="1"/>
        <v>1800</v>
      </c>
      <c r="D18" s="182">
        <f t="shared" si="2"/>
        <v>0.1</v>
      </c>
      <c r="E18" s="181">
        <f t="shared" si="3"/>
        <v>65700</v>
      </c>
      <c r="F18" s="180"/>
      <c r="G18" s="180">
        <v>56917.472604194976</v>
      </c>
      <c r="H18" s="188"/>
    </row>
    <row r="19" spans="2:18" x14ac:dyDescent="0.25">
      <c r="B19" s="73">
        <v>2023</v>
      </c>
      <c r="C19" s="181">
        <f t="shared" si="1"/>
        <v>1800</v>
      </c>
      <c r="D19" s="182">
        <f t="shared" si="2"/>
        <v>0.1</v>
      </c>
      <c r="E19" s="181">
        <f t="shared" si="3"/>
        <v>65700</v>
      </c>
      <c r="F19" s="180"/>
      <c r="G19" s="180">
        <v>63360.168696160559</v>
      </c>
      <c r="H19" s="188"/>
    </row>
    <row r="20" spans="2:18" x14ac:dyDescent="0.25">
      <c r="B20" s="73">
        <v>2024</v>
      </c>
      <c r="C20" s="181">
        <f t="shared" si="1"/>
        <v>1800</v>
      </c>
      <c r="D20" s="182">
        <f t="shared" si="2"/>
        <v>0.1</v>
      </c>
      <c r="E20" s="181">
        <f t="shared" si="3"/>
        <v>65700</v>
      </c>
      <c r="F20" s="180"/>
      <c r="G20" s="180">
        <v>68639.75840221328</v>
      </c>
      <c r="H20" s="188"/>
    </row>
    <row r="21" spans="2:18" x14ac:dyDescent="0.25">
      <c r="B21" s="73">
        <v>2025</v>
      </c>
      <c r="C21" s="181">
        <f t="shared" si="1"/>
        <v>1800</v>
      </c>
      <c r="D21" s="182">
        <f t="shared" si="2"/>
        <v>0.1</v>
      </c>
      <c r="E21" s="181">
        <f t="shared" si="3"/>
        <v>65700</v>
      </c>
      <c r="F21" s="180"/>
      <c r="G21" s="180">
        <v>73020.068816233717</v>
      </c>
      <c r="H21" s="188"/>
    </row>
    <row r="22" spans="2:18" x14ac:dyDescent="0.25">
      <c r="B22" s="73">
        <v>2026</v>
      </c>
      <c r="C22" s="181">
        <f t="shared" si="1"/>
        <v>1800</v>
      </c>
      <c r="D22" s="182">
        <f t="shared" si="2"/>
        <v>0.1</v>
      </c>
      <c r="E22" s="181">
        <f t="shared" si="3"/>
        <v>65700</v>
      </c>
      <c r="F22" s="180"/>
      <c r="G22" s="180">
        <v>76695.597767936575</v>
      </c>
      <c r="H22" s="188"/>
    </row>
    <row r="23" spans="2:18" x14ac:dyDescent="0.25">
      <c r="B23" s="73">
        <v>2027</v>
      </c>
      <c r="C23" s="181">
        <f t="shared" si="1"/>
        <v>1800</v>
      </c>
      <c r="D23" s="182">
        <f t="shared" si="2"/>
        <v>0.1</v>
      </c>
      <c r="E23" s="181">
        <f t="shared" si="3"/>
        <v>65700</v>
      </c>
      <c r="F23" s="180"/>
      <c r="G23" s="180">
        <v>79811.647293792761</v>
      </c>
      <c r="H23" s="188"/>
    </row>
    <row r="24" spans="2:18" x14ac:dyDescent="0.25">
      <c r="B24" s="73">
        <v>2028</v>
      </c>
      <c r="C24" s="181">
        <f t="shared" si="1"/>
        <v>1800</v>
      </c>
      <c r="D24" s="182">
        <f t="shared" si="2"/>
        <v>0.1</v>
      </c>
      <c r="E24" s="181">
        <f t="shared" si="3"/>
        <v>65700</v>
      </c>
      <c r="F24" s="180"/>
      <c r="G24" s="180">
        <v>82478.243961462897</v>
      </c>
      <c r="H24" s="188"/>
    </row>
    <row r="25" spans="2:18" x14ac:dyDescent="0.25">
      <c r="B25" s="73">
        <v>2029</v>
      </c>
      <c r="C25" s="181">
        <f t="shared" si="1"/>
        <v>1800</v>
      </c>
      <c r="D25" s="182">
        <f t="shared" si="2"/>
        <v>0.1</v>
      </c>
      <c r="E25" s="181">
        <f t="shared" si="3"/>
        <v>65700</v>
      </c>
      <c r="F25" s="180"/>
      <c r="G25" s="180">
        <v>84779.828083120985</v>
      </c>
      <c r="H25" s="188"/>
      <c r="J25" t="s">
        <v>217</v>
      </c>
    </row>
    <row r="26" spans="2:18" x14ac:dyDescent="0.25">
      <c r="B26" s="73">
        <v>2030</v>
      </c>
      <c r="C26" s="181">
        <f t="shared" si="1"/>
        <v>1800</v>
      </c>
      <c r="D26" s="182">
        <f t="shared" si="2"/>
        <v>0.1</v>
      </c>
      <c r="E26" s="181">
        <f t="shared" si="3"/>
        <v>65700</v>
      </c>
      <c r="F26" s="180"/>
      <c r="G26" s="180">
        <v>86782.050781524871</v>
      </c>
      <c r="H26" s="188"/>
    </row>
    <row r="27" spans="2:18" x14ac:dyDescent="0.25">
      <c r="B27" s="72"/>
      <c r="C27" s="184"/>
      <c r="D27" s="184"/>
      <c r="E27" s="184"/>
      <c r="F27" s="185"/>
      <c r="G27" s="72"/>
      <c r="H27" s="72"/>
      <c r="I27" s="407" t="s">
        <v>206</v>
      </c>
      <c r="J27" s="409" t="s">
        <v>205</v>
      </c>
      <c r="K27" s="410"/>
      <c r="L27" s="410"/>
      <c r="M27" s="410"/>
      <c r="N27" s="410"/>
      <c r="O27" s="410"/>
      <c r="P27" s="411"/>
    </row>
    <row r="28" spans="2:18" ht="46.5" customHeight="1" x14ac:dyDescent="0.25">
      <c r="C28" s="186"/>
      <c r="D28" s="186"/>
      <c r="E28" s="186"/>
      <c r="F28" s="186"/>
      <c r="I28" s="408"/>
      <c r="J28" s="190" t="s">
        <v>59</v>
      </c>
      <c r="K28" s="190" t="s">
        <v>69</v>
      </c>
      <c r="L28" s="190" t="s">
        <v>129</v>
      </c>
      <c r="M28" s="190" t="s">
        <v>75</v>
      </c>
      <c r="N28" s="190" t="s">
        <v>6</v>
      </c>
      <c r="O28" s="190" t="s">
        <v>82</v>
      </c>
      <c r="P28" s="190" t="s">
        <v>92</v>
      </c>
      <c r="Q28" s="178"/>
      <c r="R28" s="178"/>
    </row>
    <row r="29" spans="2:18" x14ac:dyDescent="0.25">
      <c r="C29" s="186"/>
      <c r="D29" s="186"/>
      <c r="E29" s="186"/>
      <c r="F29" s="186"/>
      <c r="I29" s="191">
        <v>2010</v>
      </c>
      <c r="J29" s="189"/>
      <c r="K29" s="189"/>
      <c r="L29" s="189"/>
      <c r="M29" s="189"/>
      <c r="N29" s="189"/>
      <c r="O29" s="189"/>
      <c r="P29" s="189"/>
      <c r="Q29" s="178"/>
      <c r="R29" s="178"/>
    </row>
    <row r="30" spans="2:18" x14ac:dyDescent="0.25">
      <c r="I30" s="191">
        <v>2011</v>
      </c>
      <c r="J30" s="189"/>
      <c r="K30" s="189"/>
      <c r="L30" s="189"/>
      <c r="M30" s="189"/>
      <c r="N30" s="189"/>
      <c r="O30" s="189"/>
      <c r="P30" s="189"/>
      <c r="Q30" s="178"/>
      <c r="R30" s="178"/>
    </row>
    <row r="31" spans="2:18" x14ac:dyDescent="0.25">
      <c r="I31" s="191">
        <v>2012</v>
      </c>
      <c r="J31" s="189"/>
      <c r="K31" s="189"/>
      <c r="L31" s="189"/>
      <c r="M31" s="189"/>
      <c r="N31" s="189"/>
      <c r="O31" s="189"/>
      <c r="P31" s="189"/>
      <c r="Q31" s="178"/>
      <c r="R31" s="178"/>
    </row>
    <row r="32" spans="2:18" x14ac:dyDescent="0.25">
      <c r="I32" s="191">
        <v>2013</v>
      </c>
      <c r="J32" s="189"/>
      <c r="K32" s="189"/>
      <c r="L32" s="189"/>
      <c r="M32" s="189"/>
      <c r="N32" s="189"/>
      <c r="O32" s="189"/>
      <c r="P32" s="189"/>
      <c r="Q32" s="178"/>
      <c r="R32" s="178"/>
    </row>
    <row r="33" spans="9:18" x14ac:dyDescent="0.25">
      <c r="I33" s="191">
        <v>2014</v>
      </c>
      <c r="J33" s="189"/>
      <c r="K33" s="189"/>
      <c r="L33" s="189"/>
      <c r="M33" s="189"/>
      <c r="N33" s="189"/>
      <c r="O33" s="189"/>
      <c r="P33" s="189"/>
      <c r="Q33" s="178"/>
      <c r="R33" s="178"/>
    </row>
    <row r="34" spans="9:18" x14ac:dyDescent="0.25">
      <c r="I34" s="191">
        <v>2015</v>
      </c>
      <c r="J34" s="189"/>
      <c r="K34" s="189"/>
      <c r="L34" s="189"/>
      <c r="M34" s="189"/>
      <c r="N34" s="189"/>
      <c r="O34" s="189"/>
      <c r="P34" s="189"/>
      <c r="Q34" s="178"/>
      <c r="R34" s="178"/>
    </row>
    <row r="35" spans="9:18" x14ac:dyDescent="0.25">
      <c r="I35" s="191">
        <v>2016</v>
      </c>
      <c r="J35" s="189"/>
      <c r="K35" s="189"/>
      <c r="L35" s="189"/>
      <c r="M35" s="189"/>
      <c r="N35" s="189"/>
      <c r="O35" s="189"/>
      <c r="P35" s="189"/>
      <c r="Q35" s="178"/>
      <c r="R35" s="178"/>
    </row>
    <row r="36" spans="9:18" ht="82.5" customHeight="1" x14ac:dyDescent="0.25">
      <c r="I36" s="191">
        <v>2017</v>
      </c>
      <c r="J36" s="189" t="s">
        <v>60</v>
      </c>
      <c r="K36" s="189" t="s">
        <v>70</v>
      </c>
      <c r="L36" s="192">
        <v>0.1</v>
      </c>
      <c r="M36" s="189" t="s">
        <v>76</v>
      </c>
      <c r="N36" s="189" t="s">
        <v>130</v>
      </c>
      <c r="O36" s="189" t="s">
        <v>83</v>
      </c>
      <c r="P36" s="189" t="s">
        <v>204</v>
      </c>
      <c r="Q36" s="178"/>
      <c r="R36" s="178"/>
    </row>
    <row r="37" spans="9:18" x14ac:dyDescent="0.25">
      <c r="I37" s="191">
        <v>2018</v>
      </c>
      <c r="J37" s="189"/>
      <c r="K37" s="189"/>
      <c r="L37" s="189"/>
      <c r="M37" s="189"/>
      <c r="N37" s="189"/>
      <c r="O37" s="189"/>
      <c r="P37" s="189"/>
      <c r="Q37" s="178"/>
      <c r="R37" s="178"/>
    </row>
    <row r="38" spans="9:18" x14ac:dyDescent="0.25">
      <c r="I38" s="191">
        <v>2019</v>
      </c>
      <c r="J38" s="189"/>
      <c r="K38" s="189"/>
      <c r="L38" s="189"/>
      <c r="M38" s="189"/>
      <c r="N38" s="189"/>
      <c r="O38" s="189"/>
      <c r="P38" s="189"/>
      <c r="Q38" s="178"/>
      <c r="R38" s="178"/>
    </row>
    <row r="39" spans="9:18" x14ac:dyDescent="0.25">
      <c r="I39" s="191">
        <v>2020</v>
      </c>
      <c r="J39" s="189"/>
      <c r="K39" s="189"/>
      <c r="L39" s="189"/>
      <c r="M39" s="189"/>
      <c r="N39" s="189"/>
      <c r="O39" s="189"/>
      <c r="P39" s="189"/>
      <c r="Q39" s="178"/>
      <c r="R39" s="178"/>
    </row>
    <row r="40" spans="9:18" x14ac:dyDescent="0.25">
      <c r="I40" s="191">
        <v>2021</v>
      </c>
      <c r="J40" s="189"/>
      <c r="K40" s="189"/>
      <c r="L40" s="189"/>
      <c r="M40" s="189"/>
      <c r="N40" s="189"/>
      <c r="O40" s="189"/>
      <c r="P40" s="189"/>
      <c r="Q40" s="178"/>
      <c r="R40" s="178"/>
    </row>
    <row r="41" spans="9:18" x14ac:dyDescent="0.25">
      <c r="I41" s="191">
        <v>2022</v>
      </c>
      <c r="J41" s="189"/>
      <c r="K41" s="189"/>
      <c r="L41" s="189"/>
      <c r="M41" s="189"/>
      <c r="N41" s="189"/>
      <c r="O41" s="189"/>
      <c r="P41" s="189"/>
      <c r="Q41" s="178"/>
      <c r="R41" s="178"/>
    </row>
    <row r="42" spans="9:18" x14ac:dyDescent="0.25">
      <c r="I42" s="191">
        <v>2023</v>
      </c>
      <c r="J42" s="189"/>
      <c r="K42" s="189"/>
      <c r="L42" s="189"/>
      <c r="M42" s="189"/>
      <c r="N42" s="189"/>
      <c r="O42" s="189"/>
      <c r="P42" s="189"/>
      <c r="Q42" s="178"/>
      <c r="R42" s="178"/>
    </row>
    <row r="43" spans="9:18" x14ac:dyDescent="0.25">
      <c r="I43" s="191">
        <v>2024</v>
      </c>
      <c r="J43" s="189"/>
      <c r="K43" s="189"/>
      <c r="L43" s="189"/>
      <c r="M43" s="189"/>
      <c r="N43" s="189"/>
      <c r="O43" s="189"/>
      <c r="P43" s="189"/>
      <c r="Q43" s="178"/>
      <c r="R43" s="178"/>
    </row>
    <row r="44" spans="9:18" x14ac:dyDescent="0.25">
      <c r="I44" s="191">
        <v>2025</v>
      </c>
      <c r="J44" s="189"/>
      <c r="K44" s="189"/>
      <c r="L44" s="189"/>
      <c r="M44" s="189"/>
      <c r="N44" s="189"/>
      <c r="O44" s="189"/>
      <c r="P44" s="189"/>
      <c r="Q44" s="178"/>
      <c r="R44" s="178"/>
    </row>
    <row r="45" spans="9:18" x14ac:dyDescent="0.25">
      <c r="I45" s="191">
        <v>2026</v>
      </c>
      <c r="J45" s="189"/>
      <c r="K45" s="189"/>
      <c r="L45" s="189"/>
      <c r="M45" s="189"/>
      <c r="N45" s="189"/>
      <c r="O45" s="189"/>
      <c r="P45" s="189"/>
      <c r="Q45" s="178"/>
      <c r="R45" s="178"/>
    </row>
    <row r="46" spans="9:18" x14ac:dyDescent="0.25">
      <c r="I46" s="191">
        <v>2027</v>
      </c>
      <c r="J46" s="189"/>
      <c r="K46" s="189"/>
      <c r="L46" s="189"/>
      <c r="M46" s="189"/>
      <c r="N46" s="189"/>
      <c r="O46" s="189"/>
      <c r="P46" s="189"/>
      <c r="Q46" s="178"/>
      <c r="R46" s="178"/>
    </row>
    <row r="47" spans="9:18" x14ac:dyDescent="0.25">
      <c r="I47" s="191">
        <v>2028</v>
      </c>
      <c r="J47" s="189"/>
      <c r="K47" s="189"/>
      <c r="L47" s="189"/>
      <c r="M47" s="189"/>
      <c r="N47" s="189"/>
      <c r="O47" s="189"/>
      <c r="P47" s="189"/>
      <c r="Q47" s="178"/>
      <c r="R47" s="178"/>
    </row>
    <row r="48" spans="9:18" x14ac:dyDescent="0.25">
      <c r="I48" s="191">
        <v>2029</v>
      </c>
      <c r="J48" s="189"/>
      <c r="K48" s="189"/>
      <c r="L48" s="189"/>
      <c r="M48" s="189"/>
      <c r="N48" s="189"/>
      <c r="O48" s="189"/>
      <c r="P48" s="189"/>
      <c r="Q48" s="178"/>
      <c r="R48" s="178"/>
    </row>
    <row r="49" spans="9:18" x14ac:dyDescent="0.25">
      <c r="I49" s="191">
        <v>2030</v>
      </c>
      <c r="J49" s="189"/>
      <c r="K49" s="189"/>
      <c r="L49" s="189"/>
      <c r="M49" s="189"/>
      <c r="N49" s="189"/>
      <c r="O49" s="189"/>
      <c r="P49" s="189"/>
      <c r="Q49" s="178"/>
      <c r="R49" s="178"/>
    </row>
  </sheetData>
  <mergeCells count="3">
    <mergeCell ref="E4:G4"/>
    <mergeCell ref="I27:I28"/>
    <mergeCell ref="J27:P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awal bMaria+bIrni</vt:lpstr>
      <vt:lpstr>Pengolahan data tidak akumulasi</vt:lpstr>
      <vt:lpstr>REKAPTDKAKUMULASI+indikasi dana</vt:lpstr>
      <vt:lpstr>REKAP PENURUNAN EMISI</vt:lpstr>
      <vt:lpstr>3R</vt:lpstr>
      <vt:lpstr>IPAL Aerob</vt:lpstr>
      <vt:lpstr>Pengolahan Thermal</vt:lpstr>
      <vt:lpstr>Komposting di TPA</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Dewi Nur Adiyanti</dc:creator>
  <cp:lastModifiedBy>Cici</cp:lastModifiedBy>
  <dcterms:created xsi:type="dcterms:W3CDTF">2018-08-08T01:51:02Z</dcterms:created>
  <dcterms:modified xsi:type="dcterms:W3CDTF">2018-11-22T09:11:03Z</dcterms:modified>
</cp:coreProperties>
</file>