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AJI ULANG RAD GRK JABAR\REVIEW KAJI ULANG RAD GRK JABAR\PERTANIAN\"/>
    </mc:Choice>
  </mc:AlternateContent>
  <bookViews>
    <workbookView xWindow="0" yWindow="0" windowWidth="21600" windowHeight="9735" firstSheet="2" activeTab="2"/>
  </bookViews>
  <sheets>
    <sheet name="Sheet2" sheetId="2" state="hidden" r:id="rId1"/>
    <sheet name="Sheet3" sheetId="3" state="hidden" r:id="rId2"/>
    <sheet name="REKAP PENURUNAN EMISI" sheetId="7" r:id="rId3"/>
    <sheet name="DATA 2005-2017" sheetId="10" r:id="rId4"/>
    <sheet name="DATA UPPO" sheetId="8" r:id="rId5"/>
    <sheet name="PTT DAN SRI" sheetId="5" r:id="rId6"/>
    <sheet name="VARIETAS" sheetId="6" r:id="rId7"/>
    <sheet name="UPPO" sheetId="9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52511"/>
</workbook>
</file>

<file path=xl/calcChain.xml><?xml version="1.0" encoding="utf-8"?>
<calcChain xmlns="http://schemas.openxmlformats.org/spreadsheetml/2006/main">
  <c r="Q45" i="7" l="1"/>
  <c r="S45" i="7"/>
  <c r="D23" i="7" l="1"/>
  <c r="E23" i="7"/>
  <c r="F23" i="7"/>
  <c r="P23" i="7" s="1"/>
  <c r="G23" i="7"/>
  <c r="H23" i="7" s="1"/>
  <c r="L23" i="7"/>
  <c r="M23" i="7"/>
  <c r="M44" i="7" s="1"/>
  <c r="N23" i="7"/>
  <c r="O23" i="7"/>
  <c r="Q23" i="7"/>
  <c r="Q44" i="7" s="1"/>
  <c r="D24" i="7"/>
  <c r="L24" i="7" s="1"/>
  <c r="E24" i="7"/>
  <c r="N24" i="7" s="1"/>
  <c r="F24" i="7"/>
  <c r="M24" i="7"/>
  <c r="O24" i="7"/>
  <c r="O44" i="7" s="1"/>
  <c r="P24" i="7"/>
  <c r="Q24" i="7"/>
  <c r="D25" i="7"/>
  <c r="E25" i="7"/>
  <c r="F25" i="7"/>
  <c r="G25" i="7"/>
  <c r="H25" i="7" s="1"/>
  <c r="L25" i="7"/>
  <c r="R25" i="7" s="1"/>
  <c r="M25" i="7"/>
  <c r="S25" i="7" s="1"/>
  <c r="N25" i="7"/>
  <c r="O25" i="7"/>
  <c r="P25" i="7"/>
  <c r="Q25" i="7"/>
  <c r="D26" i="7"/>
  <c r="L26" i="7" s="1"/>
  <c r="E26" i="7"/>
  <c r="N26" i="7" s="1"/>
  <c r="F26" i="7"/>
  <c r="M26" i="7"/>
  <c r="O26" i="7"/>
  <c r="S26" i="7" s="1"/>
  <c r="P26" i="7"/>
  <c r="Q26" i="7"/>
  <c r="D27" i="7"/>
  <c r="E27" i="7"/>
  <c r="F27" i="7"/>
  <c r="P27" i="7" s="1"/>
  <c r="G27" i="7"/>
  <c r="H27" i="7" s="1"/>
  <c r="L27" i="7"/>
  <c r="M27" i="7"/>
  <c r="S27" i="7" s="1"/>
  <c r="N27" i="7"/>
  <c r="O27" i="7"/>
  <c r="Q27" i="7"/>
  <c r="D28" i="7"/>
  <c r="L28" i="7" s="1"/>
  <c r="E28" i="7"/>
  <c r="N28" i="7" s="1"/>
  <c r="F28" i="7"/>
  <c r="M28" i="7"/>
  <c r="O28" i="7"/>
  <c r="P28" i="7"/>
  <c r="Q28" i="7"/>
  <c r="S28" i="7"/>
  <c r="D29" i="7"/>
  <c r="E29" i="7"/>
  <c r="F29" i="7"/>
  <c r="G29" i="7"/>
  <c r="H29" i="7" s="1"/>
  <c r="L29" i="7"/>
  <c r="R29" i="7" s="1"/>
  <c r="M29" i="7"/>
  <c r="S29" i="7" s="1"/>
  <c r="N29" i="7"/>
  <c r="O29" i="7"/>
  <c r="P29" i="7"/>
  <c r="Q29" i="7"/>
  <c r="D30" i="7"/>
  <c r="L30" i="7" s="1"/>
  <c r="E30" i="7"/>
  <c r="N30" i="7" s="1"/>
  <c r="F30" i="7"/>
  <c r="M30" i="7"/>
  <c r="O30" i="7"/>
  <c r="P30" i="7"/>
  <c r="Q30" i="7"/>
  <c r="S30" i="7"/>
  <c r="D31" i="7"/>
  <c r="E31" i="7"/>
  <c r="F31" i="7"/>
  <c r="P31" i="7" s="1"/>
  <c r="G31" i="7"/>
  <c r="H31" i="7" s="1"/>
  <c r="L31" i="7"/>
  <c r="M31" i="7"/>
  <c r="S31" i="7" s="1"/>
  <c r="N31" i="7"/>
  <c r="O31" i="7"/>
  <c r="Q31" i="7"/>
  <c r="D32" i="7"/>
  <c r="L32" i="7" s="1"/>
  <c r="E32" i="7"/>
  <c r="N32" i="7" s="1"/>
  <c r="F32" i="7"/>
  <c r="M32" i="7"/>
  <c r="O32" i="7"/>
  <c r="P32" i="7"/>
  <c r="Q32" i="7"/>
  <c r="S32" i="7"/>
  <c r="D33" i="7"/>
  <c r="E33" i="7"/>
  <c r="F33" i="7"/>
  <c r="G33" i="7"/>
  <c r="H33" i="7" s="1"/>
  <c r="L33" i="7"/>
  <c r="R33" i="7" s="1"/>
  <c r="M33" i="7"/>
  <c r="S33" i="7" s="1"/>
  <c r="N33" i="7"/>
  <c r="O33" i="7"/>
  <c r="P33" i="7"/>
  <c r="Q33" i="7"/>
  <c r="D34" i="7"/>
  <c r="L34" i="7" s="1"/>
  <c r="R34" i="7" s="1"/>
  <c r="E34" i="7"/>
  <c r="N34" i="7" s="1"/>
  <c r="F34" i="7"/>
  <c r="M34" i="7"/>
  <c r="O34" i="7"/>
  <c r="S34" i="7" s="1"/>
  <c r="P34" i="7"/>
  <c r="Q34" i="7"/>
  <c r="D35" i="7"/>
  <c r="E35" i="7"/>
  <c r="F35" i="7"/>
  <c r="G35" i="7"/>
  <c r="H35" i="7" s="1"/>
  <c r="L35" i="7"/>
  <c r="R35" i="7" s="1"/>
  <c r="M35" i="7"/>
  <c r="S35" i="7" s="1"/>
  <c r="N35" i="7"/>
  <c r="O35" i="7"/>
  <c r="P35" i="7"/>
  <c r="Q35" i="7"/>
  <c r="D36" i="7"/>
  <c r="L36" i="7" s="1"/>
  <c r="E36" i="7"/>
  <c r="N36" i="7" s="1"/>
  <c r="F36" i="7"/>
  <c r="M36" i="7"/>
  <c r="O36" i="7"/>
  <c r="P36" i="7"/>
  <c r="Q36" i="7"/>
  <c r="S36" i="7"/>
  <c r="D37" i="7"/>
  <c r="E37" i="7"/>
  <c r="N37" i="7" s="1"/>
  <c r="F37" i="7"/>
  <c r="P37" i="7" s="1"/>
  <c r="G37" i="7"/>
  <c r="H37" i="7" s="1"/>
  <c r="L37" i="7"/>
  <c r="M37" i="7"/>
  <c r="S37" i="7" s="1"/>
  <c r="O37" i="7"/>
  <c r="Q37" i="7"/>
  <c r="D38" i="7"/>
  <c r="L38" i="7" s="1"/>
  <c r="E38" i="7"/>
  <c r="N38" i="7" s="1"/>
  <c r="F38" i="7"/>
  <c r="M38" i="7"/>
  <c r="O38" i="7"/>
  <c r="S38" i="7" s="1"/>
  <c r="P38" i="7"/>
  <c r="Q38" i="7"/>
  <c r="D39" i="7"/>
  <c r="E39" i="7"/>
  <c r="N39" i="7" s="1"/>
  <c r="F39" i="7"/>
  <c r="G39" i="7"/>
  <c r="H39" i="7" s="1"/>
  <c r="L39" i="7"/>
  <c r="R39" i="7" s="1"/>
  <c r="M39" i="7"/>
  <c r="S39" i="7" s="1"/>
  <c r="O39" i="7"/>
  <c r="P39" i="7"/>
  <c r="Q39" i="7"/>
  <c r="D40" i="7"/>
  <c r="L40" i="7" s="1"/>
  <c r="E40" i="7"/>
  <c r="N40" i="7" s="1"/>
  <c r="F40" i="7"/>
  <c r="M40" i="7"/>
  <c r="O40" i="7"/>
  <c r="S40" i="7" s="1"/>
  <c r="P40" i="7"/>
  <c r="Q40" i="7"/>
  <c r="D41" i="7"/>
  <c r="E41" i="7"/>
  <c r="N41" i="7" s="1"/>
  <c r="F41" i="7"/>
  <c r="G41" i="7"/>
  <c r="H41" i="7" s="1"/>
  <c r="L41" i="7"/>
  <c r="R41" i="7" s="1"/>
  <c r="M41" i="7"/>
  <c r="S41" i="7" s="1"/>
  <c r="O41" i="7"/>
  <c r="P41" i="7"/>
  <c r="Q41" i="7"/>
  <c r="D42" i="7"/>
  <c r="L42" i="7" s="1"/>
  <c r="E42" i="7"/>
  <c r="N42" i="7" s="1"/>
  <c r="F42" i="7"/>
  <c r="M42" i="7"/>
  <c r="O42" i="7"/>
  <c r="P42" i="7"/>
  <c r="Q42" i="7"/>
  <c r="S42" i="7"/>
  <c r="D43" i="7"/>
  <c r="E43" i="7"/>
  <c r="N43" i="7" s="1"/>
  <c r="F43" i="7"/>
  <c r="G43" i="7"/>
  <c r="H43" i="7" s="1"/>
  <c r="L43" i="7"/>
  <c r="M43" i="7"/>
  <c r="S43" i="7" s="1"/>
  <c r="O43" i="7"/>
  <c r="P43" i="7"/>
  <c r="Q43" i="7"/>
  <c r="R26" i="7" l="1"/>
  <c r="N44" i="7"/>
  <c r="R32" i="7"/>
  <c r="R27" i="7"/>
  <c r="O45" i="7"/>
  <c r="R24" i="7"/>
  <c r="L44" i="7"/>
  <c r="M45" i="7"/>
  <c r="R28" i="7"/>
  <c r="P44" i="7"/>
  <c r="R43" i="7"/>
  <c r="R42" i="7"/>
  <c r="R40" i="7"/>
  <c r="R38" i="7"/>
  <c r="R37" i="7"/>
  <c r="R36" i="7"/>
  <c r="R31" i="7"/>
  <c r="R30" i="7"/>
  <c r="R23" i="7"/>
  <c r="R44" i="7" s="1"/>
  <c r="H44" i="7"/>
  <c r="I43" i="7"/>
  <c r="G42" i="7"/>
  <c r="I41" i="7"/>
  <c r="G40" i="7"/>
  <c r="I39" i="7"/>
  <c r="G38" i="7"/>
  <c r="I37" i="7"/>
  <c r="G36" i="7"/>
  <c r="I35" i="7"/>
  <c r="G34" i="7"/>
  <c r="I33" i="7"/>
  <c r="G32" i="7"/>
  <c r="I31" i="7"/>
  <c r="G30" i="7"/>
  <c r="I29" i="7"/>
  <c r="G28" i="7"/>
  <c r="I27" i="7"/>
  <c r="G26" i="7"/>
  <c r="I25" i="7"/>
  <c r="G24" i="7"/>
  <c r="S23" i="7"/>
  <c r="I23" i="7"/>
  <c r="S24" i="7"/>
  <c r="H30" i="7" l="1"/>
  <c r="I30" i="7"/>
  <c r="I38" i="7"/>
  <c r="H38" i="7"/>
  <c r="S44" i="7"/>
  <c r="I26" i="7"/>
  <c r="H26" i="7"/>
  <c r="I34" i="7"/>
  <c r="H34" i="7"/>
  <c r="H42" i="7"/>
  <c r="I42" i="7"/>
  <c r="H24" i="7"/>
  <c r="I24" i="7"/>
  <c r="I28" i="7"/>
  <c r="H28" i="7"/>
  <c r="H32" i="7"/>
  <c r="I32" i="7"/>
  <c r="H36" i="7"/>
  <c r="I36" i="7"/>
  <c r="H40" i="7"/>
  <c r="I40" i="7"/>
  <c r="C10" i="9"/>
  <c r="D10" i="9" s="1"/>
  <c r="F10" i="9" s="1"/>
  <c r="H10" i="9" s="1"/>
  <c r="C11" i="9"/>
  <c r="D11" i="9" s="1"/>
  <c r="F11" i="9" s="1"/>
  <c r="H11" i="9" s="1"/>
  <c r="C12" i="9"/>
  <c r="D12" i="9" s="1"/>
  <c r="F12" i="9" s="1"/>
  <c r="H12" i="9" s="1"/>
  <c r="C13" i="9"/>
  <c r="D13" i="9" s="1"/>
  <c r="F13" i="9" s="1"/>
  <c r="H13" i="9" s="1"/>
  <c r="D15" i="9" l="1"/>
  <c r="F15" i="9" s="1"/>
  <c r="H15" i="9" s="1"/>
  <c r="C15" i="9"/>
  <c r="C16" i="9"/>
  <c r="D16" i="9" s="1"/>
  <c r="F16" i="9" s="1"/>
  <c r="H16" i="9" s="1"/>
  <c r="C14" i="9"/>
  <c r="D14" i="9" s="1"/>
  <c r="F14" i="9" s="1"/>
  <c r="H14" i="9" s="1"/>
  <c r="K5" i="7" l="1"/>
  <c r="J5" i="7"/>
  <c r="I5" i="7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K71" i="5"/>
  <c r="J71" i="5"/>
  <c r="M62" i="5"/>
  <c r="M63" i="5"/>
  <c r="M64" i="5"/>
  <c r="M65" i="5"/>
  <c r="M66" i="5"/>
  <c r="M67" i="5"/>
  <c r="M68" i="5"/>
  <c r="M61" i="5"/>
  <c r="M69" i="5" l="1"/>
  <c r="L71" i="5" s="1"/>
  <c r="E9" i="7"/>
  <c r="E10" i="7" s="1"/>
  <c r="E6" i="7"/>
  <c r="E7" i="7" s="1"/>
  <c r="D86" i="5"/>
  <c r="D87" i="5"/>
  <c r="D88" i="5"/>
  <c r="D89" i="5"/>
  <c r="D90" i="5"/>
  <c r="D91" i="5"/>
  <c r="D48" i="5"/>
  <c r="D49" i="5"/>
  <c r="D50" i="5"/>
  <c r="D51" i="5"/>
  <c r="D52" i="5"/>
  <c r="D32" i="5"/>
  <c r="B69" i="5" l="1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36" i="5"/>
  <c r="D37" i="5"/>
  <c r="D38" i="5"/>
  <c r="D39" i="5"/>
  <c r="D40" i="5"/>
  <c r="D41" i="5"/>
  <c r="D42" i="5"/>
  <c r="D43" i="5"/>
  <c r="D44" i="5"/>
  <c r="D45" i="5"/>
  <c r="D46" i="5"/>
  <c r="D47" i="5"/>
  <c r="D48" i="10" l="1"/>
  <c r="G31" i="8"/>
  <c r="L54" i="10" l="1"/>
  <c r="J54" i="10"/>
  <c r="J51" i="10" s="1"/>
  <c r="I54" i="10"/>
  <c r="H54" i="10"/>
  <c r="H51" i="10" s="1"/>
  <c r="G54" i="10"/>
  <c r="G51" i="10" s="1"/>
  <c r="F54" i="10"/>
  <c r="F51" i="10" s="1"/>
  <c r="E54" i="10"/>
  <c r="D54" i="10"/>
  <c r="D51" i="10" s="1"/>
  <c r="L51" i="10"/>
  <c r="K51" i="10"/>
  <c r="I51" i="10"/>
  <c r="E51" i="10"/>
  <c r="Q50" i="10"/>
  <c r="N50" i="10"/>
  <c r="K50" i="10"/>
  <c r="G49" i="10"/>
  <c r="F49" i="10"/>
  <c r="E49" i="10"/>
  <c r="D49" i="10"/>
  <c r="P48" i="10"/>
  <c r="O48" i="10"/>
  <c r="G48" i="10"/>
  <c r="F48" i="10"/>
  <c r="E48" i="10"/>
  <c r="O46" i="10"/>
  <c r="P45" i="10"/>
  <c r="O45" i="10"/>
  <c r="P44" i="10"/>
  <c r="O44" i="10"/>
  <c r="G44" i="10"/>
  <c r="P43" i="10"/>
  <c r="O43" i="10"/>
  <c r="G42" i="10"/>
  <c r="F42" i="10"/>
  <c r="E42" i="10"/>
  <c r="D42" i="10"/>
  <c r="G41" i="10"/>
  <c r="F41" i="10"/>
  <c r="E41" i="10"/>
  <c r="D41" i="10"/>
  <c r="P40" i="10"/>
  <c r="O40" i="10"/>
  <c r="G40" i="10"/>
  <c r="F40" i="10"/>
  <c r="E40" i="10"/>
  <c r="D40" i="10"/>
  <c r="G39" i="10"/>
  <c r="F39" i="10"/>
  <c r="E39" i="10"/>
  <c r="D39" i="10"/>
  <c r="P38" i="10"/>
  <c r="O38" i="10"/>
  <c r="G38" i="10"/>
  <c r="F38" i="10"/>
  <c r="E38" i="10"/>
  <c r="P37" i="10"/>
  <c r="O37" i="10"/>
  <c r="J50" i="10" s="1"/>
  <c r="I37" i="10"/>
  <c r="I50" i="10" s="1"/>
  <c r="H37" i="10"/>
  <c r="H50" i="10" s="1"/>
  <c r="P36" i="10"/>
  <c r="O36" i="10"/>
  <c r="L36" i="10"/>
  <c r="G36" i="10"/>
  <c r="F36" i="10"/>
  <c r="E36" i="10"/>
  <c r="D36" i="10"/>
  <c r="P35" i="10"/>
  <c r="O35" i="10"/>
  <c r="G35" i="10"/>
  <c r="F35" i="10"/>
  <c r="E35" i="10"/>
  <c r="D35" i="10"/>
  <c r="P34" i="10"/>
  <c r="G34" i="10"/>
  <c r="F34" i="10"/>
  <c r="E34" i="10"/>
  <c r="D34" i="10"/>
  <c r="P33" i="10"/>
  <c r="G33" i="10"/>
  <c r="F33" i="10"/>
  <c r="E33" i="10"/>
  <c r="D33" i="10"/>
  <c r="P32" i="10"/>
  <c r="G32" i="10"/>
  <c r="F32" i="10"/>
  <c r="E32" i="10"/>
  <c r="D32" i="10"/>
  <c r="P31" i="10"/>
  <c r="O31" i="10"/>
  <c r="G31" i="10"/>
  <c r="F31" i="10"/>
  <c r="E31" i="10"/>
  <c r="D31" i="10"/>
  <c r="P30" i="10"/>
  <c r="O30" i="10"/>
  <c r="G30" i="10"/>
  <c r="F30" i="10"/>
  <c r="E30" i="10"/>
  <c r="D30" i="10"/>
  <c r="P29" i="10"/>
  <c r="O29" i="10"/>
  <c r="G29" i="10"/>
  <c r="F29" i="10"/>
  <c r="E29" i="10"/>
  <c r="D29" i="10"/>
  <c r="P28" i="10"/>
  <c r="O28" i="10"/>
  <c r="G28" i="10"/>
  <c r="F28" i="10"/>
  <c r="E28" i="10"/>
  <c r="D28" i="10"/>
  <c r="P27" i="10"/>
  <c r="O27" i="10"/>
  <c r="L27" i="10"/>
  <c r="G27" i="10"/>
  <c r="F27" i="10"/>
  <c r="E27" i="10"/>
  <c r="D27" i="10"/>
  <c r="P26" i="10"/>
  <c r="O26" i="10"/>
  <c r="L26" i="10"/>
  <c r="G26" i="10"/>
  <c r="F26" i="10"/>
  <c r="E26" i="10"/>
  <c r="D26" i="10"/>
  <c r="P25" i="10"/>
  <c r="O25" i="10"/>
  <c r="G25" i="10"/>
  <c r="F25" i="10"/>
  <c r="E25" i="10"/>
  <c r="D25" i="10"/>
  <c r="P24" i="10"/>
  <c r="O24" i="10"/>
  <c r="L24" i="10"/>
  <c r="G24" i="10"/>
  <c r="F24" i="10"/>
  <c r="E24" i="10"/>
  <c r="P23" i="10"/>
  <c r="O23" i="10"/>
  <c r="L23" i="10"/>
  <c r="G23" i="10"/>
  <c r="F23" i="10"/>
  <c r="E23" i="10"/>
  <c r="D23" i="10"/>
  <c r="P22" i="10"/>
  <c r="O22" i="10"/>
  <c r="G22" i="10"/>
  <c r="F22" i="10"/>
  <c r="E22" i="10"/>
  <c r="D22" i="10"/>
  <c r="P21" i="10"/>
  <c r="O21" i="10"/>
  <c r="L21" i="10"/>
  <c r="G21" i="10"/>
  <c r="F21" i="10"/>
  <c r="E21" i="10"/>
  <c r="D21" i="10"/>
  <c r="P20" i="10"/>
  <c r="P50" i="10" s="1"/>
  <c r="O20" i="10"/>
  <c r="M20" i="10"/>
  <c r="M50" i="10" s="1"/>
  <c r="L20" i="10"/>
  <c r="G20" i="10"/>
  <c r="G50" i="10" s="1"/>
  <c r="F20" i="10"/>
  <c r="E20" i="10"/>
  <c r="D20" i="10"/>
  <c r="Q19" i="10"/>
  <c r="P19" i="10"/>
  <c r="O19" i="10"/>
  <c r="N19" i="10"/>
  <c r="M19" i="10"/>
  <c r="L19" i="10"/>
  <c r="K19" i="10"/>
  <c r="J19" i="10"/>
  <c r="I19" i="10"/>
  <c r="H19" i="10"/>
  <c r="G13" i="10"/>
  <c r="G19" i="10" s="1"/>
  <c r="F13" i="10"/>
  <c r="F19" i="10" s="1"/>
  <c r="E13" i="10"/>
  <c r="E19" i="10" s="1"/>
  <c r="D13" i="10"/>
  <c r="D19" i="10" s="1"/>
  <c r="O12" i="10"/>
  <c r="N12" i="10"/>
  <c r="M12" i="10"/>
  <c r="L12" i="10"/>
  <c r="K12" i="10"/>
  <c r="J12" i="10"/>
  <c r="I12" i="10"/>
  <c r="H12" i="10"/>
  <c r="G7" i="10"/>
  <c r="G6" i="10" s="1"/>
  <c r="G12" i="10" s="1"/>
  <c r="Q6" i="10"/>
  <c r="Q12" i="10" s="1"/>
  <c r="P6" i="10"/>
  <c r="P12" i="10" s="1"/>
  <c r="F6" i="10"/>
  <c r="F12" i="10" s="1"/>
  <c r="E6" i="10"/>
  <c r="E12" i="10" s="1"/>
  <c r="D6" i="10"/>
  <c r="D12" i="10" s="1"/>
  <c r="E50" i="10" l="1"/>
  <c r="O50" i="10"/>
  <c r="D50" i="10"/>
  <c r="F50" i="10"/>
  <c r="L50" i="10"/>
  <c r="D38" i="8"/>
  <c r="D37" i="8"/>
  <c r="E37" i="8" s="1"/>
  <c r="C38" i="8"/>
  <c r="C4" i="9" s="1"/>
  <c r="C37" i="8"/>
  <c r="D3" i="9" l="1"/>
  <c r="E38" i="8"/>
  <c r="E39" i="8" s="1"/>
  <c r="D4" i="9"/>
  <c r="C3" i="9"/>
  <c r="L3" i="7"/>
  <c r="C17" i="9"/>
  <c r="D17" i="9" s="1"/>
  <c r="F17" i="9" s="1"/>
  <c r="H17" i="9" s="1"/>
  <c r="C18" i="9"/>
  <c r="D18" i="9" s="1"/>
  <c r="F18" i="9" s="1"/>
  <c r="H18" i="9" s="1"/>
  <c r="M3" i="7"/>
  <c r="E39" i="6"/>
  <c r="F39" i="6"/>
  <c r="G39" i="6"/>
  <c r="H39" i="6"/>
  <c r="I39" i="6"/>
  <c r="J39" i="6"/>
  <c r="K39" i="6"/>
  <c r="L39" i="6"/>
  <c r="M39" i="6"/>
  <c r="N39" i="6"/>
  <c r="O39" i="6"/>
  <c r="P39" i="6"/>
  <c r="D39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08" i="6"/>
  <c r="B120" i="6"/>
  <c r="B119" i="6"/>
  <c r="B118" i="6"/>
  <c r="B117" i="6"/>
  <c r="H117" i="6" s="1"/>
  <c r="I117" i="6" s="1"/>
  <c r="E135" i="6" s="1"/>
  <c r="B116" i="6"/>
  <c r="B115" i="6"/>
  <c r="H115" i="6" s="1"/>
  <c r="I115" i="6" s="1"/>
  <c r="E133" i="6" s="1"/>
  <c r="B114" i="6"/>
  <c r="B113" i="6"/>
  <c r="H113" i="6" s="1"/>
  <c r="I113" i="6" s="1"/>
  <c r="E131" i="6" s="1"/>
  <c r="B112" i="6"/>
  <c r="B111" i="6"/>
  <c r="H111" i="6" s="1"/>
  <c r="I111" i="6" s="1"/>
  <c r="E129" i="6" s="1"/>
  <c r="B110" i="6"/>
  <c r="B109" i="6"/>
  <c r="H109" i="6" s="1"/>
  <c r="I109" i="6" s="1"/>
  <c r="E127" i="6" s="1"/>
  <c r="B108" i="6"/>
  <c r="H119" i="6"/>
  <c r="I119" i="6" s="1"/>
  <c r="E137" i="6" s="1"/>
  <c r="H108" i="6"/>
  <c r="I108" i="6" s="1"/>
  <c r="E126" i="6" s="1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F88" i="6"/>
  <c r="F89" i="6"/>
  <c r="F90" i="6"/>
  <c r="F91" i="6"/>
  <c r="F92" i="6"/>
  <c r="F93" i="6"/>
  <c r="F94" i="6"/>
  <c r="F95" i="6"/>
  <c r="F96" i="6"/>
  <c r="F97" i="6"/>
  <c r="F98" i="6"/>
  <c r="H98" i="6" s="1"/>
  <c r="I98" i="6" s="1"/>
  <c r="D136" i="6" s="1"/>
  <c r="F99" i="6"/>
  <c r="F100" i="6"/>
  <c r="H93" i="6"/>
  <c r="I93" i="6" s="1"/>
  <c r="D131" i="6" s="1"/>
  <c r="H89" i="6"/>
  <c r="I89" i="6" s="1"/>
  <c r="D127" i="6" s="1"/>
  <c r="B80" i="6"/>
  <c r="H80" i="6" s="1"/>
  <c r="I80" i="6" s="1"/>
  <c r="C138" i="6" s="1"/>
  <c r="B79" i="6"/>
  <c r="B78" i="6"/>
  <c r="B77" i="6"/>
  <c r="H77" i="6" s="1"/>
  <c r="I77" i="6" s="1"/>
  <c r="C135" i="6" s="1"/>
  <c r="B76" i="6"/>
  <c r="B75" i="6"/>
  <c r="B74" i="6"/>
  <c r="B73" i="6"/>
  <c r="H73" i="6" s="1"/>
  <c r="I73" i="6" s="1"/>
  <c r="C131" i="6" s="1"/>
  <c r="B72" i="6"/>
  <c r="H72" i="6" s="1"/>
  <c r="I72" i="6" s="1"/>
  <c r="C130" i="6" s="1"/>
  <c r="B71" i="6"/>
  <c r="B70" i="6"/>
  <c r="B69" i="6"/>
  <c r="H69" i="6" s="1"/>
  <c r="I69" i="6" s="1"/>
  <c r="C127" i="6" s="1"/>
  <c r="B68" i="6"/>
  <c r="F69" i="6"/>
  <c r="F70" i="6"/>
  <c r="F71" i="6"/>
  <c r="F72" i="6"/>
  <c r="F73" i="6"/>
  <c r="F74" i="6"/>
  <c r="F75" i="6"/>
  <c r="H75" i="6" s="1"/>
  <c r="I75" i="6" s="1"/>
  <c r="C133" i="6" s="1"/>
  <c r="F76" i="6"/>
  <c r="F77" i="6"/>
  <c r="F78" i="6"/>
  <c r="F79" i="6"/>
  <c r="F80" i="6"/>
  <c r="F68" i="6"/>
  <c r="H79" i="6"/>
  <c r="I79" i="6" s="1"/>
  <c r="C137" i="6" s="1"/>
  <c r="H76" i="6"/>
  <c r="I76" i="6" s="1"/>
  <c r="C134" i="6" s="1"/>
  <c r="H71" i="6"/>
  <c r="I71" i="6" s="1"/>
  <c r="C129" i="6" s="1"/>
  <c r="F47" i="6"/>
  <c r="F48" i="6"/>
  <c r="F49" i="6"/>
  <c r="F50" i="6"/>
  <c r="F51" i="6"/>
  <c r="F52" i="6"/>
  <c r="F53" i="6"/>
  <c r="F54" i="6"/>
  <c r="F55" i="6"/>
  <c r="F56" i="6"/>
  <c r="F57" i="6"/>
  <c r="F58" i="6"/>
  <c r="F46" i="6"/>
  <c r="B58" i="6"/>
  <c r="B57" i="6"/>
  <c r="H57" i="6" s="1"/>
  <c r="I57" i="6" s="1"/>
  <c r="B137" i="6" s="1"/>
  <c r="B56" i="6"/>
  <c r="B55" i="6"/>
  <c r="H55" i="6" s="1"/>
  <c r="I55" i="6" s="1"/>
  <c r="B135" i="6" s="1"/>
  <c r="B54" i="6"/>
  <c r="B53" i="6"/>
  <c r="H53" i="6" s="1"/>
  <c r="I53" i="6" s="1"/>
  <c r="B133" i="6" s="1"/>
  <c r="B52" i="6"/>
  <c r="B51" i="6"/>
  <c r="H51" i="6" s="1"/>
  <c r="I51" i="6" s="1"/>
  <c r="B131" i="6" s="1"/>
  <c r="B50" i="6"/>
  <c r="B49" i="6"/>
  <c r="H49" i="6" s="1"/>
  <c r="I49" i="6" s="1"/>
  <c r="B129" i="6" s="1"/>
  <c r="B48" i="6"/>
  <c r="B47" i="6"/>
  <c r="H47" i="6" s="1"/>
  <c r="I47" i="6" s="1"/>
  <c r="B127" i="6" s="1"/>
  <c r="B46" i="6"/>
  <c r="D21" i="5"/>
  <c r="D22" i="5"/>
  <c r="D23" i="5"/>
  <c r="D24" i="5"/>
  <c r="D25" i="5"/>
  <c r="D59" i="5"/>
  <c r="D60" i="5"/>
  <c r="D61" i="5"/>
  <c r="D62" i="5"/>
  <c r="D63" i="5"/>
  <c r="B63" i="5"/>
  <c r="B62" i="5"/>
  <c r="B61" i="5"/>
  <c r="B60" i="5"/>
  <c r="B59" i="5"/>
  <c r="B25" i="5"/>
  <c r="B24" i="5"/>
  <c r="B23" i="5"/>
  <c r="B22" i="5"/>
  <c r="F22" i="5" s="1"/>
  <c r="G22" i="5" s="1"/>
  <c r="B21" i="5"/>
  <c r="D65" i="5"/>
  <c r="D66" i="5"/>
  <c r="D67" i="5"/>
  <c r="D68" i="5"/>
  <c r="D69" i="5"/>
  <c r="B68" i="5"/>
  <c r="B67" i="5"/>
  <c r="B66" i="5"/>
  <c r="B65" i="5"/>
  <c r="B64" i="5"/>
  <c r="D64" i="5"/>
  <c r="D27" i="5"/>
  <c r="D28" i="5"/>
  <c r="D29" i="5"/>
  <c r="D30" i="5"/>
  <c r="D33" i="5"/>
  <c r="D34" i="5"/>
  <c r="D35" i="5"/>
  <c r="B30" i="5"/>
  <c r="B29" i="5"/>
  <c r="B28" i="5"/>
  <c r="B27" i="5"/>
  <c r="B26" i="5"/>
  <c r="D26" i="5"/>
  <c r="O11" i="5"/>
  <c r="N11" i="5"/>
  <c r="M11" i="5"/>
  <c r="L11" i="5"/>
  <c r="K11" i="5"/>
  <c r="J11" i="5"/>
  <c r="I11" i="5"/>
  <c r="Q5" i="5"/>
  <c r="Q11" i="5" s="1"/>
  <c r="P5" i="5"/>
  <c r="P11" i="5" s="1"/>
  <c r="H94" i="6" l="1"/>
  <c r="I94" i="6" s="1"/>
  <c r="D132" i="6" s="1"/>
  <c r="H90" i="6"/>
  <c r="I90" i="6" s="1"/>
  <c r="D128" i="6" s="1"/>
  <c r="H97" i="6"/>
  <c r="I97" i="6" s="1"/>
  <c r="D135" i="6" s="1"/>
  <c r="F135" i="6" s="1"/>
  <c r="H70" i="6"/>
  <c r="I70" i="6" s="1"/>
  <c r="C128" i="6" s="1"/>
  <c r="H74" i="6"/>
  <c r="I74" i="6" s="1"/>
  <c r="C132" i="6" s="1"/>
  <c r="H78" i="6"/>
  <c r="I78" i="6" s="1"/>
  <c r="C136" i="6" s="1"/>
  <c r="F66" i="5"/>
  <c r="G66" i="5" s="1"/>
  <c r="F21" i="5"/>
  <c r="G21" i="5" s="1"/>
  <c r="H50" i="6"/>
  <c r="I50" i="6" s="1"/>
  <c r="B130" i="6" s="1"/>
  <c r="H54" i="6"/>
  <c r="I54" i="6" s="1"/>
  <c r="B134" i="6" s="1"/>
  <c r="H58" i="6"/>
  <c r="I58" i="6" s="1"/>
  <c r="B138" i="6" s="1"/>
  <c r="H68" i="6"/>
  <c r="I68" i="6" s="1"/>
  <c r="C126" i="6" s="1"/>
  <c r="J4" i="7"/>
  <c r="I4" i="7"/>
  <c r="K4" i="7"/>
  <c r="F40" i="8"/>
  <c r="F37" i="8"/>
  <c r="F38" i="8"/>
  <c r="F127" i="6"/>
  <c r="F24" i="5"/>
  <c r="G24" i="5" s="1"/>
  <c r="F133" i="6"/>
  <c r="H100" i="6"/>
  <c r="I100" i="6" s="1"/>
  <c r="D138" i="6" s="1"/>
  <c r="H96" i="6"/>
  <c r="I96" i="6" s="1"/>
  <c r="D134" i="6" s="1"/>
  <c r="H92" i="6"/>
  <c r="I92" i="6" s="1"/>
  <c r="D130" i="6" s="1"/>
  <c r="H88" i="6"/>
  <c r="I88" i="6" s="1"/>
  <c r="D126" i="6" s="1"/>
  <c r="H91" i="6"/>
  <c r="I91" i="6" s="1"/>
  <c r="D129" i="6" s="1"/>
  <c r="F129" i="6" s="1"/>
  <c r="H95" i="6"/>
  <c r="I95" i="6" s="1"/>
  <c r="D133" i="6" s="1"/>
  <c r="H99" i="6"/>
  <c r="I99" i="6" s="1"/>
  <c r="D137" i="6" s="1"/>
  <c r="F137" i="6" s="1"/>
  <c r="L4" i="7"/>
  <c r="M4" i="7"/>
  <c r="M5" i="7"/>
  <c r="F62" i="5"/>
  <c r="G62" i="5" s="1"/>
  <c r="B77" i="5"/>
  <c r="F131" i="6"/>
  <c r="F68" i="5"/>
  <c r="G68" i="5" s="1"/>
  <c r="B37" i="5"/>
  <c r="F60" i="5"/>
  <c r="G60" i="5" s="1"/>
  <c r="H48" i="6"/>
  <c r="I48" i="6" s="1"/>
  <c r="B128" i="6" s="1"/>
  <c r="H52" i="6"/>
  <c r="I52" i="6" s="1"/>
  <c r="B132" i="6" s="1"/>
  <c r="H56" i="6"/>
  <c r="I56" i="6" s="1"/>
  <c r="B136" i="6" s="1"/>
  <c r="L5" i="7"/>
  <c r="C19" i="9"/>
  <c r="D19" i="9" s="1"/>
  <c r="F19" i="9" s="1"/>
  <c r="H19" i="9" s="1"/>
  <c r="N3" i="7"/>
  <c r="B20" i="9"/>
  <c r="F25" i="5"/>
  <c r="G25" i="5" s="1"/>
  <c r="F61" i="5"/>
  <c r="G61" i="5" s="1"/>
  <c r="F64" i="5"/>
  <c r="F23" i="5"/>
  <c r="G23" i="5" s="1"/>
  <c r="F63" i="5"/>
  <c r="G63" i="5" s="1"/>
  <c r="F59" i="5"/>
  <c r="G59" i="5" s="1"/>
  <c r="H46" i="6"/>
  <c r="I46" i="6" s="1"/>
  <c r="B126" i="6" s="1"/>
  <c r="F126" i="6" s="1"/>
  <c r="H120" i="6"/>
  <c r="I120" i="6" s="1"/>
  <c r="E138" i="6" s="1"/>
  <c r="H118" i="6"/>
  <c r="I118" i="6" s="1"/>
  <c r="E136" i="6" s="1"/>
  <c r="H116" i="6"/>
  <c r="I116" i="6" s="1"/>
  <c r="E134" i="6" s="1"/>
  <c r="F134" i="6" s="1"/>
  <c r="H114" i="6"/>
  <c r="I114" i="6" s="1"/>
  <c r="E132" i="6" s="1"/>
  <c r="H112" i="6"/>
  <c r="I112" i="6" s="1"/>
  <c r="E130" i="6" s="1"/>
  <c r="H110" i="6"/>
  <c r="I110" i="6" s="1"/>
  <c r="E128" i="6" s="1"/>
  <c r="F128" i="6" s="1"/>
  <c r="F67" i="5"/>
  <c r="G67" i="5" s="1"/>
  <c r="G64" i="5"/>
  <c r="F69" i="5"/>
  <c r="G69" i="5" s="1"/>
  <c r="F65" i="5"/>
  <c r="G65" i="5" s="1"/>
  <c r="F28" i="5"/>
  <c r="G28" i="5" s="1"/>
  <c r="F30" i="5"/>
  <c r="G30" i="5" s="1"/>
  <c r="F26" i="5"/>
  <c r="G26" i="5" s="1"/>
  <c r="F29" i="5"/>
  <c r="G29" i="5" s="1"/>
  <c r="F27" i="5"/>
  <c r="G27" i="5" s="1"/>
  <c r="F138" i="6" l="1"/>
  <c r="F136" i="6"/>
  <c r="F132" i="6"/>
  <c r="B33" i="5"/>
  <c r="J9" i="7"/>
  <c r="F130" i="6"/>
  <c r="K77" i="5"/>
  <c r="L77" i="5" s="1"/>
  <c r="K6" i="7"/>
  <c r="B72" i="5"/>
  <c r="O3" i="7"/>
  <c r="N4" i="7"/>
  <c r="B21" i="9"/>
  <c r="C20" i="9"/>
  <c r="D20" i="9" s="1"/>
  <c r="F20" i="9" s="1"/>
  <c r="H20" i="9" s="1"/>
  <c r="N5" i="7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F32" i="5"/>
  <c r="G32" i="5" s="1"/>
  <c r="F71" i="5"/>
  <c r="G71" i="5" s="1"/>
  <c r="K9" i="7" l="1"/>
  <c r="J10" i="7"/>
  <c r="L6" i="7"/>
  <c r="K7" i="7"/>
  <c r="E8" i="7"/>
  <c r="K72" i="5"/>
  <c r="L72" i="5" s="1"/>
  <c r="B73" i="5"/>
  <c r="F6" i="7"/>
  <c r="F7" i="7" s="1"/>
  <c r="E11" i="7"/>
  <c r="F9" i="7"/>
  <c r="F10" i="7" s="1"/>
  <c r="B34" i="5"/>
  <c r="P3" i="7"/>
  <c r="O4" i="7"/>
  <c r="B22" i="9"/>
  <c r="C21" i="9"/>
  <c r="D21" i="9" s="1"/>
  <c r="F21" i="9" s="1"/>
  <c r="H21" i="9" s="1"/>
  <c r="F33" i="5"/>
  <c r="G33" i="5" s="1"/>
  <c r="F72" i="5"/>
  <c r="G72" i="5" s="1"/>
  <c r="M6" i="7" l="1"/>
  <c r="L7" i="7"/>
  <c r="L9" i="7"/>
  <c r="K10" i="7"/>
  <c r="F11" i="7"/>
  <c r="B74" i="5"/>
  <c r="K73" i="5"/>
  <c r="L73" i="5" s="1"/>
  <c r="G6" i="7"/>
  <c r="G7" i="7" s="1"/>
  <c r="F8" i="7"/>
  <c r="F15" i="7" s="1"/>
  <c r="F16" i="7" s="1"/>
  <c r="B35" i="5"/>
  <c r="G9" i="7"/>
  <c r="G10" i="7" s="1"/>
  <c r="E15" i="7"/>
  <c r="E16" i="7" s="1"/>
  <c r="Q3" i="7"/>
  <c r="P4" i="7"/>
  <c r="B23" i="9"/>
  <c r="C22" i="9"/>
  <c r="D22" i="9" s="1"/>
  <c r="F22" i="9" s="1"/>
  <c r="H22" i="9" s="1"/>
  <c r="F34" i="5"/>
  <c r="G34" i="5" s="1"/>
  <c r="G11" i="7" s="1"/>
  <c r="F73" i="5"/>
  <c r="G73" i="5" s="1"/>
  <c r="M9" i="7" l="1"/>
  <c r="L10" i="7"/>
  <c r="N6" i="7"/>
  <c r="M7" i="7"/>
  <c r="B75" i="5"/>
  <c r="K74" i="5"/>
  <c r="L74" i="5" s="1"/>
  <c r="H6" i="7"/>
  <c r="H7" i="7" s="1"/>
  <c r="G8" i="7"/>
  <c r="G15" i="7" s="1"/>
  <c r="G16" i="7" s="1"/>
  <c r="B36" i="5"/>
  <c r="I9" i="7" s="1"/>
  <c r="I10" i="7" s="1"/>
  <c r="H9" i="7"/>
  <c r="H10" i="7" s="1"/>
  <c r="R3" i="7"/>
  <c r="Q4" i="7"/>
  <c r="B24" i="9"/>
  <c r="C23" i="9"/>
  <c r="D23" i="9" s="1"/>
  <c r="F23" i="9" s="1"/>
  <c r="H23" i="9" s="1"/>
  <c r="F35" i="5"/>
  <c r="G35" i="5" s="1"/>
  <c r="H11" i="7" s="1"/>
  <c r="F74" i="5"/>
  <c r="G74" i="5" s="1"/>
  <c r="O6" i="7" l="1"/>
  <c r="N7" i="7"/>
  <c r="N9" i="7"/>
  <c r="M10" i="7"/>
  <c r="H8" i="7"/>
  <c r="H15" i="7" s="1"/>
  <c r="H16" i="7" s="1"/>
  <c r="B76" i="5"/>
  <c r="K75" i="5"/>
  <c r="L75" i="5" s="1"/>
  <c r="I6" i="7"/>
  <c r="I7" i="7" s="1"/>
  <c r="S3" i="7"/>
  <c r="R4" i="7"/>
  <c r="B25" i="9"/>
  <c r="C24" i="9"/>
  <c r="D24" i="9" s="1"/>
  <c r="F24" i="9" s="1"/>
  <c r="H24" i="9" s="1"/>
  <c r="F36" i="5"/>
  <c r="G36" i="5" s="1"/>
  <c r="I11" i="7" s="1"/>
  <c r="F75" i="5"/>
  <c r="G75" i="5" s="1"/>
  <c r="O9" i="7" l="1"/>
  <c r="N10" i="7"/>
  <c r="P6" i="7"/>
  <c r="O7" i="7"/>
  <c r="I8" i="7"/>
  <c r="I15" i="7" s="1"/>
  <c r="I16" i="7" s="1"/>
  <c r="K76" i="5"/>
  <c r="L76" i="5" s="1"/>
  <c r="J6" i="7"/>
  <c r="J7" i="7" s="1"/>
  <c r="T3" i="7"/>
  <c r="S4" i="7"/>
  <c r="B26" i="9"/>
  <c r="C25" i="9"/>
  <c r="D25" i="9" s="1"/>
  <c r="F25" i="9" s="1"/>
  <c r="H25" i="9" s="1"/>
  <c r="B38" i="5"/>
  <c r="F37" i="5"/>
  <c r="G37" i="5" s="1"/>
  <c r="J11" i="7" s="1"/>
  <c r="K11" i="7" s="1"/>
  <c r="L11" i="7" s="1"/>
  <c r="M11" i="7" s="1"/>
  <c r="N11" i="7" s="1"/>
  <c r="O11" i="7" s="1"/>
  <c r="P11" i="7" s="1"/>
  <c r="Q11" i="7" s="1"/>
  <c r="F76" i="5"/>
  <c r="G76" i="5" s="1"/>
  <c r="P9" i="7" l="1"/>
  <c r="O10" i="7"/>
  <c r="Q6" i="7"/>
  <c r="P7" i="7"/>
  <c r="J8" i="7"/>
  <c r="J15" i="7" s="1"/>
  <c r="J16" i="7" s="1"/>
  <c r="U3" i="7"/>
  <c r="T4" i="7"/>
  <c r="B27" i="9"/>
  <c r="C26" i="9"/>
  <c r="D26" i="9" s="1"/>
  <c r="F26" i="9" s="1"/>
  <c r="H26" i="9" s="1"/>
  <c r="B39" i="5"/>
  <c r="F38" i="5"/>
  <c r="G38" i="5" s="1"/>
  <c r="B78" i="5"/>
  <c r="K78" i="5" s="1"/>
  <c r="L78" i="5" s="1"/>
  <c r="F77" i="5"/>
  <c r="G77" i="5" s="1"/>
  <c r="R11" i="7"/>
  <c r="R6" i="7" l="1"/>
  <c r="Q7" i="7"/>
  <c r="Q9" i="7"/>
  <c r="P10" i="7"/>
  <c r="K8" i="7"/>
  <c r="V3" i="7"/>
  <c r="U4" i="7"/>
  <c r="C27" i="9"/>
  <c r="D27" i="9" s="1"/>
  <c r="F27" i="9" s="1"/>
  <c r="H27" i="9" s="1"/>
  <c r="B28" i="9"/>
  <c r="B40" i="5"/>
  <c r="F39" i="5"/>
  <c r="G39" i="5" s="1"/>
  <c r="B79" i="5"/>
  <c r="K79" i="5" s="1"/>
  <c r="L79" i="5" s="1"/>
  <c r="F78" i="5"/>
  <c r="G78" i="5" s="1"/>
  <c r="S11" i="7"/>
  <c r="S6" i="7" l="1"/>
  <c r="R7" i="7"/>
  <c r="R9" i="7"/>
  <c r="Q10" i="7"/>
  <c r="L8" i="7"/>
  <c r="K15" i="7"/>
  <c r="K16" i="7" s="1"/>
  <c r="W3" i="7"/>
  <c r="V4" i="7"/>
  <c r="B29" i="9"/>
  <c r="C28" i="9"/>
  <c r="D28" i="9" s="1"/>
  <c r="F28" i="9" s="1"/>
  <c r="H28" i="9" s="1"/>
  <c r="B41" i="5"/>
  <c r="F40" i="5"/>
  <c r="G40" i="5" s="1"/>
  <c r="B80" i="5"/>
  <c r="K80" i="5" s="1"/>
  <c r="L80" i="5" s="1"/>
  <c r="F79" i="5"/>
  <c r="G79" i="5" s="1"/>
  <c r="T11" i="7"/>
  <c r="S9" i="7" l="1"/>
  <c r="R10" i="7"/>
  <c r="T6" i="7"/>
  <c r="S7" i="7"/>
  <c r="L15" i="7"/>
  <c r="L16" i="7" s="1"/>
  <c r="M8" i="7"/>
  <c r="X3" i="7"/>
  <c r="W4" i="7"/>
  <c r="B30" i="9"/>
  <c r="C30" i="9" s="1"/>
  <c r="D30" i="9" s="1"/>
  <c r="F30" i="9" s="1"/>
  <c r="H30" i="9" s="1"/>
  <c r="C29" i="9"/>
  <c r="D29" i="9" s="1"/>
  <c r="F29" i="9" s="1"/>
  <c r="H29" i="9" s="1"/>
  <c r="B42" i="5"/>
  <c r="F41" i="5"/>
  <c r="G41" i="5" s="1"/>
  <c r="B81" i="5"/>
  <c r="K81" i="5" s="1"/>
  <c r="L81" i="5" s="1"/>
  <c r="F80" i="5"/>
  <c r="G80" i="5" s="1"/>
  <c r="U11" i="7"/>
  <c r="U6" i="7" l="1"/>
  <c r="T7" i="7"/>
  <c r="T9" i="7"/>
  <c r="S10" i="7"/>
  <c r="M15" i="7"/>
  <c r="M16" i="7" s="1"/>
  <c r="N8" i="7"/>
  <c r="Y3" i="7"/>
  <c r="Y4" i="7" s="1"/>
  <c r="X4" i="7"/>
  <c r="B43" i="5"/>
  <c r="F42" i="5"/>
  <c r="G42" i="5" s="1"/>
  <c r="B82" i="5"/>
  <c r="K82" i="5" s="1"/>
  <c r="L82" i="5" s="1"/>
  <c r="F81" i="5"/>
  <c r="G81" i="5" s="1"/>
  <c r="V11" i="7"/>
  <c r="V6" i="7" l="1"/>
  <c r="U7" i="7"/>
  <c r="U9" i="7"/>
  <c r="T10" i="7"/>
  <c r="O8" i="7"/>
  <c r="N15" i="7"/>
  <c r="N16" i="7" s="1"/>
  <c r="B44" i="5"/>
  <c r="F43" i="5"/>
  <c r="G43" i="5" s="1"/>
  <c r="B83" i="5"/>
  <c r="K83" i="5" s="1"/>
  <c r="L83" i="5" s="1"/>
  <c r="F82" i="5"/>
  <c r="G82" i="5" s="1"/>
  <c r="W11" i="7"/>
  <c r="W6" i="7" l="1"/>
  <c r="V7" i="7"/>
  <c r="V9" i="7"/>
  <c r="U10" i="7"/>
  <c r="O15" i="7"/>
  <c r="O16" i="7" s="1"/>
  <c r="P8" i="7"/>
  <c r="B45" i="5"/>
  <c r="F44" i="5"/>
  <c r="G44" i="5" s="1"/>
  <c r="B84" i="5"/>
  <c r="K84" i="5" s="1"/>
  <c r="L84" i="5" s="1"/>
  <c r="F83" i="5"/>
  <c r="G83" i="5" s="1"/>
  <c r="X11" i="7"/>
  <c r="W9" i="7" l="1"/>
  <c r="V10" i="7"/>
  <c r="X6" i="7"/>
  <c r="W7" i="7"/>
  <c r="P15" i="7"/>
  <c r="P16" i="7" s="1"/>
  <c r="Q8" i="7"/>
  <c r="B46" i="5"/>
  <c r="F45" i="5"/>
  <c r="G45" i="5" s="1"/>
  <c r="B85" i="5"/>
  <c r="F84" i="5"/>
  <c r="G84" i="5" s="1"/>
  <c r="Y11" i="7"/>
  <c r="Y6" i="7" l="1"/>
  <c r="Y7" i="7" s="1"/>
  <c r="X7" i="7"/>
  <c r="X9" i="7"/>
  <c r="W10" i="7"/>
  <c r="Q15" i="7"/>
  <c r="Q16" i="7" s="1"/>
  <c r="R8" i="7"/>
  <c r="F85" i="5"/>
  <c r="G85" i="5" s="1"/>
  <c r="K85" i="5"/>
  <c r="L85" i="5" s="1"/>
  <c r="B86" i="5"/>
  <c r="B47" i="5"/>
  <c r="F46" i="5"/>
  <c r="G46" i="5" s="1"/>
  <c r="Y9" i="7" l="1"/>
  <c r="Y10" i="7" s="1"/>
  <c r="X10" i="7"/>
  <c r="S8" i="7"/>
  <c r="R15" i="7"/>
  <c r="R16" i="7" s="1"/>
  <c r="B87" i="5"/>
  <c r="K86" i="5"/>
  <c r="L86" i="5" s="1"/>
  <c r="F86" i="5"/>
  <c r="G86" i="5" s="1"/>
  <c r="F47" i="5"/>
  <c r="G47" i="5" s="1"/>
  <c r="B48" i="5"/>
  <c r="B88" i="5" l="1"/>
  <c r="K87" i="5"/>
  <c r="L87" i="5" s="1"/>
  <c r="F87" i="5"/>
  <c r="G87" i="5" s="1"/>
  <c r="S15" i="7"/>
  <c r="S16" i="7" s="1"/>
  <c r="T8" i="7"/>
  <c r="B49" i="5"/>
  <c r="F48" i="5"/>
  <c r="G48" i="5" s="1"/>
  <c r="U8" i="7" l="1"/>
  <c r="T15" i="7"/>
  <c r="T16" i="7" s="1"/>
  <c r="B89" i="5"/>
  <c r="K88" i="5"/>
  <c r="L88" i="5" s="1"/>
  <c r="F88" i="5"/>
  <c r="G88" i="5" s="1"/>
  <c r="F49" i="5"/>
  <c r="G49" i="5" s="1"/>
  <c r="B50" i="5"/>
  <c r="B90" i="5" l="1"/>
  <c r="K89" i="5"/>
  <c r="L89" i="5" s="1"/>
  <c r="F89" i="5"/>
  <c r="G89" i="5" s="1"/>
  <c r="U15" i="7"/>
  <c r="U16" i="7" s="1"/>
  <c r="V8" i="7"/>
  <c r="B51" i="5"/>
  <c r="F50" i="5"/>
  <c r="G50" i="5" s="1"/>
  <c r="W8" i="7" l="1"/>
  <c r="V15" i="7"/>
  <c r="V16" i="7" s="1"/>
  <c r="B91" i="5"/>
  <c r="K90" i="5"/>
  <c r="L90" i="5" s="1"/>
  <c r="F90" i="5"/>
  <c r="G90" i="5" s="1"/>
  <c r="F51" i="5"/>
  <c r="G51" i="5" s="1"/>
  <c r="B52" i="5"/>
  <c r="F52" i="5" s="1"/>
  <c r="G52" i="5" s="1"/>
  <c r="K91" i="5" l="1"/>
  <c r="L91" i="5" s="1"/>
  <c r="F91" i="5"/>
  <c r="G91" i="5" s="1"/>
  <c r="X8" i="7"/>
  <c r="W15" i="7"/>
  <c r="W16" i="7" s="1"/>
  <c r="Y8" i="7" l="1"/>
  <c r="Y15" i="7" s="1"/>
  <c r="Y16" i="7" s="1"/>
  <c r="X15" i="7"/>
  <c r="X16" i="7" s="1"/>
</calcChain>
</file>

<file path=xl/comments1.xml><?xml version="1.0" encoding="utf-8"?>
<comments xmlns="http://schemas.openxmlformats.org/spreadsheetml/2006/main">
  <authors>
    <author>Dewi Nur Adiyanti</author>
  </authors>
  <commentList>
    <comment ref="D46" authorId="0" shapeId="0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umur tanaman 116-125 hari
http://bbpadi.litbang.pertanian.go.id/index.php/varietas/inbrida-padi-sawah-irigasi-inpari/content/item/1-ciherang</t>
        </r>
      </text>
    </comment>
    <comment ref="D68" authorId="0" shapeId="0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umur tanaman 113-115 hari
http://www.litbang.pertanian.go.id/varietas/one/127/</t>
        </r>
      </text>
    </comment>
    <comment ref="D88" authorId="0" shapeId="0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umur tanaman 126-130 hari
https://ceritanurmanadi.wordpress.com/2012/10/14/padi-muncul-cimalaya/</t>
        </r>
      </text>
    </comment>
    <comment ref="D108" authorId="0" shapeId="0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umur tanaman 115-120 hari
https://ceritanurmanadi.wordpress.com/2012/02/06/ciri-ciri-padi-membramo/</t>
        </r>
      </text>
    </comment>
  </commentList>
</comments>
</file>

<file path=xl/sharedStrings.xml><?xml version="1.0" encoding="utf-8"?>
<sst xmlns="http://schemas.openxmlformats.org/spreadsheetml/2006/main" count="544" uniqueCount="225">
  <si>
    <t>Bidang Produksi Tanaman Pangan</t>
  </si>
  <si>
    <t>No</t>
  </si>
  <si>
    <t>Data Aktivitas</t>
  </si>
  <si>
    <t>Per Jenis</t>
  </si>
  <si>
    <t>Luas Lahan (Ha) / Berat (Ton) / Volume (M3)</t>
  </si>
  <si>
    <t>2012</t>
  </si>
  <si>
    <t>2013</t>
  </si>
  <si>
    <t>1.</t>
  </si>
  <si>
    <t>Luas Lahan Sawah Berdasarkan Pengelolaan Tanaman (Ha)</t>
  </si>
  <si>
    <t>Konvensional Petani</t>
  </si>
  <si>
    <t>PTT</t>
  </si>
  <si>
    <t>SRI</t>
  </si>
  <si>
    <t>Padi Organik</t>
  </si>
  <si>
    <t>2.</t>
  </si>
  <si>
    <t>Data Produksi Padi (Ton)</t>
  </si>
  <si>
    <t>3.</t>
  </si>
  <si>
    <t>Luas Lahan Sawah Berdasarkan Penggunaan Varietas Padi (Ha)</t>
  </si>
  <si>
    <t>Ciherang</t>
  </si>
  <si>
    <t>IR 64</t>
  </si>
  <si>
    <t>Mekongga</t>
  </si>
  <si>
    <t>Cilamaya Muncul</t>
  </si>
  <si>
    <t>Widas</t>
  </si>
  <si>
    <t>Sintanur</t>
  </si>
  <si>
    <t>PB 42</t>
  </si>
  <si>
    <t>Memberamo</t>
  </si>
  <si>
    <t>Cisadane</t>
  </si>
  <si>
    <t>Cimelati</t>
  </si>
  <si>
    <t>Bondoyudo</t>
  </si>
  <si>
    <t>Cilosari</t>
  </si>
  <si>
    <t>Lusi</t>
  </si>
  <si>
    <t>Lokal</t>
  </si>
  <si>
    <t>4.</t>
  </si>
  <si>
    <t>Luas Lahan Palawija</t>
  </si>
  <si>
    <t>Jagung</t>
  </si>
  <si>
    <t>Produksi Palawija</t>
  </si>
  <si>
    <t>5.</t>
  </si>
  <si>
    <t>JUMLAH</t>
  </si>
  <si>
    <t>Way Apo Buru</t>
  </si>
  <si>
    <t>Situ Bagendit</t>
  </si>
  <si>
    <t>Varietas Lain</t>
  </si>
  <si>
    <t>IR 42</t>
  </si>
  <si>
    <t>Pandanwangi</t>
  </si>
  <si>
    <t>Cigeulis</t>
  </si>
  <si>
    <t>Cibogo</t>
  </si>
  <si>
    <t>Diah Suci</t>
  </si>
  <si>
    <t>Fatmawati</t>
  </si>
  <si>
    <t>Angke</t>
  </si>
  <si>
    <t>Sarinah</t>
  </si>
  <si>
    <t>Data Aktivitas Sektor Pertanian Tahun 2005-2018 untuk Inventarisasi GRK Nasional</t>
  </si>
  <si>
    <t>Jajar Legowo</t>
  </si>
  <si>
    <t>Situ Patenggang</t>
  </si>
  <si>
    <t>Inpari (Seri)</t>
  </si>
  <si>
    <t>Inpago (Seri)</t>
  </si>
  <si>
    <t>Hibrida (Seri)</t>
  </si>
  <si>
    <t>Faktor emisi (6)</t>
  </si>
  <si>
    <t>Emisi Tahun Pelaporan (7)</t>
  </si>
  <si>
    <t>Luas Tanam (ha)</t>
  </si>
  <si>
    <t>Indeks Pertanaman (kali/thn)</t>
  </si>
  <si>
    <t>CF Pengairan</t>
  </si>
  <si>
    <t>EF CH4 
(kg CH4/ha/musim)</t>
  </si>
  <si>
    <t>Penurunan Emisi CH4 tahunan SRI (Ton CH4/tahun)</t>
  </si>
  <si>
    <t>Penurunan Emisi dari Luas Panen SRI (ton CO2 eq/th)</t>
  </si>
  <si>
    <t>5a</t>
  </si>
  <si>
    <t>5b</t>
  </si>
  <si>
    <t>6a</t>
  </si>
  <si>
    <t>6b</t>
  </si>
  <si>
    <t>7a</t>
  </si>
  <si>
    <t>7b</t>
  </si>
  <si>
    <t>Tahun</t>
  </si>
  <si>
    <r>
      <t>Data Aktivitas</t>
    </r>
    <r>
      <rPr>
        <b/>
        <sz val="11"/>
        <color indexed="8"/>
        <rFont val="Arial"/>
        <family val="2"/>
      </rPr>
      <t xml:space="preserve"> (5)</t>
    </r>
  </si>
  <si>
    <r>
      <t>Data Aktivitas</t>
    </r>
    <r>
      <rPr>
        <b/>
        <sz val="11"/>
        <color indexed="8"/>
        <rFont val="Calibri"/>
        <family val="2"/>
        <scheme val="minor"/>
      </rPr>
      <t xml:space="preserve"> (5)</t>
    </r>
  </si>
  <si>
    <t>Penurunan Emisi CH4 tahunan PTT (ton CH4/tahun)</t>
  </si>
  <si>
    <t>Penurunan Emisi dari Luas Panen PTT (tCO2 eq /th)</t>
  </si>
  <si>
    <t>Varietas Padi Rendah Emisi</t>
  </si>
  <si>
    <t>Emission Faktor (6)</t>
  </si>
  <si>
    <t>Luas Tanam Varietas (ha)</t>
  </si>
  <si>
    <t>Varietas yang Digunakan</t>
  </si>
  <si>
    <t>Umur Tanaman (hari)</t>
  </si>
  <si>
    <t>Faktor koreksi Varietas yang ditanam</t>
  </si>
  <si>
    <t>EF CH4 (kg CH4/ha/hari)</t>
  </si>
  <si>
    <t>Penurunan Emisi CH4 tahunan varietas (ton CH4/tahun)</t>
  </si>
  <si>
    <t>Penurunan Emisi dari Luas Panen penggunaan varietas  (ton CO2 eq t/th)</t>
  </si>
  <si>
    <t>5c</t>
  </si>
  <si>
    <t>6c</t>
  </si>
  <si>
    <t>CIHERANG</t>
  </si>
  <si>
    <t>Varietas yang digunakan</t>
  </si>
  <si>
    <t>Faktor Koreksi Varietas</t>
  </si>
  <si>
    <t>Margasari</t>
  </si>
  <si>
    <t>Tukad Petanu</t>
  </si>
  <si>
    <t>Batang Anai</t>
  </si>
  <si>
    <t>IR 36</t>
  </si>
  <si>
    <t>Membramo</t>
  </si>
  <si>
    <t>Dodokan</t>
  </si>
  <si>
    <t>Way Apoburu</t>
  </si>
  <si>
    <t>Muncul</t>
  </si>
  <si>
    <t>Tukad Balian</t>
  </si>
  <si>
    <t>Cisanggarung</t>
  </si>
  <si>
    <t>Limboto</t>
  </si>
  <si>
    <t>Wayrarem</t>
  </si>
  <si>
    <t>Maros</t>
  </si>
  <si>
    <t>BP205</t>
  </si>
  <si>
    <t>Hipa4</t>
  </si>
  <si>
    <t>Katagori</t>
  </si>
  <si>
    <t>Sumber Penda-Naan</t>
  </si>
  <si>
    <t>indikasi pembiayaan (Ribu rupiah)</t>
  </si>
  <si>
    <t>Penurunan emisi (ton CO₂eq)</t>
  </si>
  <si>
    <t>besaran (unit)</t>
  </si>
  <si>
    <t>Penggunaan Teknologi Budidaya : System of Rice Intensification (SRI)</t>
  </si>
  <si>
    <t>Penggunaan Teknologi Budidaya : Sistem Pengelolaan Tanaman Terpadu (PTT)</t>
  </si>
  <si>
    <t>Luas / Indikasi Pembiayaan/ Penurunan Emisi</t>
  </si>
  <si>
    <t>Jumlah</t>
  </si>
  <si>
    <t>Total Penurunan Emisi</t>
  </si>
  <si>
    <t>Total</t>
  </si>
  <si>
    <t>Penurunan Emisi (ton CO2 eq)</t>
  </si>
  <si>
    <t>Jumlah Penurunan Emisi (ton CO2 eq)</t>
  </si>
  <si>
    <t>Jumlah Penurunan Emisi (ribu ton CO2 eq)</t>
  </si>
  <si>
    <t>Jenis Kegiatan</t>
  </si>
  <si>
    <t>:</t>
  </si>
  <si>
    <t>Unit Pengolahan Pupuk Organik (UPPO)</t>
  </si>
  <si>
    <t>Bulan</t>
  </si>
  <si>
    <t>Nama</t>
  </si>
  <si>
    <t>Sasaran</t>
  </si>
  <si>
    <t>SK Penetapan CPCL    (Unit)</t>
  </si>
  <si>
    <t>Kabupaten/ Kota</t>
  </si>
  <si>
    <t>Keca-matan</t>
  </si>
  <si>
    <t>Desa</t>
  </si>
  <si>
    <t>Poktan/ Gapoktan</t>
  </si>
  <si>
    <t>Unit</t>
  </si>
  <si>
    <t>Rp</t>
  </si>
  <si>
    <t>Kab. Bogor</t>
  </si>
  <si>
    <t>Kab. Sukabumi*)</t>
  </si>
  <si>
    <t>Kab. Cianjur</t>
  </si>
  <si>
    <t>Kab. Bandung*)</t>
  </si>
  <si>
    <t>Kab. Garut*)</t>
  </si>
  <si>
    <t>6.</t>
  </si>
  <si>
    <t>Kab. Tasikmalaya*)</t>
  </si>
  <si>
    <t>7.</t>
  </si>
  <si>
    <t>Kab. Ciamis</t>
  </si>
  <si>
    <t>8.</t>
  </si>
  <si>
    <t>Kab. Kuningan</t>
  </si>
  <si>
    <t>9.</t>
  </si>
  <si>
    <t>Kab. Cirebon</t>
  </si>
  <si>
    <t>10.</t>
  </si>
  <si>
    <t>Kab. Majalengka</t>
  </si>
  <si>
    <t>11.</t>
  </si>
  <si>
    <t>Kab. Sumedang</t>
  </si>
  <si>
    <t>12.</t>
  </si>
  <si>
    <t>Kab. Indramayu</t>
  </si>
  <si>
    <t>13.</t>
  </si>
  <si>
    <t>Kab. Subang</t>
  </si>
  <si>
    <t>14.</t>
  </si>
  <si>
    <t>Kab. Purwakarta</t>
  </si>
  <si>
    <t>15.</t>
  </si>
  <si>
    <t>Kab. Karawang</t>
  </si>
  <si>
    <t>16.</t>
  </si>
  <si>
    <t>Kab. Bekasi</t>
  </si>
  <si>
    <t>17.</t>
  </si>
  <si>
    <t>Kab. Bandung Barat</t>
  </si>
  <si>
    <t>18.</t>
  </si>
  <si>
    <t>Kab. Pangandaran</t>
  </si>
  <si>
    <t>19.</t>
  </si>
  <si>
    <t>Kota Sukabumi</t>
  </si>
  <si>
    <t>20.</t>
  </si>
  <si>
    <t>Kota Tasikmalaya</t>
  </si>
  <si>
    <t>21.</t>
  </si>
  <si>
    <t>Kota Banjar</t>
  </si>
  <si>
    <t>Provinsi</t>
  </si>
  <si>
    <t>Komoditas</t>
  </si>
  <si>
    <t>Padi</t>
  </si>
  <si>
    <t>Unit Pengolah Pupuk Organik  (UPPO)</t>
  </si>
  <si>
    <t>Areal (Unit)</t>
  </si>
  <si>
    <t>Rp (x1000)</t>
  </si>
  <si>
    <t>Kab. Sukabumi</t>
  </si>
  <si>
    <t>Kab. Bandung</t>
  </si>
  <si>
    <t>Kab. Garut</t>
  </si>
  <si>
    <t>Kab. Tasikmalaya</t>
  </si>
  <si>
    <t>22.</t>
  </si>
  <si>
    <t>PROVINSI</t>
  </si>
  <si>
    <t>Data Aktvitas</t>
  </si>
  <si>
    <t>Biaya</t>
  </si>
  <si>
    <t>UPPO</t>
  </si>
  <si>
    <t>Unit Pengolah Pupuk Organik (UPPO)</t>
  </si>
  <si>
    <t>Luas (Ha)</t>
  </si>
  <si>
    <r>
      <t>Data Aktivitas</t>
    </r>
    <r>
      <rPr>
        <b/>
        <sz val="11"/>
        <color indexed="8"/>
        <rFont val="Calibri"/>
        <family val="2"/>
      </rPr>
      <t>(8)</t>
    </r>
  </si>
  <si>
    <t>Faktor emisi</t>
  </si>
  <si>
    <t>Penurunan emisi (tCO2e)</t>
  </si>
  <si>
    <t>Jumlah UPPO tahun pelaporan (unit)</t>
  </si>
  <si>
    <t>Jumlah Kumulatif UPPO (unit)</t>
  </si>
  <si>
    <t>Jumlah sapi (ekor)</t>
  </si>
  <si>
    <t>Berat kotoran hewan dan Jerami yang dihasilkan (Kg/ekor/hari)</t>
  </si>
  <si>
    <t>Berat kotoran hewan dan Jerami yang dihasilkan (Kg/ekor/th)</t>
  </si>
  <si>
    <t>kandungan C pada KA 20%</t>
  </si>
  <si>
    <t>8a</t>
  </si>
  <si>
    <t>8b</t>
  </si>
  <si>
    <t>8c</t>
  </si>
  <si>
    <t>8d</t>
  </si>
  <si>
    <t>8e</t>
  </si>
  <si>
    <t>10a</t>
  </si>
  <si>
    <t>REKAP PENURUNAN EMISI</t>
  </si>
  <si>
    <t>TAHUN</t>
  </si>
  <si>
    <r>
      <t>BaU baseline</t>
    </r>
    <r>
      <rPr>
        <b/>
        <sz val="10"/>
        <color rgb="FF000000"/>
        <rFont val="Cambria"/>
        <family val="1"/>
      </rPr>
      <t xml:space="preserve"> (ton CO</t>
    </r>
    <r>
      <rPr>
        <b/>
        <vertAlign val="subscript"/>
        <sz val="10"/>
        <color rgb="FF000000"/>
        <rFont val="Cambria"/>
        <family val="1"/>
      </rPr>
      <t>2</t>
    </r>
    <r>
      <rPr>
        <b/>
        <sz val="10"/>
        <color rgb="FF000000"/>
        <rFont val="Cambria"/>
        <family val="1"/>
      </rPr>
      <t xml:space="preserve"> eq)</t>
    </r>
  </si>
  <si>
    <t>Emisi setelah pelaksanaan aksi mitigasi</t>
  </si>
  <si>
    <t>PERSENTASE PENURUNAN EMISI</t>
  </si>
  <si>
    <t>APBN</t>
  </si>
  <si>
    <t>Rata-rata</t>
  </si>
  <si>
    <t>Biaya (ribu Rp)</t>
  </si>
  <si>
    <t>Rata-rata Biaya/unit UPPO (Ribu Rp)</t>
  </si>
  <si>
    <t>2019-2030</t>
  </si>
  <si>
    <t>Biaya Akhir (Ribu Rp)</t>
  </si>
  <si>
    <t>Produksi (ton)</t>
  </si>
  <si>
    <t>Luas Lahan (Ha)</t>
  </si>
  <si>
    <t>ton/Ha</t>
  </si>
  <si>
    <t>ribu ton C)2 eq</t>
  </si>
  <si>
    <t>Rata2 PEP RAD GRK 2013-2016</t>
  </si>
  <si>
    <t>UPPO 2016</t>
  </si>
  <si>
    <t>Catatan Biaya SRI dan PTT</t>
  </si>
  <si>
    <t>Satuan</t>
  </si>
  <si>
    <t>besar biaya (Ribu Rp)</t>
  </si>
  <si>
    <t>Rp/ha</t>
  </si>
  <si>
    <t>Sumber</t>
  </si>
  <si>
    <t>Rp/unit</t>
  </si>
  <si>
    <t>SRI dan PTT</t>
  </si>
  <si>
    <t>INDIKASI PEMBIAYAAN</t>
  </si>
  <si>
    <t>Biaya Penurunan Emisi (Ribu Rp/ton CO2 eq)</t>
  </si>
  <si>
    <t>Biaya (Ribu 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</si>
</sst>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#,"/>
    <numFmt numFmtId="167" formatCode="0.00_)"/>
    <numFmt numFmtId="168" formatCode="mmmm\ yyyy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  <font>
      <sz val="11"/>
      <color indexed="8"/>
      <name val="Calibri"/>
      <family val="2"/>
      <charset val="1"/>
    </font>
    <font>
      <sz val="12"/>
      <color theme="1"/>
      <name val="Times New Roman"/>
      <family val="2"/>
      <charset val="1"/>
    </font>
    <font>
      <sz val="12"/>
      <name val="Times New Roman"/>
      <family val="1"/>
    </font>
    <font>
      <sz val="12"/>
      <color theme="1"/>
      <name val="Calibri"/>
      <family val="2"/>
      <charset val="1"/>
      <scheme val="minor"/>
    </font>
    <font>
      <sz val="10"/>
      <color rgb="FF000000"/>
      <name val="Times New Roman"/>
      <family val="1"/>
    </font>
    <font>
      <sz val="10"/>
      <name val="MS Sans Serif"/>
      <family val="2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b/>
      <i/>
      <sz val="16"/>
      <name val="Helv"/>
    </font>
    <font>
      <sz val="10"/>
      <name val="Tahoma"/>
      <family val="2"/>
    </font>
    <font>
      <sz val="11"/>
      <color rgb="FF000000"/>
      <name val="Calibri"/>
      <family val="2"/>
      <charset val="1"/>
      <scheme val="minor"/>
    </font>
    <font>
      <sz val="11"/>
      <color theme="1"/>
      <name val="Times New Roman"/>
      <family val="2"/>
      <charset val="1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Arial"/>
      <family val="2"/>
    </font>
    <font>
      <b/>
      <i/>
      <sz val="10"/>
      <color rgb="FF000000"/>
      <name val="Cambria"/>
      <family val="1"/>
    </font>
    <font>
      <b/>
      <vertAlign val="subscript"/>
      <sz val="10"/>
      <color rgb="FF000000"/>
      <name val="Cambria"/>
      <family val="1"/>
    </font>
    <font>
      <sz val="10"/>
      <color theme="1"/>
      <name val="Cambria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24">
    <xf numFmtId="0" fontId="0" fillId="0" borderId="0"/>
    <xf numFmtId="41" fontId="1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24" fillId="0" borderId="0"/>
    <xf numFmtId="0" fontId="25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1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2" fillId="12" borderId="0" applyNumberFormat="0" applyBorder="0" applyAlignment="0" applyProtection="0"/>
    <xf numFmtId="0" fontId="22" fillId="16" borderId="0" applyNumberFormat="0" applyBorder="0" applyAlignment="0" applyProtection="0"/>
    <xf numFmtId="0" fontId="22" fillId="20" borderId="0" applyNumberFormat="0" applyBorder="0" applyAlignment="0" applyProtection="0"/>
    <xf numFmtId="0" fontId="22" fillId="24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12" fillId="3" borderId="0" applyNumberFormat="0" applyBorder="0" applyAlignment="0" applyProtection="0"/>
    <xf numFmtId="0" fontId="16" fillId="6" borderId="8" applyNumberFormat="0" applyAlignment="0" applyProtection="0"/>
    <xf numFmtId="0" fontId="18" fillId="7" borderId="11" applyNumberFormat="0" applyAlignment="0" applyProtection="0"/>
    <xf numFmtId="41" fontId="31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31" fillId="0" borderId="0" applyFill="0" applyBorder="0" applyAlignment="0" applyProtection="0"/>
    <xf numFmtId="41" fontId="40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65" fontId="40" fillId="0" borderId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1" fillId="0" borderId="0" applyFont="0" applyFill="0" applyBorder="0" applyAlignment="0" applyProtection="0"/>
    <xf numFmtId="165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4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2" fontId="31" fillId="0" borderId="0" applyFont="0" applyFill="0" applyBorder="0" applyAlignment="0" applyProtection="0"/>
    <xf numFmtId="166" fontId="46" fillId="0" borderId="0">
      <protection locked="0"/>
    </xf>
    <xf numFmtId="0" fontId="25" fillId="0" borderId="0"/>
    <xf numFmtId="0" fontId="20" fillId="0" borderId="0" applyNumberFormat="0" applyFill="0" applyBorder="0" applyAlignment="0" applyProtection="0"/>
    <xf numFmtId="166" fontId="46" fillId="0" borderId="0">
      <protection locked="0"/>
    </xf>
    <xf numFmtId="0" fontId="11" fillId="2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166" fontId="47" fillId="0" borderId="0">
      <protection locked="0"/>
    </xf>
    <xf numFmtId="166" fontId="47" fillId="0" borderId="0">
      <protection locked="0"/>
    </xf>
    <xf numFmtId="0" fontId="14" fillId="5" borderId="8" applyNumberFormat="0" applyAlignment="0" applyProtection="0"/>
    <xf numFmtId="0" fontId="17" fillId="0" borderId="10" applyNumberFormat="0" applyFill="0" applyAlignment="0" applyProtection="0"/>
    <xf numFmtId="0" fontId="13" fillId="4" borderId="0" applyNumberFormat="0" applyBorder="0" applyAlignment="0" applyProtection="0"/>
    <xf numFmtId="167" fontId="48" fillId="0" borderId="0"/>
    <xf numFmtId="0" fontId="1" fillId="0" borderId="0"/>
    <xf numFmtId="0" fontId="1" fillId="0" borderId="0"/>
    <xf numFmtId="0" fontId="31" fillId="0" borderId="0"/>
    <xf numFmtId="0" fontId="24" fillId="0" borderId="0"/>
    <xf numFmtId="0" fontId="24" fillId="0" borderId="0"/>
    <xf numFmtId="0" fontId="40" fillId="0" borderId="0"/>
    <xf numFmtId="0" fontId="40" fillId="0" borderId="0"/>
    <xf numFmtId="0" fontId="3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0" fillId="0" borderId="0"/>
    <xf numFmtId="0" fontId="40" fillId="0" borderId="0"/>
    <xf numFmtId="0" fontId="3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4" fillId="0" borderId="0"/>
    <xf numFmtId="0" fontId="49" fillId="0" borderId="0"/>
    <xf numFmtId="0" fontId="1" fillId="0" borderId="0"/>
    <xf numFmtId="0" fontId="1" fillId="0" borderId="0"/>
    <xf numFmtId="0" fontId="24" fillId="0" borderId="0"/>
    <xf numFmtId="0" fontId="3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44" fillId="0" borderId="0"/>
    <xf numFmtId="0" fontId="43" fillId="0" borderId="0"/>
    <xf numFmtId="0" fontId="31" fillId="0" borderId="0"/>
    <xf numFmtId="0" fontId="40" fillId="0" borderId="0">
      <alignment vertical="center"/>
    </xf>
    <xf numFmtId="0" fontId="50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49" fillId="0" borderId="0"/>
    <xf numFmtId="0" fontId="31" fillId="0" borderId="0"/>
    <xf numFmtId="0" fontId="31" fillId="0" borderId="0"/>
    <xf numFmtId="0" fontId="45" fillId="0" borderId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31" fillId="0" borderId="0" applyFill="0" applyProtection="0"/>
    <xf numFmtId="0" fontId="1" fillId="0" borderId="0"/>
    <xf numFmtId="0" fontId="1" fillId="0" borderId="0"/>
    <xf numFmtId="0" fontId="1" fillId="0" borderId="0"/>
    <xf numFmtId="0" fontId="24" fillId="0" borderId="0"/>
    <xf numFmtId="0" fontId="51" fillId="0" borderId="0"/>
    <xf numFmtId="0" fontId="31" fillId="0" borderId="0" applyFill="0" applyProtection="0"/>
    <xf numFmtId="0" fontId="31" fillId="0" borderId="0"/>
    <xf numFmtId="0" fontId="31" fillId="0" borderId="0" applyFill="0" applyProtection="0"/>
    <xf numFmtId="0" fontId="31" fillId="0" borderId="0"/>
    <xf numFmtId="0" fontId="31" fillId="0" borderId="0"/>
    <xf numFmtId="0" fontId="31" fillId="0" borderId="0"/>
    <xf numFmtId="0" fontId="2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1" fillId="8" borderId="12" applyNumberFormat="0" applyFont="0" applyAlignment="0" applyProtection="0"/>
    <xf numFmtId="0" fontId="15" fillId="6" borderId="9" applyNumberFormat="0" applyAlignment="0" applyProtection="0"/>
    <xf numFmtId="9" fontId="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41" fontId="52" fillId="37" borderId="1" applyNumberFormat="0" applyFont="0" applyFill="0" applyBorder="0" applyAlignment="0" applyProtection="0">
      <alignment horizontal="right" vertical="justify"/>
    </xf>
    <xf numFmtId="37" fontId="52" fillId="37" borderId="1">
      <alignment horizontal="right" vertical="justify"/>
    </xf>
    <xf numFmtId="37" fontId="13" fillId="4" borderId="22" applyFont="0" applyFill="0" applyBorder="0" applyAlignment="0" applyProtection="0">
      <protection locked="0"/>
    </xf>
    <xf numFmtId="0" fontId="11" fillId="2" borderId="0" applyProtection="0"/>
    <xf numFmtId="0" fontId="7" fillId="0" borderId="0" applyNumberFormat="0" applyFill="0" applyBorder="0" applyAlignment="0" applyProtection="0"/>
    <xf numFmtId="166" fontId="46" fillId="0" borderId="22">
      <protection locked="0"/>
    </xf>
    <xf numFmtId="0" fontId="19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</cellStyleXfs>
  <cellXfs count="26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2" xfId="0" quotePrefix="1" applyNumberFormat="1" applyFont="1" applyBorder="1" applyAlignment="1">
      <alignment horizontal="center" vertical="center"/>
    </xf>
    <xf numFmtId="0" fontId="6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3" fontId="3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3" fontId="6" fillId="0" borderId="1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3" fontId="3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3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3" fontId="3" fillId="0" borderId="1" xfId="0" quotePrefix="1" applyNumberFormat="1" applyFont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Border="1"/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33" fillId="35" borderId="1" xfId="2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3" fontId="32" fillId="0" borderId="1" xfId="27" applyNumberFormat="1" applyFont="1" applyBorder="1" applyAlignment="1">
      <alignment horizontal="center" vertical="center" wrapText="1"/>
    </xf>
    <xf numFmtId="0" fontId="32" fillId="0" borderId="1" xfId="27" applyFont="1" applyBorder="1" applyAlignment="1">
      <alignment horizontal="center" vertical="center" wrapText="1"/>
    </xf>
    <xf numFmtId="43" fontId="32" fillId="0" borderId="1" xfId="3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/>
    </xf>
    <xf numFmtId="3" fontId="24" fillId="0" borderId="1" xfId="0" applyNumberFormat="1" applyFont="1" applyBorder="1" applyAlignment="1">
      <alignment horizontal="center"/>
    </xf>
    <xf numFmtId="43" fontId="34" fillId="0" borderId="1" xfId="3" applyFont="1" applyBorder="1" applyAlignment="1">
      <alignment horizontal="center" vertical="center" wrapText="1"/>
    </xf>
    <xf numFmtId="0" fontId="23" fillId="33" borderId="1" xfId="25" applyFont="1" applyFill="1" applyBorder="1" applyAlignment="1">
      <alignment horizontal="center" vertical="center" wrapText="1"/>
    </xf>
    <xf numFmtId="0" fontId="23" fillId="35" borderId="1" xfId="25" applyFont="1" applyFill="1" applyBorder="1" applyAlignment="1">
      <alignment horizontal="center" vertical="center" wrapText="1"/>
    </xf>
    <xf numFmtId="0" fontId="23" fillId="36" borderId="1" xfId="25" applyFont="1" applyFill="1" applyBorder="1" applyAlignment="1">
      <alignment horizontal="center" vertical="center" wrapText="1"/>
    </xf>
    <xf numFmtId="0" fontId="33" fillId="35" borderId="1" xfId="25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43" fontId="32" fillId="0" borderId="1" xfId="31" applyFont="1" applyBorder="1" applyAlignment="1">
      <alignment horizontal="center" vertical="center" wrapText="1"/>
    </xf>
    <xf numFmtId="3" fontId="24" fillId="0" borderId="1" xfId="0" applyNumberFormat="1" applyFont="1" applyBorder="1" applyAlignment="1">
      <alignment horizontal="center" vertical="center"/>
    </xf>
    <xf numFmtId="43" fontId="34" fillId="0" borderId="1" xfId="3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0" fillId="0" borderId="0" xfId="0" applyFill="1"/>
    <xf numFmtId="3" fontId="23" fillId="0" borderId="1" xfId="2" applyNumberFormat="1" applyFont="1" applyFill="1" applyBorder="1" applyAlignment="1">
      <alignment horizontal="center" vertical="center" wrapText="1"/>
    </xf>
    <xf numFmtId="3" fontId="23" fillId="0" borderId="1" xfId="25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3" fillId="0" borderId="1" xfId="0" applyFont="1" applyBorder="1" applyAlignment="1">
      <alignment wrapText="1"/>
    </xf>
    <xf numFmtId="0" fontId="3" fillId="0" borderId="1" xfId="25" applyFont="1" applyFill="1" applyBorder="1" applyAlignment="1">
      <alignment horizontal="center" vertical="center" wrapText="1"/>
    </xf>
    <xf numFmtId="0" fontId="3" fillId="0" borderId="1" xfId="25" applyFont="1" applyFill="1" applyBorder="1" applyAlignment="1">
      <alignment vertical="center" wrapText="1"/>
    </xf>
    <xf numFmtId="0" fontId="3" fillId="0" borderId="1" xfId="25" applyFont="1" applyBorder="1" applyAlignment="1">
      <alignment horizontal="center" vertical="center" wrapText="1"/>
    </xf>
    <xf numFmtId="0" fontId="3" fillId="0" borderId="1" xfId="25" applyFont="1" applyBorder="1" applyAlignment="1">
      <alignment vertical="center" wrapText="1"/>
    </xf>
    <xf numFmtId="0" fontId="6" fillId="0" borderId="1" xfId="25" applyFont="1" applyBorder="1" applyAlignment="1">
      <alignment horizontal="center" vertical="center" wrapText="1"/>
    </xf>
    <xf numFmtId="0" fontId="6" fillId="33" borderId="1" xfId="25" applyFont="1" applyFill="1" applyBorder="1" applyAlignment="1">
      <alignment horizontal="center" vertical="center" wrapText="1"/>
    </xf>
    <xf numFmtId="0" fontId="6" fillId="35" borderId="1" xfId="25" applyFont="1" applyFill="1" applyBorder="1" applyAlignment="1">
      <alignment horizontal="center" vertical="center" wrapText="1"/>
    </xf>
    <xf numFmtId="0" fontId="29" fillId="35" borderId="1" xfId="25" applyFont="1" applyFill="1" applyBorder="1" applyAlignment="1">
      <alignment horizontal="center" vertical="center" wrapText="1"/>
    </xf>
    <xf numFmtId="0" fontId="6" fillId="36" borderId="1" xfId="25" applyFont="1" applyFill="1" applyBorder="1" applyAlignment="1">
      <alignment horizontal="center" vertical="center" wrapText="1"/>
    </xf>
    <xf numFmtId="0" fontId="24" fillId="0" borderId="1" xfId="27" applyBorder="1" applyAlignment="1">
      <alignment vertical="center" wrapText="1"/>
    </xf>
    <xf numFmtId="43" fontId="24" fillId="0" borderId="1" xfId="32" applyBorder="1" applyAlignment="1">
      <alignment vertical="center" wrapText="1"/>
    </xf>
    <xf numFmtId="0" fontId="3" fillId="0" borderId="1" xfId="25" applyFont="1" applyBorder="1" applyAlignment="1">
      <alignment wrapText="1"/>
    </xf>
    <xf numFmtId="0" fontId="3" fillId="0" borderId="1" xfId="25" applyFont="1" applyBorder="1" applyAlignment="1">
      <alignment horizontal="center" wrapText="1"/>
    </xf>
    <xf numFmtId="43" fontId="23" fillId="0" borderId="1" xfId="32" applyFont="1" applyBorder="1" applyAlignment="1">
      <alignment vertical="center" wrapText="1"/>
    </xf>
    <xf numFmtId="3" fontId="24" fillId="0" borderId="1" xfId="27" applyNumberFormat="1" applyBorder="1" applyAlignment="1">
      <alignment vertical="center" wrapText="1"/>
    </xf>
    <xf numFmtId="3" fontId="0" fillId="0" borderId="1" xfId="0" applyNumberFormat="1" applyBorder="1" applyAlignment="1">
      <alignment wrapText="1"/>
    </xf>
    <xf numFmtId="0" fontId="0" fillId="0" borderId="0" xfId="0" applyBorder="1" applyAlignment="1">
      <alignment wrapText="1"/>
    </xf>
    <xf numFmtId="3" fontId="0" fillId="0" borderId="0" xfId="0" applyNumberFormat="1" applyBorder="1" applyAlignment="1">
      <alignment wrapText="1"/>
    </xf>
    <xf numFmtId="0" fontId="24" fillId="0" borderId="0" xfId="27" applyBorder="1" applyAlignment="1">
      <alignment vertical="center" wrapText="1"/>
    </xf>
    <xf numFmtId="43" fontId="24" fillId="0" borderId="0" xfId="32" applyBorder="1" applyAlignment="1">
      <alignment vertical="center" wrapText="1"/>
    </xf>
    <xf numFmtId="43" fontId="23" fillId="0" borderId="0" xfId="32" applyFont="1" applyBorder="1" applyAlignment="1">
      <alignment vertical="center" wrapText="1"/>
    </xf>
    <xf numFmtId="3" fontId="23" fillId="0" borderId="1" xfId="0" applyNumberFormat="1" applyFont="1" applyBorder="1" applyAlignment="1">
      <alignment wrapText="1"/>
    </xf>
    <xf numFmtId="43" fontId="0" fillId="0" borderId="1" xfId="0" applyNumberFormat="1" applyBorder="1" applyAlignment="1">
      <alignment wrapText="1"/>
    </xf>
    <xf numFmtId="43" fontId="23" fillId="0" borderId="1" xfId="0" applyNumberFormat="1" applyFont="1" applyBorder="1" applyAlignment="1">
      <alignment wrapText="1"/>
    </xf>
    <xf numFmtId="0" fontId="54" fillId="0" borderId="1" xfId="0" applyFont="1" applyBorder="1" applyAlignment="1">
      <alignment horizontal="center" vertical="center" wrapText="1"/>
    </xf>
    <xf numFmtId="0" fontId="54" fillId="0" borderId="2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vertical="center"/>
    </xf>
    <xf numFmtId="0" fontId="55" fillId="0" borderId="0" xfId="0" applyFont="1" applyAlignment="1">
      <alignment horizontal="left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3" fontId="53" fillId="0" borderId="1" xfId="0" applyNumberFormat="1" applyFont="1" applyBorder="1" applyAlignment="1">
      <alignment vertical="center"/>
    </xf>
    <xf numFmtId="3" fontId="54" fillId="0" borderId="1" xfId="0" applyNumberFormat="1" applyFont="1" applyBorder="1" applyAlignment="1">
      <alignment vertical="center"/>
    </xf>
    <xf numFmtId="0" fontId="53" fillId="0" borderId="3" xfId="0" applyFont="1" applyBorder="1" applyAlignment="1">
      <alignment horizontal="center" vertical="center"/>
    </xf>
    <xf numFmtId="0" fontId="53" fillId="0" borderId="3" xfId="0" applyFont="1" applyBorder="1" applyAlignment="1">
      <alignment vertical="center"/>
    </xf>
    <xf numFmtId="3" fontId="53" fillId="0" borderId="3" xfId="0" applyNumberFormat="1" applyFont="1" applyBorder="1" applyAlignment="1">
      <alignment vertical="center"/>
    </xf>
    <xf numFmtId="0" fontId="53" fillId="0" borderId="1" xfId="0" applyFont="1" applyFill="1" applyBorder="1" applyAlignment="1">
      <alignment vertical="center"/>
    </xf>
    <xf numFmtId="3" fontId="53" fillId="0" borderId="1" xfId="0" applyNumberFormat="1" applyFont="1" applyFill="1" applyBorder="1" applyAlignment="1">
      <alignment vertical="center"/>
    </xf>
    <xf numFmtId="0" fontId="53" fillId="0" borderId="3" xfId="0" applyFont="1" applyFill="1" applyBorder="1" applyAlignment="1">
      <alignment vertical="center"/>
    </xf>
    <xf numFmtId="3" fontId="53" fillId="0" borderId="3" xfId="0" applyNumberFormat="1" applyFont="1" applyFill="1" applyBorder="1" applyAlignment="1">
      <alignment vertical="center"/>
    </xf>
    <xf numFmtId="0" fontId="53" fillId="33" borderId="1" xfId="0" applyFont="1" applyFill="1" applyBorder="1" applyAlignment="1">
      <alignment vertical="center"/>
    </xf>
    <xf numFmtId="3" fontId="53" fillId="40" borderId="1" xfId="0" applyNumberFormat="1" applyFont="1" applyFill="1" applyBorder="1" applyAlignment="1">
      <alignment vertical="center"/>
    </xf>
    <xf numFmtId="0" fontId="56" fillId="38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3" fontId="26" fillId="0" borderId="1" xfId="623" applyNumberFormat="1" applyFont="1" applyFill="1" applyBorder="1" applyAlignment="1">
      <alignment vertical="center" wrapText="1"/>
    </xf>
    <xf numFmtId="43" fontId="57" fillId="0" borderId="1" xfId="622" applyNumberFormat="1" applyFont="1" applyFill="1" applyBorder="1" applyAlignment="1">
      <alignment vertical="center" wrapText="1"/>
    </xf>
    <xf numFmtId="4" fontId="24" fillId="0" borderId="1" xfId="0" applyNumberFormat="1" applyFont="1" applyBorder="1" applyAlignment="1">
      <alignment horizontal="right" vertical="center" wrapText="1"/>
    </xf>
    <xf numFmtId="0" fontId="26" fillId="0" borderId="1" xfId="623" applyFont="1" applyFill="1" applyBorder="1" applyAlignment="1">
      <alignment vertical="center" wrapText="1"/>
    </xf>
    <xf numFmtId="0" fontId="23" fillId="33" borderId="1" xfId="623" applyFont="1" applyFill="1" applyBorder="1" applyAlignment="1">
      <alignment horizontal="center" vertical="center" wrapText="1"/>
    </xf>
    <xf numFmtId="0" fontId="33" fillId="33" borderId="1" xfId="623" applyFont="1" applyFill="1" applyBorder="1" applyAlignment="1">
      <alignment vertical="center" wrapText="1"/>
    </xf>
    <xf numFmtId="0" fontId="23" fillId="36" borderId="1" xfId="623" applyFont="1" applyFill="1" applyBorder="1" applyAlignment="1">
      <alignment horizontal="center" vertical="center" wrapText="1"/>
    </xf>
    <xf numFmtId="165" fontId="26" fillId="0" borderId="1" xfId="622" applyNumberFormat="1" applyFont="1" applyFill="1" applyBorder="1" applyAlignment="1">
      <alignment vertical="center" wrapText="1"/>
    </xf>
    <xf numFmtId="43" fontId="26" fillId="0" borderId="1" xfId="622" applyNumberFormat="1" applyFont="1" applyFill="1" applyBorder="1" applyAlignment="1">
      <alignment vertical="center" wrapText="1"/>
    </xf>
    <xf numFmtId="0" fontId="0" fillId="0" borderId="0" xfId="0"/>
    <xf numFmtId="0" fontId="0" fillId="0" borderId="0" xfId="0"/>
    <xf numFmtId="0" fontId="54" fillId="0" borderId="1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vertical="center"/>
    </xf>
    <xf numFmtId="0" fontId="55" fillId="0" borderId="0" xfId="0" applyFont="1" applyAlignment="1">
      <alignment horizontal="left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3" fontId="53" fillId="0" borderId="1" xfId="0" applyNumberFormat="1" applyFont="1" applyBorder="1" applyAlignment="1">
      <alignment vertical="center"/>
    </xf>
    <xf numFmtId="3" fontId="54" fillId="0" borderId="1" xfId="0" applyNumberFormat="1" applyFont="1" applyBorder="1" applyAlignment="1">
      <alignment vertical="center"/>
    </xf>
    <xf numFmtId="3" fontId="53" fillId="0" borderId="1" xfId="0" applyNumberFormat="1" applyFont="1" applyFill="1" applyBorder="1" applyAlignment="1">
      <alignment vertical="center"/>
    </xf>
    <xf numFmtId="4" fontId="0" fillId="0" borderId="1" xfId="0" applyNumberFormat="1" applyBorder="1"/>
    <xf numFmtId="0" fontId="35" fillId="0" borderId="1" xfId="0" applyFont="1" applyBorder="1" applyAlignment="1">
      <alignment horizontal="center" vertical="center" wrapText="1"/>
    </xf>
    <xf numFmtId="0" fontId="23" fillId="36" borderId="1" xfId="2" applyFont="1" applyFill="1" applyBorder="1" applyAlignment="1">
      <alignment horizontal="center" vertical="center" wrapText="1"/>
    </xf>
    <xf numFmtId="0" fontId="23" fillId="35" borderId="1" xfId="2" applyFont="1" applyFill="1" applyBorder="1" applyAlignment="1">
      <alignment horizontal="center" vertical="center" wrapText="1"/>
    </xf>
    <xf numFmtId="0" fontId="23" fillId="33" borderId="1" xfId="2" applyFont="1" applyFill="1" applyBorder="1" applyAlignment="1">
      <alignment horizontal="center" vertical="center" wrapText="1"/>
    </xf>
    <xf numFmtId="3" fontId="0" fillId="0" borderId="0" xfId="0" applyNumberFormat="1"/>
    <xf numFmtId="0" fontId="24" fillId="0" borderId="0" xfId="0" applyFont="1" applyBorder="1" applyAlignment="1">
      <alignment horizontal="center"/>
    </xf>
    <xf numFmtId="0" fontId="24" fillId="33" borderId="1" xfId="0" applyFont="1" applyFill="1" applyBorder="1" applyAlignment="1">
      <alignment horizontal="center"/>
    </xf>
    <xf numFmtId="3" fontId="24" fillId="33" borderId="1" xfId="0" applyNumberFormat="1" applyFont="1" applyFill="1" applyBorder="1" applyAlignment="1">
      <alignment horizontal="center"/>
    </xf>
    <xf numFmtId="0" fontId="32" fillId="33" borderId="1" xfId="27" applyFont="1" applyFill="1" applyBorder="1" applyAlignment="1">
      <alignment horizontal="center" vertical="center" wrapText="1"/>
    </xf>
    <xf numFmtId="43" fontId="32" fillId="33" borderId="1" xfId="3" applyFont="1" applyFill="1" applyBorder="1" applyAlignment="1">
      <alignment horizontal="center" vertical="center" wrapText="1"/>
    </xf>
    <xf numFmtId="43" fontId="34" fillId="33" borderId="1" xfId="3" applyFont="1" applyFill="1" applyBorder="1" applyAlignment="1">
      <alignment horizontal="center" vertical="center" wrapText="1"/>
    </xf>
    <xf numFmtId="0" fontId="24" fillId="33" borderId="1" xfId="0" applyFont="1" applyFill="1" applyBorder="1" applyAlignment="1">
      <alignment horizontal="center" vertical="center"/>
    </xf>
    <xf numFmtId="43" fontId="32" fillId="33" borderId="1" xfId="31" applyFont="1" applyFill="1" applyBorder="1" applyAlignment="1">
      <alignment horizontal="center" vertical="center" wrapText="1"/>
    </xf>
    <xf numFmtId="43" fontId="34" fillId="33" borderId="1" xfId="31" applyFont="1" applyFill="1" applyBorder="1" applyAlignment="1">
      <alignment horizontal="center" vertical="center" wrapText="1"/>
    </xf>
    <xf numFmtId="4" fontId="0" fillId="0" borderId="0" xfId="0" applyNumberFormat="1"/>
    <xf numFmtId="3" fontId="0" fillId="0" borderId="0" xfId="0" applyNumberFormat="1" applyFill="1"/>
    <xf numFmtId="3" fontId="24" fillId="33" borderId="1" xfId="0" applyNumberFormat="1" applyFont="1" applyFill="1" applyBorder="1" applyAlignment="1">
      <alignment horizontal="center" vertical="center"/>
    </xf>
    <xf numFmtId="3" fontId="0" fillId="0" borderId="14" xfId="0" applyNumberFormat="1" applyBorder="1"/>
    <xf numFmtId="0" fontId="23" fillId="0" borderId="1" xfId="0" applyFont="1" applyBorder="1"/>
    <xf numFmtId="0" fontId="23" fillId="0" borderId="14" xfId="0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3" fontId="24" fillId="0" borderId="1" xfId="0" applyNumberFormat="1" applyFont="1" applyBorder="1" applyAlignment="1">
      <alignment horizontal="right" vertical="center" wrapText="1"/>
    </xf>
    <xf numFmtId="3" fontId="35" fillId="0" borderId="1" xfId="0" applyNumberFormat="1" applyFont="1" applyBorder="1" applyAlignment="1">
      <alignment horizontal="right" vertical="center" wrapText="1"/>
    </xf>
    <xf numFmtId="4" fontId="35" fillId="0" borderId="1" xfId="0" applyNumberFormat="1" applyFont="1" applyBorder="1" applyAlignment="1">
      <alignment horizontal="right" vertical="center" wrapText="1"/>
    </xf>
    <xf numFmtId="3" fontId="35" fillId="39" borderId="1" xfId="0" applyNumberFormat="1" applyFont="1" applyFill="1" applyBorder="1" applyAlignment="1">
      <alignment horizontal="right" vertical="center" wrapText="1"/>
    </xf>
    <xf numFmtId="0" fontId="24" fillId="0" borderId="1" xfId="0" applyFont="1" applyBorder="1" applyAlignment="1">
      <alignment horizontal="right" vertical="center" wrapText="1"/>
    </xf>
    <xf numFmtId="0" fontId="24" fillId="0" borderId="1" xfId="0" applyFont="1" applyBorder="1"/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Fill="1" applyBorder="1"/>
    <xf numFmtId="0" fontId="23" fillId="0" borderId="1" xfId="0" applyFont="1" applyBorder="1" applyAlignment="1">
      <alignment horizontal="center" vertical="center"/>
    </xf>
    <xf numFmtId="0" fontId="34" fillId="36" borderId="1" xfId="623" applyFont="1" applyFill="1" applyBorder="1" applyAlignment="1">
      <alignment horizontal="center" vertical="center" wrapText="1"/>
    </xf>
    <xf numFmtId="0" fontId="23" fillId="35" borderId="1" xfId="623" applyFont="1" applyFill="1" applyBorder="1" applyAlignment="1">
      <alignment horizontal="center" vertical="center" wrapText="1"/>
    </xf>
    <xf numFmtId="0" fontId="23" fillId="0" borderId="1" xfId="623" applyFont="1" applyFill="1" applyBorder="1" applyAlignment="1">
      <alignment horizontal="right" vertical="center" wrapText="1"/>
    </xf>
    <xf numFmtId="0" fontId="24" fillId="0" borderId="1" xfId="623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24" fillId="0" borderId="1" xfId="0" applyFont="1" applyBorder="1" applyAlignment="1">
      <alignment horizontal="right" vertical="center"/>
    </xf>
    <xf numFmtId="2" fontId="24" fillId="0" borderId="1" xfId="0" applyNumberFormat="1" applyFont="1" applyBorder="1" applyAlignment="1">
      <alignment horizontal="right" vertical="center" wrapText="1"/>
    </xf>
    <xf numFmtId="0" fontId="0" fillId="0" borderId="1" xfId="0" applyFill="1" applyBorder="1" applyAlignment="1">
      <alignment horizontal="right"/>
    </xf>
    <xf numFmtId="42" fontId="0" fillId="0" borderId="1" xfId="0" applyNumberFormat="1" applyBorder="1"/>
    <xf numFmtId="42" fontId="23" fillId="0" borderId="1" xfId="0" applyNumberFormat="1" applyFont="1" applyBorder="1"/>
    <xf numFmtId="0" fontId="24" fillId="0" borderId="1" xfId="0" applyFont="1" applyBorder="1" applyAlignment="1">
      <alignment vertical="center" wrapText="1"/>
    </xf>
    <xf numFmtId="3" fontId="24" fillId="0" borderId="1" xfId="0" applyNumberFormat="1" applyFont="1" applyBorder="1" applyAlignment="1">
      <alignment vertical="center" wrapText="1"/>
    </xf>
    <xf numFmtId="0" fontId="35" fillId="33" borderId="1" xfId="0" applyFont="1" applyFill="1" applyBorder="1" applyAlignment="1">
      <alignment horizontal="right" vertical="center" wrapText="1"/>
    </xf>
    <xf numFmtId="3" fontId="35" fillId="33" borderId="1" xfId="0" applyNumberFormat="1" applyFont="1" applyFill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0" fontId="56" fillId="3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left" vertical="top" wrapText="1"/>
    </xf>
    <xf numFmtId="0" fontId="24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/>
    </xf>
    <xf numFmtId="0" fontId="54" fillId="0" borderId="3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54" fillId="0" borderId="2" xfId="0" applyFont="1" applyBorder="1" applyAlignment="1">
      <alignment horizontal="center" vertical="center" wrapText="1"/>
    </xf>
    <xf numFmtId="168" fontId="55" fillId="0" borderId="0" xfId="0" applyNumberFormat="1" applyFont="1" applyAlignment="1">
      <alignment horizontal="left" vertical="center"/>
    </xf>
    <xf numFmtId="0" fontId="54" fillId="0" borderId="13" xfId="0" applyFont="1" applyBorder="1" applyAlignment="1">
      <alignment horizontal="center" vertical="center" wrapText="1"/>
    </xf>
    <xf numFmtId="0" fontId="54" fillId="0" borderId="20" xfId="0" applyFont="1" applyBorder="1" applyAlignment="1">
      <alignment horizontal="center" vertical="center" wrapText="1"/>
    </xf>
    <xf numFmtId="0" fontId="54" fillId="0" borderId="15" xfId="0" applyFont="1" applyBorder="1" applyAlignment="1">
      <alignment horizontal="center" vertical="center" wrapText="1"/>
    </xf>
    <xf numFmtId="0" fontId="54" fillId="0" borderId="16" xfId="0" applyFont="1" applyBorder="1" applyAlignment="1">
      <alignment horizontal="center" vertical="center" wrapText="1"/>
    </xf>
    <xf numFmtId="0" fontId="54" fillId="0" borderId="21" xfId="0" applyFont="1" applyBorder="1" applyAlignment="1">
      <alignment horizontal="center" vertical="center" wrapText="1"/>
    </xf>
    <xf numFmtId="0" fontId="54" fillId="0" borderId="17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0" fillId="33" borderId="23" xfId="0" applyFill="1" applyBorder="1" applyAlignment="1">
      <alignment horizontal="center" vertical="center" wrapText="1"/>
    </xf>
    <xf numFmtId="0" fontId="0" fillId="33" borderId="0" xfId="0" applyFill="1" applyBorder="1" applyAlignment="1">
      <alignment horizontal="center" vertical="center" wrapText="1"/>
    </xf>
    <xf numFmtId="0" fontId="23" fillId="33" borderId="1" xfId="25" applyFont="1" applyFill="1" applyBorder="1" applyAlignment="1">
      <alignment horizontal="center" vertical="center" wrapText="1"/>
    </xf>
    <xf numFmtId="0" fontId="23" fillId="35" borderId="1" xfId="25" applyFont="1" applyFill="1" applyBorder="1" applyAlignment="1">
      <alignment horizontal="center" vertical="center" wrapText="1"/>
    </xf>
    <xf numFmtId="0" fontId="23" fillId="36" borderId="13" xfId="25" applyFont="1" applyFill="1" applyBorder="1" applyAlignment="1">
      <alignment horizontal="center" vertical="center" wrapText="1"/>
    </xf>
    <xf numFmtId="0" fontId="23" fillId="36" borderId="15" xfId="25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37" fillId="37" borderId="21" xfId="0" applyFont="1" applyFill="1" applyBorder="1" applyAlignment="1">
      <alignment horizontal="center"/>
    </xf>
    <xf numFmtId="0" fontId="37" fillId="37" borderId="1" xfId="0" applyFont="1" applyFill="1" applyBorder="1" applyAlignment="1">
      <alignment horizontal="center"/>
    </xf>
    <xf numFmtId="0" fontId="23" fillId="36" borderId="1" xfId="2" applyFont="1" applyFill="1" applyBorder="1" applyAlignment="1">
      <alignment horizontal="center" vertical="center" wrapText="1"/>
    </xf>
    <xf numFmtId="0" fontId="23" fillId="35" borderId="1" xfId="2" applyFont="1" applyFill="1" applyBorder="1" applyAlignment="1">
      <alignment horizontal="center" vertical="center" wrapText="1"/>
    </xf>
    <xf numFmtId="0" fontId="23" fillId="33" borderId="1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6" fillId="33" borderId="1" xfId="25" applyFont="1" applyFill="1" applyBorder="1" applyAlignment="1">
      <alignment horizontal="center" vertical="center" wrapText="1"/>
    </xf>
    <xf numFmtId="0" fontId="6" fillId="35" borderId="1" xfId="25" applyFont="1" applyFill="1" applyBorder="1" applyAlignment="1">
      <alignment horizontal="center" vertical="center" wrapText="1"/>
    </xf>
    <xf numFmtId="0" fontId="6" fillId="36" borderId="1" xfId="25" applyFont="1" applyFill="1" applyBorder="1" applyAlignment="1">
      <alignment horizontal="center" vertical="center" wrapText="1"/>
    </xf>
    <xf numFmtId="0" fontId="23" fillId="37" borderId="1" xfId="0" applyFont="1" applyFill="1" applyBorder="1" applyAlignment="1">
      <alignment horizontal="center" wrapText="1"/>
    </xf>
    <xf numFmtId="0" fontId="23" fillId="0" borderId="14" xfId="0" applyFont="1" applyBorder="1" applyAlignment="1">
      <alignment horizontal="right" wrapText="1"/>
    </xf>
    <xf numFmtId="0" fontId="23" fillId="0" borderId="18" xfId="0" applyFont="1" applyBorder="1" applyAlignment="1">
      <alignment horizontal="right" wrapText="1"/>
    </xf>
    <xf numFmtId="0" fontId="23" fillId="0" borderId="19" xfId="0" applyFont="1" applyBorder="1" applyAlignment="1">
      <alignment horizontal="right" wrapText="1"/>
    </xf>
    <xf numFmtId="0" fontId="36" fillId="37" borderId="14" xfId="0" applyFont="1" applyFill="1" applyBorder="1" applyAlignment="1">
      <alignment horizontal="center" vertical="center" wrapText="1"/>
    </xf>
    <xf numFmtId="0" fontId="36" fillId="37" borderId="18" xfId="0" applyFont="1" applyFill="1" applyBorder="1" applyAlignment="1">
      <alignment horizontal="center" vertical="center" wrapText="1"/>
    </xf>
    <xf numFmtId="0" fontId="36" fillId="37" borderId="19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37" fillId="37" borderId="14" xfId="0" applyFont="1" applyFill="1" applyBorder="1" applyAlignment="1">
      <alignment horizontal="center" vertical="center"/>
    </xf>
    <xf numFmtId="0" fontId="37" fillId="37" borderId="18" xfId="0" applyFont="1" applyFill="1" applyBorder="1" applyAlignment="1">
      <alignment horizontal="center" vertical="center"/>
    </xf>
    <xf numFmtId="0" fontId="37" fillId="37" borderId="19" xfId="0" applyFont="1" applyFill="1" applyBorder="1" applyAlignment="1">
      <alignment horizontal="center" vertical="center"/>
    </xf>
    <xf numFmtId="0" fontId="34" fillId="36" borderId="1" xfId="623" applyFont="1" applyFill="1" applyBorder="1" applyAlignment="1">
      <alignment horizontal="center" vertical="center" wrapText="1"/>
    </xf>
    <xf numFmtId="0" fontId="23" fillId="34" borderId="1" xfId="623" applyFont="1" applyFill="1" applyBorder="1" applyAlignment="1">
      <alignment horizontal="center" vertical="center" wrapText="1"/>
    </xf>
    <xf numFmtId="0" fontId="23" fillId="35" borderId="1" xfId="623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8" fillId="38" borderId="1" xfId="0" applyFont="1" applyFill="1" applyBorder="1" applyAlignment="1">
      <alignment horizontal="left" vertical="center" wrapText="1"/>
    </xf>
    <xf numFmtId="0" fontId="58" fillId="38" borderId="1" xfId="0" applyFont="1" applyFill="1" applyBorder="1" applyAlignment="1">
      <alignment horizontal="left" vertical="center" wrapText="1"/>
    </xf>
    <xf numFmtId="0" fontId="38" fillId="38" borderId="14" xfId="0" applyFont="1" applyFill="1" applyBorder="1" applyAlignment="1">
      <alignment horizontal="left" vertical="center"/>
    </xf>
    <xf numFmtId="0" fontId="38" fillId="38" borderId="18" xfId="0" applyFont="1" applyFill="1" applyBorder="1" applyAlignment="1">
      <alignment horizontal="left" vertical="center"/>
    </xf>
    <xf numFmtId="0" fontId="38" fillId="38" borderId="19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/>
    </xf>
    <xf numFmtId="0" fontId="38" fillId="38" borderId="1" xfId="0" applyFont="1" applyFill="1" applyBorder="1" applyAlignment="1">
      <alignment horizontal="left" vertical="center"/>
    </xf>
    <xf numFmtId="0" fontId="38" fillId="38" borderId="4" xfId="0" applyFont="1" applyFill="1" applyBorder="1" applyAlignment="1">
      <alignment horizontal="left" vertical="center" wrapText="1"/>
    </xf>
    <xf numFmtId="0" fontId="39" fillId="0" borderId="1" xfId="0" applyFont="1" applyBorder="1" applyAlignment="1">
      <alignment horizontal="left" vertical="center" wrapText="1"/>
    </xf>
    <xf numFmtId="4" fontId="39" fillId="0" borderId="1" xfId="0" applyNumberFormat="1" applyFont="1" applyBorder="1" applyAlignment="1">
      <alignment horizontal="left" vertical="center"/>
    </xf>
    <xf numFmtId="4" fontId="39" fillId="0" borderId="1" xfId="0" applyNumberFormat="1" applyFont="1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left"/>
    </xf>
    <xf numFmtId="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60" fillId="0" borderId="1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left"/>
    </xf>
    <xf numFmtId="0" fontId="21" fillId="0" borderId="20" xfId="0" applyFont="1" applyBorder="1" applyAlignment="1">
      <alignment horizontal="left"/>
    </xf>
    <xf numFmtId="0" fontId="21" fillId="0" borderId="15" xfId="0" applyFont="1" applyBorder="1" applyAlignment="1">
      <alignment horizontal="left"/>
    </xf>
    <xf numFmtId="10" fontId="38" fillId="0" borderId="1" xfId="0" applyNumberFormat="1" applyFont="1" applyFill="1" applyBorder="1" applyAlignment="1">
      <alignment horizontal="left" vertical="center"/>
    </xf>
    <xf numFmtId="3" fontId="23" fillId="0" borderId="1" xfId="0" applyNumberFormat="1" applyFont="1" applyBorder="1" applyAlignment="1">
      <alignment horizontal="left" vertical="top"/>
    </xf>
    <xf numFmtId="0" fontId="23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/>
    </xf>
    <xf numFmtId="2" fontId="23" fillId="0" borderId="1" xfId="0" applyNumberFormat="1" applyFont="1" applyBorder="1" applyAlignment="1">
      <alignment horizontal="left" vertical="top"/>
    </xf>
  </cellXfs>
  <cellStyles count="624">
    <cellStyle name="20% - Accent1 2" xfId="34"/>
    <cellStyle name="20% - Accent2 2" xfId="35"/>
    <cellStyle name="20% - Accent3 2" xfId="36"/>
    <cellStyle name="20% - Accent4 2" xfId="37"/>
    <cellStyle name="20% - Accent5 2" xfId="38"/>
    <cellStyle name="20% - Accent6 2" xfId="39"/>
    <cellStyle name="40% - Accent1 2" xfId="40"/>
    <cellStyle name="40% - Accent2 2" xfId="41"/>
    <cellStyle name="40% - Accent3 2" xfId="42"/>
    <cellStyle name="40% - Accent4 2" xfId="43"/>
    <cellStyle name="40% - Accent5 2" xfId="44"/>
    <cellStyle name="40% - Accent6 2" xfId="45"/>
    <cellStyle name="60% - Accent1 2" xfId="46"/>
    <cellStyle name="60% - Accent2 2" xfId="47"/>
    <cellStyle name="60% - Accent3 2" xfId="48"/>
    <cellStyle name="60% - Accent4 2" xfId="49"/>
    <cellStyle name="60% - Accent5 2" xfId="50"/>
    <cellStyle name="60% - Accent6 2" xfId="51"/>
    <cellStyle name="Accent1 2" xfId="52"/>
    <cellStyle name="Accent2 2" xfId="53"/>
    <cellStyle name="Accent3 2" xfId="54"/>
    <cellStyle name="Accent4 2" xfId="55"/>
    <cellStyle name="Accent5 2" xfId="56"/>
    <cellStyle name="Accent6 2" xfId="57"/>
    <cellStyle name="Bad 2" xfId="58"/>
    <cellStyle name="Calculation 2" xfId="59"/>
    <cellStyle name="Check Cell 2" xfId="60"/>
    <cellStyle name="Comma [0]" xfId="1" builtinId="6"/>
    <cellStyle name="Comma [0] 10" xfId="61"/>
    <cellStyle name="Comma [0] 11" xfId="62"/>
    <cellStyle name="Comma [0] 11 2" xfId="63"/>
    <cellStyle name="Comma [0] 11 2 2" xfId="64"/>
    <cellStyle name="Comma [0] 11 2 2 2" xfId="65"/>
    <cellStyle name="Comma [0] 11 2 2 3" xfId="66"/>
    <cellStyle name="Comma [0] 11 2 2 4" xfId="67"/>
    <cellStyle name="Comma [0] 11 2 2 4 2" xfId="68"/>
    <cellStyle name="Comma [0] 11 2 2 5" xfId="69"/>
    <cellStyle name="Comma [0] 111" xfId="70"/>
    <cellStyle name="Comma [0] 112" xfId="71"/>
    <cellStyle name="Comma [0] 113" xfId="72"/>
    <cellStyle name="Comma [0] 114" xfId="73"/>
    <cellStyle name="Comma [0] 115" xfId="74"/>
    <cellStyle name="Comma [0] 117" xfId="75"/>
    <cellStyle name="Comma [0] 118" xfId="76"/>
    <cellStyle name="Comma [0] 119" xfId="77"/>
    <cellStyle name="Comma [0] 12" xfId="78"/>
    <cellStyle name="Comma [0] 120" xfId="79"/>
    <cellStyle name="Comma [0] 121" xfId="80"/>
    <cellStyle name="Comma [0] 122" xfId="81"/>
    <cellStyle name="Comma [0] 123" xfId="82"/>
    <cellStyle name="Comma [0] 124" xfId="83"/>
    <cellStyle name="Comma [0] 125" xfId="84"/>
    <cellStyle name="Comma [0] 126" xfId="85"/>
    <cellStyle name="Comma [0] 127" xfId="86"/>
    <cellStyle name="Comma [0] 128" xfId="87"/>
    <cellStyle name="Comma [0] 129" xfId="88"/>
    <cellStyle name="Comma [0] 13" xfId="89"/>
    <cellStyle name="Comma [0] 130" xfId="90"/>
    <cellStyle name="Comma [0] 131" xfId="91"/>
    <cellStyle name="Comma [0] 132" xfId="92"/>
    <cellStyle name="Comma [0] 133" xfId="93"/>
    <cellStyle name="Comma [0] 134" xfId="94"/>
    <cellStyle name="Comma [0] 135" xfId="95"/>
    <cellStyle name="Comma [0] 136" xfId="96"/>
    <cellStyle name="Comma [0] 137" xfId="97"/>
    <cellStyle name="Comma [0] 138" xfId="98"/>
    <cellStyle name="Comma [0] 139" xfId="99"/>
    <cellStyle name="Comma [0] 14" xfId="100"/>
    <cellStyle name="Comma [0] 140" xfId="101"/>
    <cellStyle name="Comma [0] 141" xfId="102"/>
    <cellStyle name="Comma [0] 142" xfId="103"/>
    <cellStyle name="Comma [0] 143" xfId="104"/>
    <cellStyle name="Comma [0] 144" xfId="105"/>
    <cellStyle name="Comma [0] 145" xfId="106"/>
    <cellStyle name="Comma [0] 15" xfId="107"/>
    <cellStyle name="Comma [0] 15 2" xfId="108"/>
    <cellStyle name="Comma [0] 16" xfId="109"/>
    <cellStyle name="Comma [0] 17" xfId="110"/>
    <cellStyle name="Comma [0] 18" xfId="111"/>
    <cellStyle name="Comma [0] 18 2" xfId="112"/>
    <cellStyle name="Comma [0] 19" xfId="113"/>
    <cellStyle name="Comma [0] 19 2" xfId="114"/>
    <cellStyle name="Comma [0] 2" xfId="5"/>
    <cellStyle name="Comma [0] 2 10" xfId="115"/>
    <cellStyle name="Comma [0] 2 100" xfId="116"/>
    <cellStyle name="Comma [0] 2 11" xfId="117"/>
    <cellStyle name="Comma [0] 2 12" xfId="118"/>
    <cellStyle name="Comma [0] 2 2" xfId="119"/>
    <cellStyle name="Comma [0] 2 2 2" xfId="120"/>
    <cellStyle name="Comma [0] 2 2 2 2" xfId="121"/>
    <cellStyle name="Comma [0] 2 2 2 2 2" xfId="122"/>
    <cellStyle name="Comma [0] 2 2 2 3" xfId="123"/>
    <cellStyle name="Comma [0] 2 2 3" xfId="124"/>
    <cellStyle name="Comma [0] 2 2 4" xfId="125"/>
    <cellStyle name="Comma [0] 2 2 5" xfId="126"/>
    <cellStyle name="Comma [0] 2 2 6" xfId="127"/>
    <cellStyle name="Comma [0] 2 2 7" xfId="128"/>
    <cellStyle name="Comma [0] 2 2 8" xfId="129"/>
    <cellStyle name="Comma [0] 2 2 9" xfId="130"/>
    <cellStyle name="Comma [0] 2 3" xfId="131"/>
    <cellStyle name="Comma [0] 2 4" xfId="132"/>
    <cellStyle name="Comma [0] 2 5" xfId="133"/>
    <cellStyle name="Comma [0] 2 6" xfId="134"/>
    <cellStyle name="Comma [0] 2 7" xfId="135"/>
    <cellStyle name="Comma [0] 2 8" xfId="136"/>
    <cellStyle name="Comma [0] 2 9" xfId="137"/>
    <cellStyle name="Comma [0] 20" xfId="138"/>
    <cellStyle name="Comma [0] 21" xfId="139"/>
    <cellStyle name="Comma [0] 22" xfId="140"/>
    <cellStyle name="Comma [0] 22 2" xfId="141"/>
    <cellStyle name="Comma [0] 23" xfId="142"/>
    <cellStyle name="Comma [0] 24" xfId="143"/>
    <cellStyle name="Comma [0] 25" xfId="144"/>
    <cellStyle name="Comma [0] 26" xfId="145"/>
    <cellStyle name="Comma [0] 27" xfId="146"/>
    <cellStyle name="Comma [0] 28" xfId="147"/>
    <cellStyle name="Comma [0] 3" xfId="4"/>
    <cellStyle name="Comma [0] 3 2" xfId="149"/>
    <cellStyle name="Comma [0] 3 2 2" xfId="150"/>
    <cellStyle name="Comma [0] 3 2 3" xfId="151"/>
    <cellStyle name="Comma [0] 3 3" xfId="152"/>
    <cellStyle name="Comma [0] 3 3 2" xfId="153"/>
    <cellStyle name="Comma [0] 3 3 3" xfId="154"/>
    <cellStyle name="Comma [0] 3 4" xfId="155"/>
    <cellStyle name="Comma [0] 3 5" xfId="148"/>
    <cellStyle name="Comma [0] 4" xfId="156"/>
    <cellStyle name="Comma [0] 4 2" xfId="157"/>
    <cellStyle name="Comma [0] 5" xfId="158"/>
    <cellStyle name="Comma [0] 5 2" xfId="159"/>
    <cellStyle name="Comma [0] 5 3" xfId="160"/>
    <cellStyle name="Comma [0] 6" xfId="161"/>
    <cellStyle name="Comma [0] 6 2" xfId="162"/>
    <cellStyle name="Comma [0] 7" xfId="163"/>
    <cellStyle name="Comma [0] 8" xfId="6"/>
    <cellStyle name="Comma [0] 8 2" xfId="164"/>
    <cellStyle name="Comma [0] 9" xfId="165"/>
    <cellStyle name="Comma 10" xfId="7"/>
    <cellStyle name="Comma 10 2" xfId="167"/>
    <cellStyle name="Comma 10 2 2" xfId="168"/>
    <cellStyle name="Comma 10 2 3" xfId="169"/>
    <cellStyle name="Comma 10 2 4" xfId="170"/>
    <cellStyle name="Comma 10 3" xfId="171"/>
    <cellStyle name="Comma 10 3 2" xfId="172"/>
    <cellStyle name="Comma 10 3 2 2" xfId="173"/>
    <cellStyle name="Comma 10 3 3" xfId="174"/>
    <cellStyle name="Comma 10 4" xfId="175"/>
    <cellStyle name="Comma 10 5" xfId="166"/>
    <cellStyle name="Comma 11" xfId="8"/>
    <cellStyle name="Comma 11 2" xfId="177"/>
    <cellStyle name="Comma 11 3" xfId="178"/>
    <cellStyle name="Comma 11 4" xfId="176"/>
    <cellStyle name="Comma 12" xfId="9"/>
    <cellStyle name="Comma 12 2" xfId="180"/>
    <cellStyle name="Comma 12 3" xfId="179"/>
    <cellStyle name="Comma 13" xfId="10"/>
    <cellStyle name="Comma 13 2" xfId="182"/>
    <cellStyle name="Comma 13 2 2" xfId="183"/>
    <cellStyle name="Comma 13 3" xfId="184"/>
    <cellStyle name="Comma 13 4" xfId="185"/>
    <cellStyle name="Comma 13 5" xfId="181"/>
    <cellStyle name="Comma 14" xfId="3"/>
    <cellStyle name="Comma 14 2" xfId="187"/>
    <cellStyle name="Comma 14 3" xfId="188"/>
    <cellStyle name="Comma 14 4" xfId="186"/>
    <cellStyle name="Comma 15" xfId="31"/>
    <cellStyle name="Comma 16" xfId="32"/>
    <cellStyle name="Comma 16 2" xfId="189"/>
    <cellStyle name="Comma 17" xfId="33"/>
    <cellStyle name="Comma 17 2" xfId="190"/>
    <cellStyle name="Comma 18" xfId="191"/>
    <cellStyle name="Comma 19" xfId="192"/>
    <cellStyle name="Comma 2" xfId="11"/>
    <cellStyle name="Comma 2 10" xfId="194"/>
    <cellStyle name="Comma 2 11" xfId="195"/>
    <cellStyle name="Comma 2 12" xfId="196"/>
    <cellStyle name="Comma 2 13" xfId="197"/>
    <cellStyle name="Comma 2 14" xfId="198"/>
    <cellStyle name="Comma 2 15" xfId="199"/>
    <cellStyle name="Comma 2 16" xfId="200"/>
    <cellStyle name="Comma 2 17" xfId="201"/>
    <cellStyle name="Comma 2 18" xfId="202"/>
    <cellStyle name="Comma 2 19" xfId="203"/>
    <cellStyle name="Comma 2 2" xfId="12"/>
    <cellStyle name="Comma 2 2 2" xfId="205"/>
    <cellStyle name="Comma 2 2 2 2" xfId="206"/>
    <cellStyle name="Comma 2 2 3" xfId="204"/>
    <cellStyle name="Comma 2 20" xfId="207"/>
    <cellStyle name="Comma 2 21" xfId="208"/>
    <cellStyle name="Comma 2 22" xfId="209"/>
    <cellStyle name="Comma 2 23" xfId="210"/>
    <cellStyle name="Comma 2 24" xfId="211"/>
    <cellStyle name="Comma 2 25" xfId="212"/>
    <cellStyle name="Comma 2 26" xfId="213"/>
    <cellStyle name="Comma 2 27" xfId="214"/>
    <cellStyle name="Comma 2 28" xfId="215"/>
    <cellStyle name="Comma 2 29" xfId="216"/>
    <cellStyle name="Comma 2 3" xfId="217"/>
    <cellStyle name="Comma 2 30" xfId="218"/>
    <cellStyle name="Comma 2 31" xfId="219"/>
    <cellStyle name="Comma 2 32" xfId="220"/>
    <cellStyle name="Comma 2 33" xfId="221"/>
    <cellStyle name="Comma 2 34" xfId="222"/>
    <cellStyle name="Comma 2 35" xfId="223"/>
    <cellStyle name="Comma 2 36" xfId="224"/>
    <cellStyle name="Comma 2 37" xfId="225"/>
    <cellStyle name="Comma 2 38" xfId="226"/>
    <cellStyle name="Comma 2 39" xfId="227"/>
    <cellStyle name="Comma 2 4" xfId="228"/>
    <cellStyle name="Comma 2 40" xfId="229"/>
    <cellStyle name="Comma 2 41" xfId="230"/>
    <cellStyle name="Comma 2 42" xfId="231"/>
    <cellStyle name="Comma 2 43" xfId="232"/>
    <cellStyle name="Comma 2 44" xfId="233"/>
    <cellStyle name="Comma 2 45" xfId="234"/>
    <cellStyle name="Comma 2 46" xfId="235"/>
    <cellStyle name="Comma 2 47" xfId="236"/>
    <cellStyle name="Comma 2 48" xfId="237"/>
    <cellStyle name="Comma 2 49" xfId="238"/>
    <cellStyle name="Comma 2 5" xfId="239"/>
    <cellStyle name="Comma 2 50" xfId="240"/>
    <cellStyle name="Comma 2 51" xfId="241"/>
    <cellStyle name="Comma 2 52" xfId="242"/>
    <cellStyle name="Comma 2 53" xfId="243"/>
    <cellStyle name="Comma 2 54" xfId="244"/>
    <cellStyle name="Comma 2 55" xfId="245"/>
    <cellStyle name="Comma 2 56" xfId="246"/>
    <cellStyle name="Comma 2 57" xfId="247"/>
    <cellStyle name="Comma 2 58" xfId="248"/>
    <cellStyle name="Comma 2 59" xfId="249"/>
    <cellStyle name="Comma 2 6" xfId="250"/>
    <cellStyle name="Comma 2 60" xfId="251"/>
    <cellStyle name="Comma 2 61" xfId="252"/>
    <cellStyle name="Comma 2 62" xfId="253"/>
    <cellStyle name="Comma 2 63" xfId="254"/>
    <cellStyle name="Comma 2 64" xfId="255"/>
    <cellStyle name="Comma 2 65" xfId="256"/>
    <cellStyle name="Comma 2 66" xfId="257"/>
    <cellStyle name="Comma 2 67" xfId="258"/>
    <cellStyle name="Comma 2 68" xfId="259"/>
    <cellStyle name="Comma 2 69" xfId="260"/>
    <cellStyle name="Comma 2 7" xfId="261"/>
    <cellStyle name="Comma 2 70" xfId="262"/>
    <cellStyle name="Comma 2 71" xfId="263"/>
    <cellStyle name="Comma 2 72" xfId="264"/>
    <cellStyle name="Comma 2 73" xfId="265"/>
    <cellStyle name="Comma 2 74" xfId="266"/>
    <cellStyle name="Comma 2 74 2" xfId="267"/>
    <cellStyle name="Comma 2 75" xfId="268"/>
    <cellStyle name="Comma 2 76" xfId="193"/>
    <cellStyle name="Comma 2 8" xfId="269"/>
    <cellStyle name="Comma 2 9" xfId="270"/>
    <cellStyle name="Comma 20" xfId="271"/>
    <cellStyle name="Comma 21" xfId="272"/>
    <cellStyle name="Comma 22" xfId="273"/>
    <cellStyle name="Comma 23" xfId="274"/>
    <cellStyle name="Comma 24" xfId="275"/>
    <cellStyle name="Comma 25" xfId="276"/>
    <cellStyle name="Comma 26" xfId="277"/>
    <cellStyle name="Comma 27" xfId="278"/>
    <cellStyle name="Comma 28" xfId="279"/>
    <cellStyle name="Comma 29" xfId="280"/>
    <cellStyle name="Comma 3" xfId="13"/>
    <cellStyle name="Comma 3 2" xfId="14"/>
    <cellStyle name="Comma 3 2 2" xfId="283"/>
    <cellStyle name="Comma 3 2 2 2" xfId="284"/>
    <cellStyle name="Comma 3 2 2 2 2" xfId="285"/>
    <cellStyle name="Comma 3 2 2 2 3" xfId="286"/>
    <cellStyle name="Comma 3 2 2 3" xfId="287"/>
    <cellStyle name="Comma 3 2 3" xfId="282"/>
    <cellStyle name="Comma 3 3" xfId="15"/>
    <cellStyle name="Comma 3 3 2" xfId="288"/>
    <cellStyle name="Comma 3 4" xfId="281"/>
    <cellStyle name="Comma 30" xfId="289"/>
    <cellStyle name="Comma 31" xfId="290"/>
    <cellStyle name="Comma 32" xfId="291"/>
    <cellStyle name="Comma 33" xfId="292"/>
    <cellStyle name="Comma 34" xfId="293"/>
    <cellStyle name="Comma 35" xfId="294"/>
    <cellStyle name="Comma 36" xfId="295"/>
    <cellStyle name="Comma 37" xfId="296"/>
    <cellStyle name="Comma 38" xfId="297"/>
    <cellStyle name="Comma 39" xfId="298"/>
    <cellStyle name="Comma 4" xfId="16"/>
    <cellStyle name="Comma 4 2" xfId="300"/>
    <cellStyle name="Comma 4 2 2" xfId="301"/>
    <cellStyle name="Comma 4 3" xfId="299"/>
    <cellStyle name="Comma 40" xfId="302"/>
    <cellStyle name="Comma 41" xfId="303"/>
    <cellStyle name="Comma 42" xfId="304"/>
    <cellStyle name="Comma 43" xfId="305"/>
    <cellStyle name="Comma 44" xfId="306"/>
    <cellStyle name="Comma 45" xfId="307"/>
    <cellStyle name="Comma 46" xfId="308"/>
    <cellStyle name="Comma 47" xfId="309"/>
    <cellStyle name="Comma 48" xfId="310"/>
    <cellStyle name="Comma 49" xfId="311"/>
    <cellStyle name="Comma 5" xfId="17"/>
    <cellStyle name="Comma 5 2" xfId="312"/>
    <cellStyle name="Comma 50" xfId="313"/>
    <cellStyle name="Comma 51" xfId="314"/>
    <cellStyle name="Comma 52" xfId="315"/>
    <cellStyle name="Comma 53" xfId="316"/>
    <cellStyle name="Comma 54" xfId="317"/>
    <cellStyle name="Comma 55" xfId="318"/>
    <cellStyle name="Comma 56" xfId="319"/>
    <cellStyle name="Comma 57" xfId="320"/>
    <cellStyle name="Comma 58" xfId="321"/>
    <cellStyle name="Comma 59" xfId="322"/>
    <cellStyle name="Comma 6" xfId="18"/>
    <cellStyle name="Comma 6 2" xfId="324"/>
    <cellStyle name="Comma 6 3" xfId="325"/>
    <cellStyle name="Comma 6 4" xfId="323"/>
    <cellStyle name="Comma 60" xfId="326"/>
    <cellStyle name="Comma 61" xfId="327"/>
    <cellStyle name="Comma 62" xfId="328"/>
    <cellStyle name="Comma 63" xfId="329"/>
    <cellStyle name="Comma 64" xfId="330"/>
    <cellStyle name="Comma 65" xfId="331"/>
    <cellStyle name="Comma 66" xfId="332"/>
    <cellStyle name="Comma 67" xfId="333"/>
    <cellStyle name="Comma 68" xfId="334"/>
    <cellStyle name="Comma 69" xfId="335"/>
    <cellStyle name="Comma 7" xfId="19"/>
    <cellStyle name="Comma 7 2" xfId="337"/>
    <cellStyle name="Comma 7 3" xfId="336"/>
    <cellStyle name="Comma 70" xfId="338"/>
    <cellStyle name="Comma 71" xfId="339"/>
    <cellStyle name="Comma 72" xfId="340"/>
    <cellStyle name="Comma 73" xfId="341"/>
    <cellStyle name="Comma 74" xfId="342"/>
    <cellStyle name="Comma 75" xfId="343"/>
    <cellStyle name="Comma 76" xfId="621"/>
    <cellStyle name="Comma 77" xfId="622"/>
    <cellStyle name="Comma 8" xfId="20"/>
    <cellStyle name="Comma 8 2" xfId="344"/>
    <cellStyle name="Comma 9" xfId="21"/>
    <cellStyle name="Comma 9 2" xfId="346"/>
    <cellStyle name="Comma 9 2 2" xfId="347"/>
    <cellStyle name="Comma 9 3" xfId="345"/>
    <cellStyle name="Currency [0] 2" xfId="348"/>
    <cellStyle name="Date" xfId="349"/>
    <cellStyle name="Excel Built-in Normal" xfId="350"/>
    <cellStyle name="Explanatory Text 2" xfId="351"/>
    <cellStyle name="Fixed" xfId="352"/>
    <cellStyle name="Good 2" xfId="353"/>
    <cellStyle name="Heading 1 2" xfId="354"/>
    <cellStyle name="Heading 2 2" xfId="355"/>
    <cellStyle name="Heading 3 2" xfId="356"/>
    <cellStyle name="Heading 4 2" xfId="357"/>
    <cellStyle name="Heading1" xfId="358"/>
    <cellStyle name="Heading2" xfId="359"/>
    <cellStyle name="Input 2" xfId="360"/>
    <cellStyle name="Linked Cell 2" xfId="361"/>
    <cellStyle name="Neutral 2" xfId="362"/>
    <cellStyle name="Normal" xfId="0" builtinId="0"/>
    <cellStyle name="Normal - Style1" xfId="363"/>
    <cellStyle name="Normal 10" xfId="364"/>
    <cellStyle name="Normal 10 19 2" xfId="365"/>
    <cellStyle name="Normal 10 2" xfId="366"/>
    <cellStyle name="Normal 10 2 2" xfId="22"/>
    <cellStyle name="Normal 106" xfId="367"/>
    <cellStyle name="Normal 107" xfId="368"/>
    <cellStyle name="Normal 11" xfId="369"/>
    <cellStyle name="Normal 11 2" xfId="370"/>
    <cellStyle name="Normal 11 3" xfId="371"/>
    <cellStyle name="Normal 110" xfId="372"/>
    <cellStyle name="Normal 111" xfId="373"/>
    <cellStyle name="Normal 112" xfId="374"/>
    <cellStyle name="Normal 113" xfId="375"/>
    <cellStyle name="Normal 12" xfId="376"/>
    <cellStyle name="Normal 12 2" xfId="377"/>
    <cellStyle name="Normal 120" xfId="378"/>
    <cellStyle name="Normal 13" xfId="379"/>
    <cellStyle name="Normal 14" xfId="380"/>
    <cellStyle name="Normal 15" xfId="381"/>
    <cellStyle name="Normal 16" xfId="382"/>
    <cellStyle name="Normal 161" xfId="23"/>
    <cellStyle name="Normal 17" xfId="383"/>
    <cellStyle name="Normal 18" xfId="384"/>
    <cellStyle name="Normal 19" xfId="385"/>
    <cellStyle name="Normal 2" xfId="24"/>
    <cellStyle name="Normal 2 10" xfId="387"/>
    <cellStyle name="Normal 2 2" xfId="25"/>
    <cellStyle name="Normal 2 2 2" xfId="389"/>
    <cellStyle name="Normal 2 2 2 2" xfId="390"/>
    <cellStyle name="Normal 2 2 3" xfId="391"/>
    <cellStyle name="Normal 2 2 4" xfId="388"/>
    <cellStyle name="Normal 2 2_BAHAN-SLPTT_2011" xfId="392"/>
    <cellStyle name="Normal 2 3" xfId="26"/>
    <cellStyle name="Normal 2 3 2" xfId="394"/>
    <cellStyle name="Normal 2 3 3" xfId="395"/>
    <cellStyle name="Normal 2 3 4" xfId="393"/>
    <cellStyle name="Normal 2 4" xfId="396"/>
    <cellStyle name="Normal 2 5" xfId="386"/>
    <cellStyle name="Normal 2_Cetak stok pestisida" xfId="397"/>
    <cellStyle name="Normal 20" xfId="398"/>
    <cellStyle name="Normal 21" xfId="399"/>
    <cellStyle name="Normal 22" xfId="400"/>
    <cellStyle name="Normal 23" xfId="401"/>
    <cellStyle name="Normal 24" xfId="402"/>
    <cellStyle name="Normal 24 2" xfId="403"/>
    <cellStyle name="Normal 25" xfId="404"/>
    <cellStyle name="Normal 26" xfId="405"/>
    <cellStyle name="Normal 27" xfId="406"/>
    <cellStyle name="Normal 28" xfId="620"/>
    <cellStyle name="Normal 29" xfId="623"/>
    <cellStyle name="Normal 3" xfId="27"/>
    <cellStyle name="Normal 3 10" xfId="408"/>
    <cellStyle name="Normal 3 11" xfId="409"/>
    <cellStyle name="Normal 3 12" xfId="410"/>
    <cellStyle name="Normal 3 13" xfId="411"/>
    <cellStyle name="Normal 3 14" xfId="412"/>
    <cellStyle name="Normal 3 15" xfId="413"/>
    <cellStyle name="Normal 3 16" xfId="414"/>
    <cellStyle name="Normal 3 17" xfId="415"/>
    <cellStyle name="Normal 3 18" xfId="416"/>
    <cellStyle name="Normal 3 19" xfId="417"/>
    <cellStyle name="Normal 3 2" xfId="28"/>
    <cellStyle name="Normal 3 2 2" xfId="419"/>
    <cellStyle name="Normal 3 2 2 2" xfId="420"/>
    <cellStyle name="Normal 3 2 2 2 2" xfId="421"/>
    <cellStyle name="Normal 3 2 3" xfId="422"/>
    <cellStyle name="Normal 3 2 4" xfId="418"/>
    <cellStyle name="Normal 3 20" xfId="423"/>
    <cellStyle name="Normal 3 21" xfId="424"/>
    <cellStyle name="Normal 3 22" xfId="425"/>
    <cellStyle name="Normal 3 23" xfId="426"/>
    <cellStyle name="Normal 3 24" xfId="427"/>
    <cellStyle name="Normal 3 25" xfId="428"/>
    <cellStyle name="Normal 3 26" xfId="429"/>
    <cellStyle name="Normal 3 27" xfId="430"/>
    <cellStyle name="Normal 3 28" xfId="431"/>
    <cellStyle name="Normal 3 29" xfId="432"/>
    <cellStyle name="Normal 3 3" xfId="29"/>
    <cellStyle name="Normal 3 3 2" xfId="433"/>
    <cellStyle name="Normal 3 3 3" xfId="434"/>
    <cellStyle name="Normal 3 30" xfId="435"/>
    <cellStyle name="Normal 3 31" xfId="436"/>
    <cellStyle name="Normal 3 32" xfId="437"/>
    <cellStyle name="Normal 3 33" xfId="438"/>
    <cellStyle name="Normal 3 34" xfId="439"/>
    <cellStyle name="Normal 3 35" xfId="440"/>
    <cellStyle name="Normal 3 36" xfId="441"/>
    <cellStyle name="Normal 3 37" xfId="442"/>
    <cellStyle name="Normal 3 38" xfId="443"/>
    <cellStyle name="Normal 3 39" xfId="444"/>
    <cellStyle name="Normal 3 4" xfId="445"/>
    <cellStyle name="Normal 3 40" xfId="446"/>
    <cellStyle name="Normal 3 41" xfId="447"/>
    <cellStyle name="Normal 3 42" xfId="448"/>
    <cellStyle name="Normal 3 43" xfId="449"/>
    <cellStyle name="Normal 3 44" xfId="450"/>
    <cellStyle name="Normal 3 45" xfId="451"/>
    <cellStyle name="Normal 3 46" xfId="452"/>
    <cellStyle name="Normal 3 47" xfId="453"/>
    <cellStyle name="Normal 3 48" xfId="454"/>
    <cellStyle name="Normal 3 49" xfId="455"/>
    <cellStyle name="Normal 3 5" xfId="456"/>
    <cellStyle name="Normal 3 50" xfId="457"/>
    <cellStyle name="Normal 3 51" xfId="458"/>
    <cellStyle name="Normal 3 52" xfId="459"/>
    <cellStyle name="Normal 3 53" xfId="460"/>
    <cellStyle name="Normal 3 54" xfId="461"/>
    <cellStyle name="Normal 3 55" xfId="462"/>
    <cellStyle name="Normal 3 56" xfId="463"/>
    <cellStyle name="Normal 3 57" xfId="464"/>
    <cellStyle name="Normal 3 58" xfId="465"/>
    <cellStyle name="Normal 3 59" xfId="466"/>
    <cellStyle name="Normal 3 6" xfId="467"/>
    <cellStyle name="Normal 3 60" xfId="468"/>
    <cellStyle name="Normal 3 61" xfId="469"/>
    <cellStyle name="Normal 3 62" xfId="470"/>
    <cellStyle name="Normal 3 63" xfId="471"/>
    <cellStyle name="Normal 3 64" xfId="472"/>
    <cellStyle name="Normal 3 65" xfId="473"/>
    <cellStyle name="Normal 3 66" xfId="474"/>
    <cellStyle name="Normal 3 67" xfId="475"/>
    <cellStyle name="Normal 3 68" xfId="476"/>
    <cellStyle name="Normal 3 69" xfId="477"/>
    <cellStyle name="Normal 3 7" xfId="478"/>
    <cellStyle name="Normal 3 70" xfId="479"/>
    <cellStyle name="Normal 3 71" xfId="480"/>
    <cellStyle name="Normal 3 72" xfId="481"/>
    <cellStyle name="Normal 3 73" xfId="482"/>
    <cellStyle name="Normal 3 74" xfId="483"/>
    <cellStyle name="Normal 3 75" xfId="484"/>
    <cellStyle name="Normal 3 76" xfId="485"/>
    <cellStyle name="Normal 3 77" xfId="486"/>
    <cellStyle name="Normal 3 78" xfId="487"/>
    <cellStyle name="Normal 3 79" xfId="488"/>
    <cellStyle name="Normal 3 8" xfId="489"/>
    <cellStyle name="Normal 3 80" xfId="490"/>
    <cellStyle name="Normal 3 81" xfId="491"/>
    <cellStyle name="Normal 3 82" xfId="492"/>
    <cellStyle name="Normal 3 83" xfId="493"/>
    <cellStyle name="Normal 3 83 2" xfId="494"/>
    <cellStyle name="Normal 3 84" xfId="495"/>
    <cellStyle name="Normal 3 85" xfId="496"/>
    <cellStyle name="Normal 3 86" xfId="407"/>
    <cellStyle name="Normal 3 9" xfId="497"/>
    <cellStyle name="Normal 3_KEGIATAN_Jagung_2012_(4_keg)" xfId="498"/>
    <cellStyle name="Normal 4" xfId="2"/>
    <cellStyle name="Normal 4 10" xfId="500"/>
    <cellStyle name="Normal 4 11" xfId="501"/>
    <cellStyle name="Normal 4 12" xfId="502"/>
    <cellStyle name="Normal 4 13" xfId="503"/>
    <cellStyle name="Normal 4 14" xfId="504"/>
    <cellStyle name="Normal 4 15" xfId="505"/>
    <cellStyle name="Normal 4 16" xfId="506"/>
    <cellStyle name="Normal 4 17" xfId="507"/>
    <cellStyle name="Normal 4 18" xfId="508"/>
    <cellStyle name="Normal 4 19" xfId="509"/>
    <cellStyle name="Normal 4 2" xfId="510"/>
    <cellStyle name="Normal 4 20" xfId="511"/>
    <cellStyle name="Normal 4 21" xfId="512"/>
    <cellStyle name="Normal 4 22" xfId="513"/>
    <cellStyle name="Normal 4 23" xfId="514"/>
    <cellStyle name="Normal 4 24" xfId="515"/>
    <cellStyle name="Normal 4 25" xfId="516"/>
    <cellStyle name="Normal 4 26" xfId="517"/>
    <cellStyle name="Normal 4 27" xfId="518"/>
    <cellStyle name="Normal 4 28" xfId="519"/>
    <cellStyle name="Normal 4 29" xfId="520"/>
    <cellStyle name="Normal 4 3" xfId="521"/>
    <cellStyle name="Normal 4 30" xfId="522"/>
    <cellStyle name="Normal 4 31" xfId="523"/>
    <cellStyle name="Normal 4 32" xfId="524"/>
    <cellStyle name="Normal 4 33" xfId="525"/>
    <cellStyle name="Normal 4 34" xfId="526"/>
    <cellStyle name="Normal 4 35" xfId="527"/>
    <cellStyle name="Normal 4 36" xfId="528"/>
    <cellStyle name="Normal 4 37" xfId="529"/>
    <cellStyle name="Normal 4 38" xfId="530"/>
    <cellStyle name="Normal 4 39" xfId="531"/>
    <cellStyle name="Normal 4 4" xfId="532"/>
    <cellStyle name="Normal 4 40" xfId="533"/>
    <cellStyle name="Normal 4 41" xfId="534"/>
    <cellStyle name="Normal 4 42" xfId="535"/>
    <cellStyle name="Normal 4 43" xfId="536"/>
    <cellStyle name="Normal 4 44" xfId="537"/>
    <cellStyle name="Normal 4 45" xfId="538"/>
    <cellStyle name="Normal 4 46" xfId="539"/>
    <cellStyle name="Normal 4 47" xfId="540"/>
    <cellStyle name="Normal 4 48" xfId="541"/>
    <cellStyle name="Normal 4 49" xfId="542"/>
    <cellStyle name="Normal 4 5" xfId="543"/>
    <cellStyle name="Normal 4 50" xfId="544"/>
    <cellStyle name="Normal 4 51" xfId="545"/>
    <cellStyle name="Normal 4 52" xfId="546"/>
    <cellStyle name="Normal 4 53" xfId="547"/>
    <cellStyle name="Normal 4 54" xfId="548"/>
    <cellStyle name="Normal 4 55" xfId="549"/>
    <cellStyle name="Normal 4 56" xfId="550"/>
    <cellStyle name="Normal 4 57" xfId="551"/>
    <cellStyle name="Normal 4 58" xfId="552"/>
    <cellStyle name="Normal 4 59" xfId="553"/>
    <cellStyle name="Normal 4 6" xfId="554"/>
    <cellStyle name="Normal 4 60" xfId="555"/>
    <cellStyle name="Normal 4 61" xfId="556"/>
    <cellStyle name="Normal 4 62" xfId="557"/>
    <cellStyle name="Normal 4 63" xfId="558"/>
    <cellStyle name="Normal 4 64" xfId="559"/>
    <cellStyle name="Normal 4 65" xfId="560"/>
    <cellStyle name="Normal 4 66" xfId="561"/>
    <cellStyle name="Normal 4 67" xfId="562"/>
    <cellStyle name="Normal 4 68" xfId="563"/>
    <cellStyle name="Normal 4 69" xfId="564"/>
    <cellStyle name="Normal 4 7" xfId="565"/>
    <cellStyle name="Normal 4 70" xfId="566"/>
    <cellStyle name="Normal 4 71" xfId="567"/>
    <cellStyle name="Normal 4 72" xfId="568"/>
    <cellStyle name="Normal 4 73" xfId="569"/>
    <cellStyle name="Normal 4 74" xfId="570"/>
    <cellStyle name="Normal 4 74 2" xfId="571"/>
    <cellStyle name="Normal 4 75" xfId="572"/>
    <cellStyle name="Normal 4 76" xfId="573"/>
    <cellStyle name="Normal 4 77" xfId="574"/>
    <cellStyle name="Normal 4 78" xfId="499"/>
    <cellStyle name="Normal 4 8" xfId="575"/>
    <cellStyle name="Normal 4 8 2" xfId="576"/>
    <cellStyle name="Normal 4 9" xfId="577"/>
    <cellStyle name="Normal 4_p'sementara" xfId="578"/>
    <cellStyle name="Normal 5" xfId="579"/>
    <cellStyle name="Normal 5 2" xfId="580"/>
    <cellStyle name="Normal 5_Luas Tanam Tanam Padi_Januari 2011" xfId="581"/>
    <cellStyle name="Normal 6" xfId="30"/>
    <cellStyle name="Normal 6 2" xfId="583"/>
    <cellStyle name="Normal 6 3" xfId="582"/>
    <cellStyle name="Normal 7" xfId="584"/>
    <cellStyle name="Normal 8" xfId="585"/>
    <cellStyle name="Normal 87" xfId="586"/>
    <cellStyle name="Normal 9" xfId="587"/>
    <cellStyle name="Normal 9 2" xfId="588"/>
    <cellStyle name="Normal 9 2 2" xfId="589"/>
    <cellStyle name="Normal 9 2 2 2" xfId="590"/>
    <cellStyle name="Normal 9 2 3" xfId="591"/>
    <cellStyle name="Normal 9 3" xfId="592"/>
    <cellStyle name="Normal 9 3 2" xfId="593"/>
    <cellStyle name="Normal 9 4" xfId="594"/>
    <cellStyle name="Normal 9_Alokasi BLBU 201_170910" xfId="595"/>
    <cellStyle name="Note 2" xfId="596"/>
    <cellStyle name="Output 2" xfId="597"/>
    <cellStyle name="Percent 10" xfId="598"/>
    <cellStyle name="Percent 2" xfId="599"/>
    <cellStyle name="Percent 2 2" xfId="600"/>
    <cellStyle name="Percent 2 2 2" xfId="601"/>
    <cellStyle name="Percent 3" xfId="602"/>
    <cellStyle name="Percent 4" xfId="603"/>
    <cellStyle name="Percent 4 2" xfId="604"/>
    <cellStyle name="Percent 5" xfId="605"/>
    <cellStyle name="Percent 6" xfId="606"/>
    <cellStyle name="Percent 7" xfId="607"/>
    <cellStyle name="Percent 8" xfId="608"/>
    <cellStyle name="Percent 8 2" xfId="609"/>
    <cellStyle name="Percent 8 3" xfId="610"/>
    <cellStyle name="Percent 9" xfId="611"/>
    <cellStyle name="Percent 9 2" xfId="612"/>
    <cellStyle name="Style 1" xfId="613"/>
    <cellStyle name="Style 2" xfId="614"/>
    <cellStyle name="Style 3" xfId="615"/>
    <cellStyle name="Style 4" xfId="616"/>
    <cellStyle name="Title 2" xfId="617"/>
    <cellStyle name="Total 2" xfId="618"/>
    <cellStyle name="Warning Text 2" xfId="6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200"/>
            </a:pPr>
            <a:r>
              <a:rPr lang="id-ID" sz="1200" b="1" i="0" baseline="0">
                <a:effectLst/>
              </a:rPr>
              <a:t>Penurunan Konsentrasi Emisi Gas Rumah Kaca dari Aksi Mitigasi di sektor Pertanian</a:t>
            </a:r>
            <a:endParaRPr lang="id-ID" sz="12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 PENURUNAN EMISI'!$C$21:$C$22</c:f>
              <c:strCache>
                <c:ptCount val="2"/>
                <c:pt idx="0">
                  <c:v>BaU baseline (ton CO2 eq)</c:v>
                </c:pt>
              </c:strCache>
            </c:strRef>
          </c:tx>
          <c:cat>
            <c:numRef>
              <c:f>'REKAP PENURUNAN EMISI'!$B$23:$B$43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'REKAP PENURUNAN EMISI'!$C$23:$C$43</c:f>
              <c:numCache>
                <c:formatCode>#,##0.00</c:formatCode>
                <c:ptCount val="21"/>
                <c:pt idx="0">
                  <c:v>3281100</c:v>
                </c:pt>
                <c:pt idx="1">
                  <c:v>3522000</c:v>
                </c:pt>
                <c:pt idx="2">
                  <c:v>3726100</c:v>
                </c:pt>
                <c:pt idx="3">
                  <c:v>3925100</c:v>
                </c:pt>
                <c:pt idx="4">
                  <c:v>4126400</c:v>
                </c:pt>
                <c:pt idx="5">
                  <c:v>4334600</c:v>
                </c:pt>
                <c:pt idx="6">
                  <c:v>4542300</c:v>
                </c:pt>
                <c:pt idx="7">
                  <c:v>4751400</c:v>
                </c:pt>
                <c:pt idx="8">
                  <c:v>4961800</c:v>
                </c:pt>
                <c:pt idx="9">
                  <c:v>5173500</c:v>
                </c:pt>
                <c:pt idx="10">
                  <c:v>5386400</c:v>
                </c:pt>
                <c:pt idx="11">
                  <c:v>5600500</c:v>
                </c:pt>
                <c:pt idx="12">
                  <c:v>5815800</c:v>
                </c:pt>
                <c:pt idx="13">
                  <c:v>6032100</c:v>
                </c:pt>
                <c:pt idx="14">
                  <c:v>6249500</c:v>
                </c:pt>
                <c:pt idx="15">
                  <c:v>6467800</c:v>
                </c:pt>
                <c:pt idx="16">
                  <c:v>6687200</c:v>
                </c:pt>
                <c:pt idx="17">
                  <c:v>6907500</c:v>
                </c:pt>
                <c:pt idx="18">
                  <c:v>7128700</c:v>
                </c:pt>
                <c:pt idx="19">
                  <c:v>7350700</c:v>
                </c:pt>
                <c:pt idx="20">
                  <c:v>7573600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'REKAP PENURUNAN EMISI'!$H$22</c:f>
              <c:strCache>
                <c:ptCount val="1"/>
                <c:pt idx="0">
                  <c:v>Emisi setelah pelaksanaan aksi mitigasi</c:v>
                </c:pt>
              </c:strCache>
            </c:strRef>
          </c:tx>
          <c:cat>
            <c:numRef>
              <c:f>'REKAP PENURUNAN EMISI'!$B$23:$B$43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'REKAP PENURUNAN EMISI'!$H$23:$H$43</c:f>
              <c:numCache>
                <c:formatCode>#,##0.00</c:formatCode>
                <c:ptCount val="21"/>
                <c:pt idx="0">
                  <c:v>3281100</c:v>
                </c:pt>
                <c:pt idx="1">
                  <c:v>3383235.4910741248</c:v>
                </c:pt>
                <c:pt idx="2">
                  <c:v>3448570.9821482501</c:v>
                </c:pt>
                <c:pt idx="3">
                  <c:v>3508806.4732223749</c:v>
                </c:pt>
                <c:pt idx="4">
                  <c:v>3569714.7650965001</c:v>
                </c:pt>
                <c:pt idx="5">
                  <c:v>3639245.973770625</c:v>
                </c:pt>
                <c:pt idx="6">
                  <c:v>3713751.7238911665</c:v>
                </c:pt>
                <c:pt idx="7">
                  <c:v>3921703.1126911668</c:v>
                </c:pt>
                <c:pt idx="8">
                  <c:v>4132103.1126911668</c:v>
                </c:pt>
                <c:pt idx="9">
                  <c:v>4343803.1126911668</c:v>
                </c:pt>
                <c:pt idx="10">
                  <c:v>4556703.1126911668</c:v>
                </c:pt>
                <c:pt idx="11">
                  <c:v>4770803.1126911668</c:v>
                </c:pt>
                <c:pt idx="12">
                  <c:v>4986103.1126911668</c:v>
                </c:pt>
                <c:pt idx="13">
                  <c:v>5202403.1126911668</c:v>
                </c:pt>
                <c:pt idx="14">
                  <c:v>5419803.1126911668</c:v>
                </c:pt>
                <c:pt idx="15">
                  <c:v>5638103.1126911668</c:v>
                </c:pt>
                <c:pt idx="16">
                  <c:v>5857503.1126911668</c:v>
                </c:pt>
                <c:pt idx="17">
                  <c:v>6077803.1126911668</c:v>
                </c:pt>
                <c:pt idx="18">
                  <c:v>6299003.1126911668</c:v>
                </c:pt>
                <c:pt idx="19">
                  <c:v>6521003.1126911668</c:v>
                </c:pt>
                <c:pt idx="20">
                  <c:v>6743903.1126911668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44584"/>
        <c:axId val="458845760"/>
      </c:lineChart>
      <c:catAx>
        <c:axId val="45884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58845760"/>
        <c:crosses val="autoZero"/>
        <c:auto val="1"/>
        <c:lblAlgn val="ctr"/>
        <c:lblOffset val="100"/>
        <c:noMultiLvlLbl val="0"/>
      </c:catAx>
      <c:valAx>
        <c:axId val="458845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700"/>
                </a:pPr>
                <a:r>
                  <a:rPr lang="id-ID" sz="1200" b="1" i="0" baseline="0">
                    <a:effectLst/>
                  </a:rPr>
                  <a:t>ton CO2 eq</a:t>
                </a:r>
                <a:endParaRPr lang="id-ID" sz="700">
                  <a:effectLst/>
                </a:endParaRPr>
              </a:p>
            </c:rich>
          </c:tx>
          <c:layout/>
          <c:overlay val="0"/>
        </c:title>
        <c:numFmt formatCode="#,##0.00" sourceLinked="1"/>
        <c:majorTickMark val="none"/>
        <c:minorTickMark val="none"/>
        <c:tickLblPos val="nextTo"/>
        <c:crossAx val="45884458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700"/>
            </a:pPr>
            <a:endParaRPr lang="id-ID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47</xdr:row>
      <xdr:rowOff>76200</xdr:rowOff>
    </xdr:from>
    <xdr:to>
      <xdr:col>11</xdr:col>
      <xdr:colOff>133350</xdr:colOff>
      <xdr:row>67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\Downloads\KERAGAAN%20SEREALIA\Analisa%20pjk%202000-2012\LS-LAHAN%20sejak%2019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\Downloads\BENIH\BPSBTPH\INVENTARISASI%202005-\INVENTARISASI%20PADI\2008\Data%202.5%20Inv%20Luas%20Padi%20MT%202007-2008%20Des%20'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\Downloads\BENIH\BPSBTPH\INVENTARISASI%202005-\INVENTARISASI%20PADI\2008\Data%202.13%20Inv%20Luas%20Padi%20MT%202008%20Des%20'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\Downloads\TAHUN%202014\BENIH\BPSBTPH\INVENTARISASI%202005-\INVENTARISASI%20PADI\2009\Data%202.11%20Inv%20Luas%20Padi%20MT%20200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\Downloads\TAHUN%202014\BENIH\BPSBTPH\INVENTARISASI%202005-\INVENTARISASI%20PADI\2009\Data%202.3%20Inv%20Luas%20Padi%20MT%202008-2009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\Downloads\TAHUN%202014\BENIH\BPSBTPH\INVENTARISASI%202005-\INVENTARISASI%20PADI\2010\Data%202.12%20%20Inv%20Luas%20Padi%20MT%20201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\Downloads\TAHUN%202014\BENIH\BPSBTPH\INVENTARISASI%202005-\INVENTARISASI%20PADI\2010\Data%202.4%20Inv%20Luas%20Padi%20MT%202009-201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\Downloads\KERAGAAN%20SEREALIA\Jagung\SASARAN%20PALAWIJA%202013_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\Downloads\SLPTT%20JAWA%20BARAT%20TAHUN%202008-20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\Downloads\KERAGAAN%20SEREALIA\Perkembangan%20Padi-Palawija%2010%20Tahun%20Terakhi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\Downloads\BENIH\BPSBTPH\INVENTARISASI%202005-\INVENTARISASI%20PADI\2005\Lamp%205.5%20Inv%20Luas%20Padi%20MT%202004-2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\Downloads\BENIH\BPSBTPH\INVENTARISASI%202005-\INVENTARISASI%20PADI\2005\Lamp%205.7%20Inv%20Luas%20Padi%20MT%20200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\Downloads\BENIH\BPSBTPH\INVENTARISASI%202005-\INVENTARISASI%20PADI\2006\Lamp%203.5%20Inv%20Luas%20Padi%20MT%2005-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\Downloads\BENIH\BPSBTPH\INVENTARISASI%202005-\INVENTARISASI%20PADI\2006\Lamp%203.7%20Inv%20Luas%20Padi%20MT%20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\Downloads\BENIH\BPSBTPH\INVENTARISASI%202005-\INVENTARISASI%20PADI\2007\Inv%20Luas%20Padi%20MT%202006-20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\Downloads\BENIH\BPSBTPH\INVENTARISASI%202005-\INVENTARISASI%20PADI\2007\Inv%20Luas%20Padi%20MT%20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Tahun 1999"/>
      <sheetName val="Tahun 2001"/>
      <sheetName val="Tahun 2002"/>
      <sheetName val="Tahun 2003"/>
      <sheetName val="Tahun 2004"/>
      <sheetName val="TAHUN 2005"/>
      <sheetName val="TAHUN 2006"/>
      <sheetName val="TAHUN-2007"/>
      <sheetName val="Tahun-2008"/>
      <sheetName val="sesuai-bps 2009"/>
      <sheetName val="Tahun-2010 angka dinas"/>
      <sheetName val="Sesuai-SIMPP-2010"/>
      <sheetName val="Tahun 2011 DINAS"/>
      <sheetName val="2011 SUMBER PAK EMAN BPS"/>
      <sheetName val="LAHAN 5 tahun"/>
      <sheetName val="LUAS LAHAN PER IRIGASI"/>
      <sheetName val="PERKABUPATEN "/>
      <sheetName val="Sheet1"/>
      <sheetName val="Sheet2"/>
      <sheetName val="Sheet6"/>
      <sheetName val="Sheet4"/>
      <sheetName val="Sheet14"/>
      <sheetName val="kab-indramayu"/>
      <sheetName val="kab-karawang"/>
      <sheetName val="Sheet5"/>
      <sheetName val="2009 berdasarkan bps"/>
      <sheetName val="Sheet3"/>
      <sheetName val="Sheet7"/>
      <sheetName val="Tahun-20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18">
          <cell r="Q118">
            <v>925900.03</v>
          </cell>
        </row>
      </sheetData>
      <sheetData sheetId="7" refreshError="1">
        <row r="118">
          <cell r="Q118">
            <v>926782</v>
          </cell>
        </row>
      </sheetData>
      <sheetData sheetId="8" refreshError="1">
        <row r="130">
          <cell r="T130">
            <v>934845.23</v>
          </cell>
        </row>
      </sheetData>
      <sheetData sheetId="9" refreshError="1">
        <row r="132">
          <cell r="T132">
            <v>945073.95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mp 5 Mar"/>
      <sheetName val="Lamp 5 Mar (2)"/>
      <sheetName val="Lamp 5 Mar (apbn)"/>
    </sheetNames>
    <sheetDataSet>
      <sheetData sheetId="0" refreshError="1">
        <row r="11">
          <cell r="X11">
            <v>41</v>
          </cell>
        </row>
        <row r="13">
          <cell r="X13">
            <v>16381</v>
          </cell>
        </row>
        <row r="14">
          <cell r="X14">
            <v>6384</v>
          </cell>
        </row>
        <row r="18">
          <cell r="X18">
            <v>1677</v>
          </cell>
        </row>
        <row r="19">
          <cell r="X19">
            <v>55767</v>
          </cell>
        </row>
        <row r="20">
          <cell r="X20">
            <v>521679</v>
          </cell>
        </row>
        <row r="21">
          <cell r="X21">
            <v>922</v>
          </cell>
        </row>
        <row r="22">
          <cell r="X22">
            <v>1742</v>
          </cell>
        </row>
        <row r="24">
          <cell r="X24">
            <v>1590</v>
          </cell>
        </row>
        <row r="29">
          <cell r="X29">
            <v>1588</v>
          </cell>
        </row>
        <row r="30">
          <cell r="X30">
            <v>1011</v>
          </cell>
        </row>
        <row r="32">
          <cell r="X32">
            <v>450</v>
          </cell>
        </row>
        <row r="33">
          <cell r="X33">
            <v>308</v>
          </cell>
        </row>
        <row r="34">
          <cell r="X34">
            <v>91775</v>
          </cell>
        </row>
        <row r="35">
          <cell r="X35">
            <v>9031</v>
          </cell>
        </row>
        <row r="42">
          <cell r="X42">
            <v>824</v>
          </cell>
        </row>
        <row r="44">
          <cell r="X44">
            <v>15810</v>
          </cell>
        </row>
        <row r="45">
          <cell r="X45">
            <v>1248</v>
          </cell>
        </row>
        <row r="47">
          <cell r="X47">
            <v>1104</v>
          </cell>
        </row>
        <row r="48">
          <cell r="X48">
            <v>7825</v>
          </cell>
        </row>
        <row r="50">
          <cell r="X50">
            <v>109</v>
          </cell>
        </row>
        <row r="51">
          <cell r="X51">
            <v>5678</v>
          </cell>
        </row>
        <row r="53">
          <cell r="X53">
            <v>40475</v>
          </cell>
        </row>
        <row r="63">
          <cell r="X63">
            <v>6570</v>
          </cell>
        </row>
        <row r="66">
          <cell r="X66">
            <v>15545</v>
          </cell>
        </row>
        <row r="101">
          <cell r="X101">
            <v>31409</v>
          </cell>
        </row>
        <row r="103">
          <cell r="X103">
            <v>953390</v>
          </cell>
        </row>
      </sheetData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mp 5 "/>
      <sheetName val="Lamp 5  (2)"/>
    </sheetNames>
    <sheetDataSet>
      <sheetData sheetId="0" refreshError="1">
        <row r="11">
          <cell r="Y11">
            <v>181</v>
          </cell>
        </row>
        <row r="13">
          <cell r="Y13">
            <v>11374</v>
          </cell>
        </row>
        <row r="14">
          <cell r="Y14">
            <v>4136</v>
          </cell>
        </row>
        <row r="18">
          <cell r="Y18">
            <v>2049</v>
          </cell>
        </row>
        <row r="19">
          <cell r="Y19">
            <v>149288</v>
          </cell>
        </row>
        <row r="20">
          <cell r="Y20">
            <v>654409</v>
          </cell>
        </row>
        <row r="21">
          <cell r="Y21">
            <v>512</v>
          </cell>
        </row>
        <row r="22">
          <cell r="Y22">
            <v>2280</v>
          </cell>
        </row>
        <row r="24">
          <cell r="Y24">
            <v>1353</v>
          </cell>
        </row>
        <row r="29">
          <cell r="Y29">
            <v>1523</v>
          </cell>
        </row>
        <row r="30">
          <cell r="Y30">
            <v>2087</v>
          </cell>
        </row>
        <row r="32">
          <cell r="Y32">
            <v>1294</v>
          </cell>
        </row>
        <row r="33">
          <cell r="Y33">
            <v>3071</v>
          </cell>
        </row>
        <row r="34">
          <cell r="Y34">
            <v>89178</v>
          </cell>
        </row>
        <row r="39">
          <cell r="Y39">
            <v>34</v>
          </cell>
        </row>
        <row r="41">
          <cell r="Y41">
            <v>269</v>
          </cell>
        </row>
        <row r="43">
          <cell r="Y43">
            <v>35558</v>
          </cell>
        </row>
        <row r="44">
          <cell r="Y44">
            <v>1715</v>
          </cell>
        </row>
        <row r="46">
          <cell r="Y46">
            <v>558</v>
          </cell>
        </row>
        <row r="47">
          <cell r="Y47">
            <v>92</v>
          </cell>
        </row>
        <row r="50">
          <cell r="Y50">
            <v>435</v>
          </cell>
        </row>
        <row r="51">
          <cell r="Y51">
            <v>5146</v>
          </cell>
        </row>
        <row r="53">
          <cell r="Y53">
            <v>43289</v>
          </cell>
        </row>
        <row r="61">
          <cell r="Y61">
            <v>5265</v>
          </cell>
        </row>
        <row r="64">
          <cell r="Y64">
            <v>11306</v>
          </cell>
        </row>
        <row r="101">
          <cell r="Y101">
            <v>16910</v>
          </cell>
        </row>
        <row r="103">
          <cell r="Y103">
            <v>1138251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mp 11"/>
      <sheetName val="Lamp 11 (2)"/>
      <sheetName val="LAP PUSAT"/>
      <sheetName val="Lamp 11 (3)"/>
    </sheetNames>
    <sheetDataSet>
      <sheetData sheetId="0" refreshError="1">
        <row r="45">
          <cell r="Y45">
            <v>44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mp 3"/>
      <sheetName val="Lamp 3 (2)"/>
      <sheetName val="Lap Pusat"/>
      <sheetName val="Lamp 3 (3)"/>
      <sheetName val="2009"/>
    </sheetNames>
    <sheetDataSet>
      <sheetData sheetId="0" refreshError="1">
        <row r="60">
          <cell r="Y60">
            <v>578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mp 12"/>
      <sheetName val="Lamp 1 (3)"/>
      <sheetName val="LAP PUSAT"/>
    </sheetNames>
    <sheetDataSet>
      <sheetData sheetId="0" refreshError="1">
        <row r="66">
          <cell r="Y66">
            <v>267</v>
          </cell>
        </row>
      </sheetData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mp 4"/>
      <sheetName val="Lamp 2 (2)"/>
      <sheetName val="Sheet1"/>
    </sheetNames>
    <sheetDataSet>
      <sheetData sheetId="0" refreshError="1">
        <row r="66">
          <cell r="Y66">
            <v>35</v>
          </cell>
        </row>
      </sheetData>
      <sheetData sheetId="1" refreshError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Sasaran 2013"/>
      <sheetName val="AT PL (2)"/>
      <sheetName val="LP PL (2)"/>
      <sheetName val="at bl PL"/>
    </sheetNames>
    <sheetDataSet>
      <sheetData sheetId="0" refreshError="1"/>
      <sheetData sheetId="1" refreshError="1"/>
      <sheetData sheetId="2" refreshError="1">
        <row r="34">
          <cell r="K34">
            <v>1145942.1665999999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gung"/>
      <sheetName val="Gogo"/>
      <sheetName val="Hibrida"/>
      <sheetName val="Inbrida"/>
      <sheetName val="REKAP"/>
    </sheetNames>
    <sheetDataSet>
      <sheetData sheetId="0" refreshError="1"/>
      <sheetData sheetId="1" refreshError="1"/>
      <sheetData sheetId="2" refreshError="1">
        <row r="10">
          <cell r="E10">
            <v>0</v>
          </cell>
        </row>
        <row r="29">
          <cell r="G29">
            <v>7365</v>
          </cell>
        </row>
      </sheetData>
      <sheetData sheetId="3" refreshError="1">
        <row r="10">
          <cell r="E10">
            <v>200</v>
          </cell>
        </row>
        <row r="31">
          <cell r="G31">
            <v>144650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di 2001-2011"/>
      <sheetName val="palawija 2001-2011"/>
    </sheetNames>
    <sheetDataSet>
      <sheetData sheetId="0" refreshError="1">
        <row r="110">
          <cell r="AI110">
            <v>9787217</v>
          </cell>
          <cell r="AJ110">
            <v>9418572</v>
          </cell>
          <cell r="AK110">
            <v>9914020</v>
          </cell>
          <cell r="AL110">
            <v>10111071</v>
          </cell>
        </row>
      </sheetData>
      <sheetData sheetId="1" refreshError="1">
        <row r="110">
          <cell r="G110">
            <v>587189</v>
          </cell>
          <cell r="H110">
            <v>573263</v>
          </cell>
          <cell r="I110">
            <v>577513</v>
          </cell>
          <cell r="J110">
            <v>639821</v>
          </cell>
          <cell r="K110">
            <v>787599</v>
          </cell>
          <cell r="L110">
            <v>923962</v>
          </cell>
          <cell r="M110">
            <v>944350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 2002"/>
      <sheetName val="JAN2003"/>
      <sheetName val="Sheet1"/>
      <sheetName val="Lamp5"/>
    </sheetNames>
    <sheetDataSet>
      <sheetData sheetId="0" refreshError="1"/>
      <sheetData sheetId="1" refreshError="1"/>
      <sheetData sheetId="2" refreshError="1"/>
      <sheetData sheetId="3" refreshError="1">
        <row r="13">
          <cell r="W13">
            <v>100</v>
          </cell>
        </row>
        <row r="15">
          <cell r="W15">
            <v>1722</v>
          </cell>
        </row>
        <row r="16">
          <cell r="W16">
            <v>2800</v>
          </cell>
        </row>
        <row r="19">
          <cell r="W19">
            <v>4976</v>
          </cell>
        </row>
        <row r="20">
          <cell r="W20">
            <v>442053</v>
          </cell>
        </row>
        <row r="21">
          <cell r="W21">
            <v>1450</v>
          </cell>
        </row>
        <row r="22">
          <cell r="W22">
            <v>4072</v>
          </cell>
        </row>
        <row r="24">
          <cell r="W24">
            <v>9268</v>
          </cell>
        </row>
        <row r="28">
          <cell r="W28">
            <v>269</v>
          </cell>
        </row>
        <row r="30">
          <cell r="W30">
            <v>301644</v>
          </cell>
        </row>
        <row r="34">
          <cell r="W34">
            <v>3427</v>
          </cell>
        </row>
        <row r="36">
          <cell r="W36">
            <v>8474</v>
          </cell>
        </row>
        <row r="37">
          <cell r="W37">
            <v>969</v>
          </cell>
        </row>
        <row r="38">
          <cell r="W38">
            <v>4778</v>
          </cell>
        </row>
        <row r="39">
          <cell r="W39">
            <v>4518</v>
          </cell>
        </row>
        <row r="41">
          <cell r="W41">
            <v>927</v>
          </cell>
        </row>
        <row r="44">
          <cell r="W44">
            <v>49635</v>
          </cell>
        </row>
        <row r="46">
          <cell r="W46">
            <v>79969</v>
          </cell>
        </row>
        <row r="73">
          <cell r="W73">
            <v>42203</v>
          </cell>
        </row>
        <row r="75">
          <cell r="W75">
            <v>1088381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 2002"/>
      <sheetName val="JAN2003"/>
      <sheetName val="Sheet1"/>
      <sheetName val="Lamp 7"/>
    </sheetNames>
    <sheetDataSet>
      <sheetData sheetId="0" refreshError="1"/>
      <sheetData sheetId="1" refreshError="1"/>
      <sheetData sheetId="2" refreshError="1"/>
      <sheetData sheetId="3" refreshError="1">
        <row r="13">
          <cell r="X13">
            <v>0</v>
          </cell>
        </row>
        <row r="15">
          <cell r="X15">
            <v>2447</v>
          </cell>
        </row>
        <row r="16">
          <cell r="X16">
            <v>1103</v>
          </cell>
        </row>
        <row r="19">
          <cell r="X19">
            <v>8954</v>
          </cell>
        </row>
        <row r="20">
          <cell r="X20">
            <v>338480</v>
          </cell>
        </row>
        <row r="21">
          <cell r="X21">
            <v>1013</v>
          </cell>
        </row>
        <row r="22">
          <cell r="X22">
            <v>2068</v>
          </cell>
        </row>
        <row r="24">
          <cell r="X24">
            <v>18002</v>
          </cell>
        </row>
        <row r="29">
          <cell r="X29">
            <v>55</v>
          </cell>
        </row>
        <row r="30">
          <cell r="X30">
            <v>223</v>
          </cell>
        </row>
        <row r="32">
          <cell r="X32">
            <v>175649</v>
          </cell>
        </row>
        <row r="33">
          <cell r="X33">
            <v>471</v>
          </cell>
        </row>
        <row r="37">
          <cell r="X37">
            <v>2024</v>
          </cell>
        </row>
        <row r="39">
          <cell r="X39">
            <v>2958</v>
          </cell>
        </row>
        <row r="40">
          <cell r="X40">
            <v>1052</v>
          </cell>
        </row>
        <row r="41">
          <cell r="X41">
            <v>7460</v>
          </cell>
        </row>
        <row r="42">
          <cell r="X42">
            <v>3066</v>
          </cell>
        </row>
        <row r="44">
          <cell r="X44">
            <v>3266</v>
          </cell>
        </row>
        <row r="50">
          <cell r="X50">
            <v>33491</v>
          </cell>
        </row>
        <row r="52">
          <cell r="X52">
            <v>48672</v>
          </cell>
        </row>
        <row r="82">
          <cell r="X82">
            <v>22616</v>
          </cell>
        </row>
        <row r="84">
          <cell r="X84">
            <v>727439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 2002"/>
      <sheetName val="JAN2003"/>
      <sheetName val="Sheet1"/>
      <sheetName val="Lamp 7"/>
    </sheetNames>
    <sheetDataSet>
      <sheetData sheetId="0" refreshError="1"/>
      <sheetData sheetId="1" refreshError="1"/>
      <sheetData sheetId="2" refreshError="1"/>
      <sheetData sheetId="3" refreshError="1">
        <row r="11">
          <cell r="X11">
            <v>0</v>
          </cell>
        </row>
        <row r="13">
          <cell r="X13">
            <v>7317</v>
          </cell>
        </row>
        <row r="14">
          <cell r="X14">
            <v>1839</v>
          </cell>
        </row>
        <row r="17">
          <cell r="X17">
            <v>15</v>
          </cell>
        </row>
        <row r="18">
          <cell r="X18">
            <v>21888</v>
          </cell>
        </row>
        <row r="19">
          <cell r="X19">
            <v>469052</v>
          </cell>
        </row>
        <row r="20">
          <cell r="X20">
            <v>1274</v>
          </cell>
        </row>
        <row r="21">
          <cell r="X21">
            <v>2988</v>
          </cell>
        </row>
        <row r="23">
          <cell r="X23">
            <v>5265</v>
          </cell>
        </row>
        <row r="28">
          <cell r="X28">
            <v>96</v>
          </cell>
        </row>
        <row r="29">
          <cell r="X29">
            <v>2926</v>
          </cell>
        </row>
        <row r="31">
          <cell r="X31">
            <v>198587</v>
          </cell>
        </row>
        <row r="32">
          <cell r="X32">
            <v>15</v>
          </cell>
        </row>
        <row r="36">
          <cell r="X36">
            <v>4834</v>
          </cell>
        </row>
        <row r="38">
          <cell r="X38">
            <v>40</v>
          </cell>
        </row>
        <row r="39">
          <cell r="X39">
            <v>4675</v>
          </cell>
        </row>
        <row r="40">
          <cell r="X40">
            <v>1355</v>
          </cell>
        </row>
        <row r="41">
          <cell r="X41">
            <v>11687</v>
          </cell>
        </row>
        <row r="43">
          <cell r="X43">
            <v>3986</v>
          </cell>
        </row>
        <row r="45">
          <cell r="X45">
            <v>5225</v>
          </cell>
        </row>
        <row r="52">
          <cell r="X52">
            <v>18552</v>
          </cell>
        </row>
        <row r="54">
          <cell r="X54">
            <v>29429</v>
          </cell>
        </row>
        <row r="87">
          <cell r="X87">
            <v>31931</v>
          </cell>
        </row>
        <row r="89">
          <cell r="X89">
            <v>900859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 2002"/>
      <sheetName val="JAN2003"/>
      <sheetName val="Sheet1"/>
      <sheetName val="Lamp 7"/>
    </sheetNames>
    <sheetDataSet>
      <sheetData sheetId="0" refreshError="1"/>
      <sheetData sheetId="1" refreshError="1"/>
      <sheetData sheetId="2" refreshError="1"/>
      <sheetData sheetId="3" refreshError="1">
        <row r="11">
          <cell r="X11">
            <v>0</v>
          </cell>
        </row>
        <row r="13">
          <cell r="X13">
            <v>10215</v>
          </cell>
        </row>
        <row r="14">
          <cell r="X14">
            <v>2557</v>
          </cell>
        </row>
        <row r="18">
          <cell r="X18">
            <v>418</v>
          </cell>
        </row>
        <row r="19">
          <cell r="X19">
            <v>34695</v>
          </cell>
        </row>
        <row r="20">
          <cell r="X20">
            <v>418558</v>
          </cell>
        </row>
        <row r="21">
          <cell r="X21">
            <v>374</v>
          </cell>
        </row>
        <row r="22">
          <cell r="X22">
            <v>3460</v>
          </cell>
        </row>
        <row r="24">
          <cell r="X24">
            <v>4168</v>
          </cell>
        </row>
        <row r="29">
          <cell r="X29">
            <v>229</v>
          </cell>
        </row>
        <row r="30">
          <cell r="X30">
            <v>2167</v>
          </cell>
        </row>
        <row r="32">
          <cell r="X32">
            <v>182783</v>
          </cell>
        </row>
        <row r="33">
          <cell r="X33">
            <v>7273</v>
          </cell>
        </row>
        <row r="37">
          <cell r="X37">
            <v>1180</v>
          </cell>
        </row>
        <row r="39">
          <cell r="X39">
            <v>1296</v>
          </cell>
        </row>
        <row r="40">
          <cell r="X40">
            <v>4670</v>
          </cell>
        </row>
        <row r="42">
          <cell r="X42">
            <v>2270</v>
          </cell>
        </row>
        <row r="43">
          <cell r="X43">
            <v>7487</v>
          </cell>
        </row>
        <row r="45">
          <cell r="X45">
            <v>4674</v>
          </cell>
        </row>
        <row r="47">
          <cell r="X47">
            <v>9305</v>
          </cell>
        </row>
        <row r="56">
          <cell r="X56">
            <v>20610</v>
          </cell>
        </row>
        <row r="58">
          <cell r="X58">
            <v>38888</v>
          </cell>
        </row>
        <row r="93">
          <cell r="X93">
            <v>33745</v>
          </cell>
        </row>
        <row r="95">
          <cell r="X95">
            <v>842152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kabumi REKAP"/>
      <sheetName val="Sheet2 (2)"/>
      <sheetName val="Lamp 5"/>
    </sheetNames>
    <sheetDataSet>
      <sheetData sheetId="0" refreshError="1"/>
      <sheetData sheetId="1" refreshError="1"/>
      <sheetData sheetId="2" refreshError="1">
        <row r="11">
          <cell r="X11">
            <v>8</v>
          </cell>
        </row>
        <row r="13">
          <cell r="X13">
            <v>10183</v>
          </cell>
        </row>
        <row r="14">
          <cell r="X14">
            <v>3708</v>
          </cell>
        </row>
        <row r="18">
          <cell r="X18">
            <v>1268</v>
          </cell>
        </row>
        <row r="19">
          <cell r="X19">
            <v>83790</v>
          </cell>
        </row>
        <row r="20">
          <cell r="X20">
            <v>680534</v>
          </cell>
        </row>
        <row r="21">
          <cell r="X21">
            <v>383</v>
          </cell>
        </row>
        <row r="22">
          <cell r="X22">
            <v>397</v>
          </cell>
        </row>
        <row r="24">
          <cell r="X24">
            <v>1988</v>
          </cell>
        </row>
        <row r="29">
          <cell r="X29">
            <v>347</v>
          </cell>
        </row>
        <row r="30">
          <cell r="X30">
            <v>1280</v>
          </cell>
        </row>
        <row r="34">
          <cell r="X34">
            <v>134062</v>
          </cell>
        </row>
        <row r="35">
          <cell r="X35">
            <v>381</v>
          </cell>
        </row>
        <row r="41">
          <cell r="X41">
            <v>1802</v>
          </cell>
        </row>
        <row r="43">
          <cell r="X43">
            <v>8643</v>
          </cell>
        </row>
        <row r="44">
          <cell r="X44">
            <v>4424</v>
          </cell>
        </row>
        <row r="46">
          <cell r="X46">
            <v>1806</v>
          </cell>
        </row>
        <row r="47">
          <cell r="X47">
            <v>9219</v>
          </cell>
        </row>
        <row r="49">
          <cell r="X49">
            <v>2897</v>
          </cell>
        </row>
        <row r="51">
          <cell r="X51">
            <v>22984</v>
          </cell>
        </row>
        <row r="60">
          <cell r="X60">
            <v>17934</v>
          </cell>
        </row>
        <row r="63">
          <cell r="X63">
            <v>19609</v>
          </cell>
        </row>
        <row r="98">
          <cell r="X98">
            <v>42807</v>
          </cell>
        </row>
        <row r="100">
          <cell r="X100">
            <v>1114688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Lamp 7"/>
    </sheetNames>
    <sheetDataSet>
      <sheetData sheetId="0" refreshError="1"/>
      <sheetData sheetId="1" refreshError="1"/>
      <sheetData sheetId="2" refreshError="1">
        <row r="11">
          <cell r="X11">
            <v>15</v>
          </cell>
        </row>
        <row r="13">
          <cell r="X13">
            <v>10050</v>
          </cell>
        </row>
        <row r="14">
          <cell r="X14">
            <v>3186</v>
          </cell>
        </row>
        <row r="18">
          <cell r="X18">
            <v>3404</v>
          </cell>
        </row>
        <row r="19">
          <cell r="X19">
            <v>47247</v>
          </cell>
        </row>
        <row r="20">
          <cell r="X20">
            <v>415815</v>
          </cell>
        </row>
        <row r="21">
          <cell r="X21">
            <v>1282</v>
          </cell>
        </row>
        <row r="22">
          <cell r="X22">
            <v>417</v>
          </cell>
        </row>
        <row r="24">
          <cell r="X24">
            <v>2429</v>
          </cell>
        </row>
        <row r="29">
          <cell r="X29">
            <v>540</v>
          </cell>
        </row>
        <row r="30">
          <cell r="X30">
            <v>925</v>
          </cell>
        </row>
        <row r="34">
          <cell r="X34">
            <v>101080</v>
          </cell>
        </row>
        <row r="35">
          <cell r="X35">
            <v>0</v>
          </cell>
        </row>
        <row r="42">
          <cell r="X42">
            <v>790</v>
          </cell>
        </row>
        <row r="44">
          <cell r="X44">
            <v>13492</v>
          </cell>
        </row>
        <row r="45">
          <cell r="X45">
            <v>1273</v>
          </cell>
        </row>
        <row r="47">
          <cell r="X47">
            <v>514</v>
          </cell>
        </row>
        <row r="48">
          <cell r="X48">
            <v>5678</v>
          </cell>
        </row>
        <row r="50">
          <cell r="X50">
            <v>4197</v>
          </cell>
        </row>
        <row r="52">
          <cell r="X52">
            <v>29620</v>
          </cell>
        </row>
        <row r="61">
          <cell r="X61">
            <v>5228</v>
          </cell>
        </row>
        <row r="64">
          <cell r="X64">
            <v>17371</v>
          </cell>
        </row>
        <row r="99">
          <cell r="X99">
            <v>33878</v>
          </cell>
        </row>
        <row r="101">
          <cell r="X101">
            <v>738856.5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Y55"/>
  <sheetViews>
    <sheetView tabSelected="1" zoomScale="60" zoomScaleNormal="60" workbookViewId="0">
      <selection activeCell="U42" sqref="U42"/>
    </sheetView>
  </sheetViews>
  <sheetFormatPr defaultRowHeight="15" x14ac:dyDescent="0.25"/>
  <cols>
    <col min="2" max="2" width="16.42578125" customWidth="1"/>
    <col min="3" max="3" width="22.28515625" customWidth="1"/>
    <col min="4" max="4" width="12.140625" customWidth="1"/>
    <col min="5" max="5" width="13.140625" customWidth="1"/>
    <col min="6" max="6" width="12.7109375" customWidth="1"/>
    <col min="7" max="7" width="12.85546875" customWidth="1"/>
    <col min="8" max="8" width="12.28515625" customWidth="1"/>
    <col min="9" max="9" width="13.28515625" customWidth="1"/>
    <col min="10" max="10" width="12.5703125" customWidth="1"/>
    <col min="11" max="11" width="13.5703125" customWidth="1"/>
    <col min="12" max="12" width="14.85546875" customWidth="1"/>
    <col min="13" max="13" width="16.42578125" customWidth="1"/>
    <col min="14" max="14" width="12.42578125" customWidth="1"/>
    <col min="15" max="15" width="13.85546875" customWidth="1"/>
    <col min="16" max="16" width="12.42578125" customWidth="1"/>
    <col min="17" max="17" width="14.85546875" customWidth="1"/>
    <col min="18" max="18" width="12.42578125" customWidth="1"/>
    <col min="19" max="19" width="16.28515625" customWidth="1"/>
    <col min="20" max="21" width="12" customWidth="1"/>
    <col min="22" max="22" width="11.5703125" customWidth="1"/>
    <col min="23" max="23" width="11.85546875" customWidth="1"/>
    <col min="24" max="24" width="12.140625" customWidth="1"/>
    <col min="25" max="25" width="11.7109375" customWidth="1"/>
  </cols>
  <sheetData>
    <row r="1" spans="1:25" ht="18.75" customHeight="1" x14ac:dyDescent="0.25">
      <c r="A1" s="164" t="s">
        <v>1</v>
      </c>
      <c r="B1" s="164" t="s">
        <v>102</v>
      </c>
      <c r="C1" s="164" t="s">
        <v>109</v>
      </c>
      <c r="D1" s="164" t="s">
        <v>103</v>
      </c>
      <c r="E1" s="164" t="s">
        <v>68</v>
      </c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</row>
    <row r="2" spans="1:25" ht="21.75" customHeight="1" x14ac:dyDescent="0.25">
      <c r="A2" s="164"/>
      <c r="B2" s="164"/>
      <c r="C2" s="164"/>
      <c r="D2" s="164"/>
      <c r="E2" s="95">
        <v>2010</v>
      </c>
      <c r="F2" s="95">
        <v>2011</v>
      </c>
      <c r="G2" s="95">
        <v>2012</v>
      </c>
      <c r="H2" s="95">
        <v>2013</v>
      </c>
      <c r="I2" s="95">
        <v>2014</v>
      </c>
      <c r="J2" s="95">
        <v>2015</v>
      </c>
      <c r="K2" s="95">
        <v>2016</v>
      </c>
      <c r="L2" s="95">
        <v>2017</v>
      </c>
      <c r="M2" s="95">
        <v>2018</v>
      </c>
      <c r="N2" s="95">
        <v>2019</v>
      </c>
      <c r="O2" s="95">
        <v>2020</v>
      </c>
      <c r="P2" s="95">
        <v>2021</v>
      </c>
      <c r="Q2" s="95">
        <v>2022</v>
      </c>
      <c r="R2" s="95">
        <v>2023</v>
      </c>
      <c r="S2" s="95">
        <v>2024</v>
      </c>
      <c r="T2" s="95">
        <v>2025</v>
      </c>
      <c r="U2" s="95">
        <v>2026</v>
      </c>
      <c r="V2" s="95">
        <v>2027</v>
      </c>
      <c r="W2" s="95">
        <v>2028</v>
      </c>
      <c r="X2" s="95">
        <v>2029</v>
      </c>
      <c r="Y2" s="95">
        <v>2030</v>
      </c>
    </row>
    <row r="3" spans="1:25" s="108" customFormat="1" x14ac:dyDescent="0.25">
      <c r="A3" s="169">
        <v>1</v>
      </c>
      <c r="B3" s="172" t="s">
        <v>181</v>
      </c>
      <c r="C3" s="119" t="s">
        <v>106</v>
      </c>
      <c r="D3" s="168" t="s">
        <v>203</v>
      </c>
      <c r="E3" s="144"/>
      <c r="F3" s="144"/>
      <c r="G3" s="144"/>
      <c r="H3" s="144"/>
      <c r="I3" s="144">
        <v>51</v>
      </c>
      <c r="J3" s="144">
        <v>48</v>
      </c>
      <c r="K3" s="144">
        <v>50</v>
      </c>
      <c r="L3" s="140">
        <f>UPPO!B17</f>
        <v>86</v>
      </c>
      <c r="M3" s="140">
        <f>UPPO!B18</f>
        <v>86</v>
      </c>
      <c r="N3" s="140">
        <f>UPPO!B19</f>
        <v>86</v>
      </c>
      <c r="O3" s="140">
        <f>N3</f>
        <v>86</v>
      </c>
      <c r="P3" s="140">
        <f t="shared" ref="P3:Y3" si="0">O3</f>
        <v>86</v>
      </c>
      <c r="Q3" s="140">
        <f t="shared" si="0"/>
        <v>86</v>
      </c>
      <c r="R3" s="140">
        <f t="shared" si="0"/>
        <v>86</v>
      </c>
      <c r="S3" s="140">
        <f t="shared" si="0"/>
        <v>86</v>
      </c>
      <c r="T3" s="140">
        <f t="shared" si="0"/>
        <v>86</v>
      </c>
      <c r="U3" s="140">
        <f t="shared" si="0"/>
        <v>86</v>
      </c>
      <c r="V3" s="140">
        <f t="shared" si="0"/>
        <v>86</v>
      </c>
      <c r="W3" s="140">
        <f t="shared" si="0"/>
        <v>86</v>
      </c>
      <c r="X3" s="140">
        <f t="shared" si="0"/>
        <v>86</v>
      </c>
      <c r="Y3" s="140">
        <f t="shared" si="0"/>
        <v>86</v>
      </c>
    </row>
    <row r="4" spans="1:25" s="108" customFormat="1" ht="30" x14ac:dyDescent="0.25">
      <c r="A4" s="170"/>
      <c r="B4" s="173"/>
      <c r="C4" s="119" t="s">
        <v>104</v>
      </c>
      <c r="D4" s="168"/>
      <c r="E4" s="144"/>
      <c r="F4" s="144"/>
      <c r="G4" s="144"/>
      <c r="H4" s="144"/>
      <c r="I4" s="140">
        <f>I3*'DATA UPPO'!$E$39</f>
        <v>9562500</v>
      </c>
      <c r="J4" s="140">
        <f>J3*'DATA UPPO'!$E$39</f>
        <v>9000000</v>
      </c>
      <c r="K4" s="140">
        <f>K3*'DATA UPPO'!$E$39</f>
        <v>9375000</v>
      </c>
      <c r="L4" s="140">
        <f>L3*'DATA UPPO'!$E$39</f>
        <v>16125000</v>
      </c>
      <c r="M4" s="140">
        <f>M3*'DATA UPPO'!$E$39</f>
        <v>16125000</v>
      </c>
      <c r="N4" s="140">
        <f>N3*'DATA UPPO'!$E$39</f>
        <v>16125000</v>
      </c>
      <c r="O4" s="140">
        <f>O3*'DATA UPPO'!$E$39</f>
        <v>16125000</v>
      </c>
      <c r="P4" s="140">
        <f>P3*'DATA UPPO'!$E$39</f>
        <v>16125000</v>
      </c>
      <c r="Q4" s="140">
        <f>Q3*'DATA UPPO'!$E$39</f>
        <v>16125000</v>
      </c>
      <c r="R4" s="140">
        <f>R3*'DATA UPPO'!$E$39</f>
        <v>16125000</v>
      </c>
      <c r="S4" s="140">
        <f>S3*'DATA UPPO'!$E$39</f>
        <v>16125000</v>
      </c>
      <c r="T4" s="140">
        <f>T3*'DATA UPPO'!$E$39</f>
        <v>16125000</v>
      </c>
      <c r="U4" s="140">
        <f>U3*'DATA UPPO'!$E$39</f>
        <v>16125000</v>
      </c>
      <c r="V4" s="140">
        <f>V3*'DATA UPPO'!$E$39</f>
        <v>16125000</v>
      </c>
      <c r="W4" s="140">
        <f>W3*'DATA UPPO'!$E$39</f>
        <v>16125000</v>
      </c>
      <c r="X4" s="140">
        <f>X3*'DATA UPPO'!$E$39</f>
        <v>16125000</v>
      </c>
      <c r="Y4" s="140">
        <f>Y3*'DATA UPPO'!$E$39</f>
        <v>16125000</v>
      </c>
    </row>
    <row r="5" spans="1:25" s="108" customFormat="1" ht="30" x14ac:dyDescent="0.25">
      <c r="A5" s="171"/>
      <c r="B5" s="174"/>
      <c r="C5" s="119" t="s">
        <v>105</v>
      </c>
      <c r="D5" s="168"/>
      <c r="E5" s="144"/>
      <c r="F5" s="144"/>
      <c r="G5" s="144"/>
      <c r="H5" s="144"/>
      <c r="I5" s="155">
        <f>UPPO!H14</f>
        <v>1627.1992000000005</v>
      </c>
      <c r="J5" s="155">
        <f>UPPO!H15</f>
        <v>1531.4816000000003</v>
      </c>
      <c r="K5" s="155">
        <f>UPPO!H16</f>
        <v>1595.2933333333337</v>
      </c>
      <c r="L5" s="100">
        <f>UPPO!H17</f>
        <v>2743.9045333333338</v>
      </c>
      <c r="M5" s="100">
        <f>UPPO!H18</f>
        <v>2743.9045333333338</v>
      </c>
      <c r="N5" s="100">
        <f>UPPO!H19</f>
        <v>2743.9045333333338</v>
      </c>
      <c r="O5" s="100">
        <f>N5</f>
        <v>2743.9045333333338</v>
      </c>
      <c r="P5" s="100">
        <f t="shared" ref="P5:Y5" si="1">O5</f>
        <v>2743.9045333333338</v>
      </c>
      <c r="Q5" s="100">
        <f t="shared" si="1"/>
        <v>2743.9045333333338</v>
      </c>
      <c r="R5" s="100">
        <f t="shared" si="1"/>
        <v>2743.9045333333338</v>
      </c>
      <c r="S5" s="100">
        <f t="shared" si="1"/>
        <v>2743.9045333333338</v>
      </c>
      <c r="T5" s="100">
        <f t="shared" si="1"/>
        <v>2743.9045333333338</v>
      </c>
      <c r="U5" s="100">
        <f t="shared" si="1"/>
        <v>2743.9045333333338</v>
      </c>
      <c r="V5" s="100">
        <f t="shared" si="1"/>
        <v>2743.9045333333338</v>
      </c>
      <c r="W5" s="100">
        <f t="shared" si="1"/>
        <v>2743.9045333333338</v>
      </c>
      <c r="X5" s="100">
        <f t="shared" si="1"/>
        <v>2743.9045333333338</v>
      </c>
      <c r="Y5" s="100">
        <f t="shared" si="1"/>
        <v>2743.9045333333338</v>
      </c>
    </row>
    <row r="6" spans="1:25" ht="23.25" customHeight="1" x14ac:dyDescent="0.25">
      <c r="A6" s="166">
        <v>2</v>
      </c>
      <c r="B6" s="167" t="s">
        <v>108</v>
      </c>
      <c r="C6" s="96" t="s">
        <v>182</v>
      </c>
      <c r="D6" s="168" t="s">
        <v>203</v>
      </c>
      <c r="E6" s="141">
        <f>'PTT DAN SRI'!B71</f>
        <v>0</v>
      </c>
      <c r="F6" s="141">
        <f>'PTT DAN SRI'!B72</f>
        <v>36481.96875</v>
      </c>
      <c r="G6" s="141">
        <f>'PTT DAN SRI'!B73</f>
        <v>72963.9375</v>
      </c>
      <c r="H6" s="141">
        <f>'PTT DAN SRI'!B74</f>
        <v>109445.90625</v>
      </c>
      <c r="I6" s="141">
        <f>'PTT DAN SRI'!B75</f>
        <v>145927.875</v>
      </c>
      <c r="J6" s="141">
        <f>'PTT DAN SRI'!B76</f>
        <v>182409.84375</v>
      </c>
      <c r="K6" s="141">
        <f>'PTT DAN SRI'!B77</f>
        <v>218891.8125</v>
      </c>
      <c r="L6" s="141">
        <f>K6</f>
        <v>218891.8125</v>
      </c>
      <c r="M6" s="141">
        <f t="shared" ref="M6:Y6" si="2">L6</f>
        <v>218891.8125</v>
      </c>
      <c r="N6" s="141">
        <f t="shared" si="2"/>
        <v>218891.8125</v>
      </c>
      <c r="O6" s="141">
        <f t="shared" si="2"/>
        <v>218891.8125</v>
      </c>
      <c r="P6" s="141">
        <f t="shared" si="2"/>
        <v>218891.8125</v>
      </c>
      <c r="Q6" s="141">
        <f t="shared" si="2"/>
        <v>218891.8125</v>
      </c>
      <c r="R6" s="141">
        <f t="shared" si="2"/>
        <v>218891.8125</v>
      </c>
      <c r="S6" s="141">
        <f t="shared" si="2"/>
        <v>218891.8125</v>
      </c>
      <c r="T6" s="141">
        <f t="shared" si="2"/>
        <v>218891.8125</v>
      </c>
      <c r="U6" s="141">
        <f t="shared" si="2"/>
        <v>218891.8125</v>
      </c>
      <c r="V6" s="141">
        <f t="shared" si="2"/>
        <v>218891.8125</v>
      </c>
      <c r="W6" s="141">
        <f t="shared" si="2"/>
        <v>218891.8125</v>
      </c>
      <c r="X6" s="141">
        <f t="shared" si="2"/>
        <v>218891.8125</v>
      </c>
      <c r="Y6" s="141">
        <f t="shared" si="2"/>
        <v>218891.8125</v>
      </c>
    </row>
    <row r="7" spans="1:25" ht="29.25" customHeight="1" x14ac:dyDescent="0.25">
      <c r="A7" s="166"/>
      <c r="B7" s="167"/>
      <c r="C7" s="96" t="s">
        <v>104</v>
      </c>
      <c r="D7" s="168"/>
      <c r="E7" s="161">
        <f>'PTT DAN SRI'!$K$15*'REKAP PENURUNAN EMISI'!E6</f>
        <v>0</v>
      </c>
      <c r="F7" s="162">
        <f>'PTT DAN SRI'!$K$15*'REKAP PENURUNAN EMISI'!F6</f>
        <v>96531289.3125</v>
      </c>
      <c r="G7" s="162">
        <f>'PTT DAN SRI'!$K$15*'REKAP PENURUNAN EMISI'!G6</f>
        <v>193062578.625</v>
      </c>
      <c r="H7" s="162">
        <f>'PTT DAN SRI'!$K$15*'REKAP PENURUNAN EMISI'!H6</f>
        <v>289593867.9375</v>
      </c>
      <c r="I7" s="162">
        <f>'PTT DAN SRI'!$K$15*'REKAP PENURUNAN EMISI'!I6</f>
        <v>386125157.25</v>
      </c>
      <c r="J7" s="162">
        <f>'PTT DAN SRI'!$K$15*'REKAP PENURUNAN EMISI'!J6</f>
        <v>482656446.5625</v>
      </c>
      <c r="K7" s="162">
        <f>'PTT DAN SRI'!$K$15*'REKAP PENURUNAN EMISI'!K6</f>
        <v>579187735.875</v>
      </c>
      <c r="L7" s="162">
        <f>'PTT DAN SRI'!$K$15*'REKAP PENURUNAN EMISI'!L6</f>
        <v>579187735.875</v>
      </c>
      <c r="M7" s="162">
        <f>'PTT DAN SRI'!$K$15*'REKAP PENURUNAN EMISI'!M6</f>
        <v>579187735.875</v>
      </c>
      <c r="N7" s="162">
        <f>'PTT DAN SRI'!$K$15*'REKAP PENURUNAN EMISI'!N6</f>
        <v>579187735.875</v>
      </c>
      <c r="O7" s="162">
        <f>'PTT DAN SRI'!$K$15*'REKAP PENURUNAN EMISI'!O6</f>
        <v>579187735.875</v>
      </c>
      <c r="P7" s="162">
        <f>'PTT DAN SRI'!$K$15*'REKAP PENURUNAN EMISI'!P6</f>
        <v>579187735.875</v>
      </c>
      <c r="Q7" s="162">
        <f>'PTT DAN SRI'!$K$15*'REKAP PENURUNAN EMISI'!Q6</f>
        <v>579187735.875</v>
      </c>
      <c r="R7" s="162">
        <f>'PTT DAN SRI'!$K$15*'REKAP PENURUNAN EMISI'!R6</f>
        <v>579187735.875</v>
      </c>
      <c r="S7" s="162">
        <f>'PTT DAN SRI'!$K$15*'REKAP PENURUNAN EMISI'!S6</f>
        <v>579187735.875</v>
      </c>
      <c r="T7" s="162">
        <f>'PTT DAN SRI'!$K$15*'REKAP PENURUNAN EMISI'!T6</f>
        <v>579187735.875</v>
      </c>
      <c r="U7" s="162">
        <f>'PTT DAN SRI'!$K$15*'REKAP PENURUNAN EMISI'!U6</f>
        <v>579187735.875</v>
      </c>
      <c r="V7" s="162">
        <f>'PTT DAN SRI'!$K$15*'REKAP PENURUNAN EMISI'!V6</f>
        <v>579187735.875</v>
      </c>
      <c r="W7" s="162">
        <f>'PTT DAN SRI'!$K$15*'REKAP PENURUNAN EMISI'!W6</f>
        <v>579187735.875</v>
      </c>
      <c r="X7" s="162">
        <f>'PTT DAN SRI'!$K$15*'REKAP PENURUNAN EMISI'!X6</f>
        <v>579187735.875</v>
      </c>
      <c r="Y7" s="162">
        <f>'PTT DAN SRI'!$K$15*'REKAP PENURUNAN EMISI'!Y6</f>
        <v>579187735.875</v>
      </c>
    </row>
    <row r="8" spans="1:25" ht="30" x14ac:dyDescent="0.25">
      <c r="A8" s="166"/>
      <c r="B8" s="167"/>
      <c r="C8" s="96" t="s">
        <v>105</v>
      </c>
      <c r="D8" s="168"/>
      <c r="E8" s="142">
        <f>'PTT DAN SRI'!G71</f>
        <v>0</v>
      </c>
      <c r="F8" s="142">
        <f>'PTT DAN SRI'!G72</f>
        <v>133130.438146125</v>
      </c>
      <c r="G8" s="142">
        <f>'PTT DAN SRI'!G73</f>
        <v>266260.87629225</v>
      </c>
      <c r="H8" s="142">
        <f>'PTT DAN SRI'!G74</f>
        <v>399391.314438375</v>
      </c>
      <c r="I8" s="142">
        <f>'PTT DAN SRI'!G75</f>
        <v>532521.75258450001</v>
      </c>
      <c r="J8" s="142">
        <f>'PTT DAN SRI'!G76</f>
        <v>665652.19073062507</v>
      </c>
      <c r="K8" s="143">
        <f>'PTT DAN SRI'!G77</f>
        <v>798782.62887675001</v>
      </c>
      <c r="L8" s="143">
        <f>K8</f>
        <v>798782.62887675001</v>
      </c>
      <c r="M8" s="143">
        <f t="shared" ref="M8:Y8" si="3">L8</f>
        <v>798782.62887675001</v>
      </c>
      <c r="N8" s="143">
        <f t="shared" si="3"/>
        <v>798782.62887675001</v>
      </c>
      <c r="O8" s="143">
        <f t="shared" si="3"/>
        <v>798782.62887675001</v>
      </c>
      <c r="P8" s="143">
        <f t="shared" si="3"/>
        <v>798782.62887675001</v>
      </c>
      <c r="Q8" s="143">
        <f t="shared" si="3"/>
        <v>798782.62887675001</v>
      </c>
      <c r="R8" s="143">
        <f t="shared" si="3"/>
        <v>798782.62887675001</v>
      </c>
      <c r="S8" s="143">
        <f t="shared" si="3"/>
        <v>798782.62887675001</v>
      </c>
      <c r="T8" s="143">
        <f t="shared" si="3"/>
        <v>798782.62887675001</v>
      </c>
      <c r="U8" s="143">
        <f t="shared" si="3"/>
        <v>798782.62887675001</v>
      </c>
      <c r="V8" s="143">
        <f t="shared" si="3"/>
        <v>798782.62887675001</v>
      </c>
      <c r="W8" s="143">
        <f t="shared" si="3"/>
        <v>798782.62887675001</v>
      </c>
      <c r="X8" s="143">
        <f t="shared" si="3"/>
        <v>798782.62887675001</v>
      </c>
      <c r="Y8" s="143">
        <f t="shared" si="3"/>
        <v>798782.62887675001</v>
      </c>
    </row>
    <row r="9" spans="1:25" ht="26.25" customHeight="1" x14ac:dyDescent="0.25">
      <c r="A9" s="166">
        <v>3</v>
      </c>
      <c r="B9" s="167" t="s">
        <v>107</v>
      </c>
      <c r="C9" s="96" t="s">
        <v>182</v>
      </c>
      <c r="D9" s="168" t="s">
        <v>203</v>
      </c>
      <c r="E9" s="141">
        <f>'PTT DAN SRI'!B32</f>
        <v>0</v>
      </c>
      <c r="F9" s="141">
        <f>'PTT DAN SRI'!B33</f>
        <v>2874.875</v>
      </c>
      <c r="G9" s="141">
        <f>'PTT DAN SRI'!B34</f>
        <v>5749.75</v>
      </c>
      <c r="H9" s="141">
        <f>'PTT DAN SRI'!B35</f>
        <v>8624.625</v>
      </c>
      <c r="I9" s="141">
        <f>'PTT DAN SRI'!B36</f>
        <v>11499.5</v>
      </c>
      <c r="J9" s="141">
        <f>'PTT DAN SRI'!B37</f>
        <v>14374.375</v>
      </c>
      <c r="K9" s="141">
        <f>J9</f>
        <v>14374.375</v>
      </c>
      <c r="L9" s="141">
        <f t="shared" ref="L9:Y9" si="4">K9</f>
        <v>14374.375</v>
      </c>
      <c r="M9" s="141">
        <f t="shared" si="4"/>
        <v>14374.375</v>
      </c>
      <c r="N9" s="141">
        <f t="shared" si="4"/>
        <v>14374.375</v>
      </c>
      <c r="O9" s="141">
        <f t="shared" si="4"/>
        <v>14374.375</v>
      </c>
      <c r="P9" s="141">
        <f t="shared" si="4"/>
        <v>14374.375</v>
      </c>
      <c r="Q9" s="141">
        <f t="shared" si="4"/>
        <v>14374.375</v>
      </c>
      <c r="R9" s="141">
        <f t="shared" si="4"/>
        <v>14374.375</v>
      </c>
      <c r="S9" s="141">
        <f t="shared" si="4"/>
        <v>14374.375</v>
      </c>
      <c r="T9" s="141">
        <f t="shared" si="4"/>
        <v>14374.375</v>
      </c>
      <c r="U9" s="141">
        <f t="shared" si="4"/>
        <v>14374.375</v>
      </c>
      <c r="V9" s="141">
        <f t="shared" si="4"/>
        <v>14374.375</v>
      </c>
      <c r="W9" s="141">
        <f t="shared" si="4"/>
        <v>14374.375</v>
      </c>
      <c r="X9" s="141">
        <f t="shared" si="4"/>
        <v>14374.375</v>
      </c>
      <c r="Y9" s="141">
        <f t="shared" si="4"/>
        <v>14374.375</v>
      </c>
    </row>
    <row r="10" spans="1:25" ht="30" x14ac:dyDescent="0.25">
      <c r="A10" s="166"/>
      <c r="B10" s="167"/>
      <c r="C10" s="96" t="s">
        <v>104</v>
      </c>
      <c r="D10" s="168"/>
      <c r="E10" s="161">
        <f>'PTT DAN SRI'!$K$15*'REKAP PENURUNAN EMISI'!E9</f>
        <v>0</v>
      </c>
      <c r="F10" s="162">
        <f>'PTT DAN SRI'!$K$15*'REKAP PENURUNAN EMISI'!F9</f>
        <v>7606919.25</v>
      </c>
      <c r="G10" s="162">
        <f>'PTT DAN SRI'!$K$15*'REKAP PENURUNAN EMISI'!G9</f>
        <v>15213838.5</v>
      </c>
      <c r="H10" s="162">
        <f>'PTT DAN SRI'!$K$15*'REKAP PENURUNAN EMISI'!H9</f>
        <v>22820757.75</v>
      </c>
      <c r="I10" s="162">
        <f>'PTT DAN SRI'!$K$15*'REKAP PENURUNAN EMISI'!I9</f>
        <v>30427677</v>
      </c>
      <c r="J10" s="162">
        <f>'PTT DAN SRI'!$K$15*'REKAP PENURUNAN EMISI'!J9</f>
        <v>38034596.25</v>
      </c>
      <c r="K10" s="162">
        <f>'PTT DAN SRI'!$K$15*'REKAP PENURUNAN EMISI'!K9</f>
        <v>38034596.25</v>
      </c>
      <c r="L10" s="162">
        <f>'PTT DAN SRI'!$K$15*'REKAP PENURUNAN EMISI'!L9</f>
        <v>38034596.25</v>
      </c>
      <c r="M10" s="162">
        <f>'PTT DAN SRI'!$K$15*'REKAP PENURUNAN EMISI'!M9</f>
        <v>38034596.25</v>
      </c>
      <c r="N10" s="162">
        <f>'PTT DAN SRI'!$K$15*'REKAP PENURUNAN EMISI'!N9</f>
        <v>38034596.25</v>
      </c>
      <c r="O10" s="162">
        <f>'PTT DAN SRI'!$K$15*'REKAP PENURUNAN EMISI'!O9</f>
        <v>38034596.25</v>
      </c>
      <c r="P10" s="162">
        <f>'PTT DAN SRI'!$K$15*'REKAP PENURUNAN EMISI'!P9</f>
        <v>38034596.25</v>
      </c>
      <c r="Q10" s="162">
        <f>'PTT DAN SRI'!$K$15*'REKAP PENURUNAN EMISI'!Q9</f>
        <v>38034596.25</v>
      </c>
      <c r="R10" s="162">
        <f>'PTT DAN SRI'!$K$15*'REKAP PENURUNAN EMISI'!R9</f>
        <v>38034596.25</v>
      </c>
      <c r="S10" s="162">
        <f>'PTT DAN SRI'!$K$15*'REKAP PENURUNAN EMISI'!S9</f>
        <v>38034596.25</v>
      </c>
      <c r="T10" s="162">
        <f>'PTT DAN SRI'!$K$15*'REKAP PENURUNAN EMISI'!T9</f>
        <v>38034596.25</v>
      </c>
      <c r="U10" s="162">
        <f>'PTT DAN SRI'!$K$15*'REKAP PENURUNAN EMISI'!U9</f>
        <v>38034596.25</v>
      </c>
      <c r="V10" s="162">
        <f>'PTT DAN SRI'!$K$15*'REKAP PENURUNAN EMISI'!V9</f>
        <v>38034596.25</v>
      </c>
      <c r="W10" s="162">
        <f>'PTT DAN SRI'!$K$15*'REKAP PENURUNAN EMISI'!W9</f>
        <v>38034596.25</v>
      </c>
      <c r="X10" s="162">
        <f>'PTT DAN SRI'!$K$15*'REKAP PENURUNAN EMISI'!X9</f>
        <v>38034596.25</v>
      </c>
      <c r="Y10" s="162">
        <f>'PTT DAN SRI'!$K$15*'REKAP PENURUNAN EMISI'!Y9</f>
        <v>38034596.25</v>
      </c>
    </row>
    <row r="11" spans="1:25" ht="30" x14ac:dyDescent="0.25">
      <c r="A11" s="166"/>
      <c r="B11" s="167"/>
      <c r="C11" s="96" t="s">
        <v>105</v>
      </c>
      <c r="D11" s="168"/>
      <c r="E11" s="142">
        <f>'PTT DAN SRI'!G32</f>
        <v>0</v>
      </c>
      <c r="F11" s="142">
        <f>'PTT DAN SRI'!G33</f>
        <v>5634.0707797500008</v>
      </c>
      <c r="G11" s="142">
        <f>'PTT DAN SRI'!G34</f>
        <v>11268.141559500002</v>
      </c>
      <c r="H11" s="142">
        <f>'PTT DAN SRI'!G35</f>
        <v>16902.212339250003</v>
      </c>
      <c r="I11" s="142">
        <f>'PTT DAN SRI'!G36</f>
        <v>22536.283119000003</v>
      </c>
      <c r="J11" s="141">
        <f>'PTT DAN SRI'!G37</f>
        <v>28170.353898750003</v>
      </c>
      <c r="K11" s="141">
        <f>J11</f>
        <v>28170.353898750003</v>
      </c>
      <c r="L11" s="141">
        <f t="shared" ref="L11:Y11" si="5">K11</f>
        <v>28170.353898750003</v>
      </c>
      <c r="M11" s="141">
        <f t="shared" si="5"/>
        <v>28170.353898750003</v>
      </c>
      <c r="N11" s="141">
        <f t="shared" si="5"/>
        <v>28170.353898750003</v>
      </c>
      <c r="O11" s="141">
        <f t="shared" si="5"/>
        <v>28170.353898750003</v>
      </c>
      <c r="P11" s="141">
        <f t="shared" si="5"/>
        <v>28170.353898750003</v>
      </c>
      <c r="Q11" s="141">
        <f t="shared" si="5"/>
        <v>28170.353898750003</v>
      </c>
      <c r="R11" s="141">
        <f t="shared" si="5"/>
        <v>28170.353898750003</v>
      </c>
      <c r="S11" s="141">
        <f t="shared" si="5"/>
        <v>28170.353898750003</v>
      </c>
      <c r="T11" s="141">
        <f t="shared" si="5"/>
        <v>28170.353898750003</v>
      </c>
      <c r="U11" s="141">
        <f t="shared" si="5"/>
        <v>28170.353898750003</v>
      </c>
      <c r="V11" s="141">
        <f t="shared" si="5"/>
        <v>28170.353898750003</v>
      </c>
      <c r="W11" s="141">
        <f t="shared" si="5"/>
        <v>28170.353898750003</v>
      </c>
      <c r="X11" s="141">
        <f t="shared" si="5"/>
        <v>28170.353898750003</v>
      </c>
      <c r="Y11" s="141">
        <f t="shared" si="5"/>
        <v>28170.353898750003</v>
      </c>
    </row>
    <row r="12" spans="1:25" s="108" customFormat="1" x14ac:dyDescent="0.25"/>
    <row r="13" spans="1:25" s="108" customFormat="1" x14ac:dyDescent="0.25"/>
    <row r="14" spans="1:25" s="108" customFormat="1" x14ac:dyDescent="0.25"/>
    <row r="15" spans="1:25" x14ac:dyDescent="0.25">
      <c r="B15" s="165" t="s">
        <v>114</v>
      </c>
      <c r="C15" s="165"/>
      <c r="D15" s="165"/>
      <c r="E15" s="118">
        <f>E5+E8+E11</f>
        <v>0</v>
      </c>
      <c r="F15" s="118">
        <f t="shared" ref="F15:Y15" si="6">F5+F8+F11</f>
        <v>138764.50892587501</v>
      </c>
      <c r="G15" s="118">
        <f t="shared" si="6"/>
        <v>277529.01785175002</v>
      </c>
      <c r="H15" s="118">
        <f t="shared" si="6"/>
        <v>416293.52677762503</v>
      </c>
      <c r="I15" s="118">
        <f t="shared" si="6"/>
        <v>556685.23490350007</v>
      </c>
      <c r="J15" s="118">
        <f t="shared" si="6"/>
        <v>695354.02622937516</v>
      </c>
      <c r="K15" s="118">
        <f>K5+K8+K11</f>
        <v>828548.27610883338</v>
      </c>
      <c r="L15" s="118">
        <f t="shared" si="6"/>
        <v>829696.88730883342</v>
      </c>
      <c r="M15" s="118">
        <f t="shared" si="6"/>
        <v>829696.88730883342</v>
      </c>
      <c r="N15" s="118">
        <f t="shared" si="6"/>
        <v>829696.88730883342</v>
      </c>
      <c r="O15" s="118">
        <f t="shared" si="6"/>
        <v>829696.88730883342</v>
      </c>
      <c r="P15" s="118">
        <f t="shared" si="6"/>
        <v>829696.88730883342</v>
      </c>
      <c r="Q15" s="118">
        <f t="shared" si="6"/>
        <v>829696.88730883342</v>
      </c>
      <c r="R15" s="118">
        <f t="shared" si="6"/>
        <v>829696.88730883342</v>
      </c>
      <c r="S15" s="118">
        <f t="shared" si="6"/>
        <v>829696.88730883342</v>
      </c>
      <c r="T15" s="118">
        <f t="shared" si="6"/>
        <v>829696.88730883342</v>
      </c>
      <c r="U15" s="118">
        <f t="shared" si="6"/>
        <v>829696.88730883342</v>
      </c>
      <c r="V15" s="118">
        <f t="shared" si="6"/>
        <v>829696.88730883342</v>
      </c>
      <c r="W15" s="118">
        <f t="shared" si="6"/>
        <v>829696.88730883342</v>
      </c>
      <c r="X15" s="118">
        <f t="shared" si="6"/>
        <v>829696.88730883342</v>
      </c>
      <c r="Y15" s="118">
        <f t="shared" si="6"/>
        <v>829696.88730883342</v>
      </c>
    </row>
    <row r="16" spans="1:25" x14ac:dyDescent="0.25">
      <c r="B16" s="165" t="s">
        <v>115</v>
      </c>
      <c r="C16" s="165"/>
      <c r="D16" s="165"/>
      <c r="E16" s="118">
        <f>E15/1000</f>
        <v>0</v>
      </c>
      <c r="F16" s="118">
        <f t="shared" ref="F16:L16" si="7">F15/1000</f>
        <v>138.76450892587502</v>
      </c>
      <c r="G16" s="118">
        <f t="shared" si="7"/>
        <v>277.52901785175004</v>
      </c>
      <c r="H16" s="118">
        <f t="shared" si="7"/>
        <v>416.293526777625</v>
      </c>
      <c r="I16" s="118">
        <f t="shared" si="7"/>
        <v>556.68523490350003</v>
      </c>
      <c r="J16" s="118">
        <f t="shared" si="7"/>
        <v>695.35402622937511</v>
      </c>
      <c r="K16" s="118">
        <f t="shared" si="7"/>
        <v>828.54827610883342</v>
      </c>
      <c r="L16" s="118">
        <f t="shared" si="7"/>
        <v>829.69688730883342</v>
      </c>
      <c r="M16" s="118">
        <f t="shared" ref="M16" si="8">M15/1000</f>
        <v>829.69688730883342</v>
      </c>
      <c r="N16" s="118">
        <f t="shared" ref="N16" si="9">N15/1000</f>
        <v>829.69688730883342</v>
      </c>
      <c r="O16" s="118">
        <f t="shared" ref="O16" si="10">O15/1000</f>
        <v>829.69688730883342</v>
      </c>
      <c r="P16" s="118">
        <f t="shared" ref="P16" si="11">P15/1000</f>
        <v>829.69688730883342</v>
      </c>
      <c r="Q16" s="118">
        <f t="shared" ref="Q16" si="12">Q15/1000</f>
        <v>829.69688730883342</v>
      </c>
      <c r="R16" s="118">
        <f t="shared" ref="R16" si="13">R15/1000</f>
        <v>829.69688730883342</v>
      </c>
      <c r="S16" s="118">
        <f t="shared" ref="S16" si="14">S15/1000</f>
        <v>829.69688730883342</v>
      </c>
      <c r="T16" s="118">
        <f t="shared" ref="T16" si="15">T15/1000</f>
        <v>829.69688730883342</v>
      </c>
      <c r="U16" s="118">
        <f t="shared" ref="U16" si="16">U15/1000</f>
        <v>829.69688730883342</v>
      </c>
      <c r="V16" s="118">
        <f t="shared" ref="V16" si="17">V15/1000</f>
        <v>829.69688730883342</v>
      </c>
      <c r="W16" s="118">
        <f t="shared" ref="W16" si="18">W15/1000</f>
        <v>829.69688730883342</v>
      </c>
      <c r="X16" s="118">
        <f t="shared" ref="X16" si="19">X15/1000</f>
        <v>829.69688730883342</v>
      </c>
      <c r="Y16" s="118">
        <f t="shared" ref="Y16" si="20">Y15/1000</f>
        <v>829.69688730883342</v>
      </c>
    </row>
    <row r="20" spans="2:19" x14ac:dyDescent="0.25">
      <c r="B20" s="234" t="s">
        <v>198</v>
      </c>
      <c r="C20" s="234"/>
      <c r="D20" s="234"/>
      <c r="E20" s="234"/>
      <c r="F20" s="234"/>
      <c r="G20" s="234"/>
      <c r="H20" s="234"/>
      <c r="I20" s="234"/>
      <c r="J20" s="234"/>
      <c r="K20" s="234" t="s">
        <v>222</v>
      </c>
      <c r="L20" s="234"/>
      <c r="M20" s="234"/>
      <c r="N20" s="234"/>
      <c r="O20" s="234"/>
      <c r="P20" s="234"/>
      <c r="Q20" s="234"/>
      <c r="R20" s="234"/>
      <c r="S20" s="234"/>
    </row>
    <row r="21" spans="2:19" ht="15" customHeight="1" x14ac:dyDescent="0.25">
      <c r="B21" s="235" t="s">
        <v>199</v>
      </c>
      <c r="C21" s="236" t="s">
        <v>200</v>
      </c>
      <c r="D21" s="237" t="s">
        <v>105</v>
      </c>
      <c r="E21" s="238"/>
      <c r="F21" s="238"/>
      <c r="G21" s="238"/>
      <c r="H21" s="239"/>
      <c r="I21" s="234"/>
      <c r="J21" s="234"/>
      <c r="K21" s="240" t="s">
        <v>68</v>
      </c>
      <c r="L21" s="240" t="s">
        <v>10</v>
      </c>
      <c r="M21" s="240"/>
      <c r="N21" s="240" t="s">
        <v>11</v>
      </c>
      <c r="O21" s="240"/>
      <c r="P21" s="240" t="s">
        <v>180</v>
      </c>
      <c r="Q21" s="240"/>
      <c r="R21" s="241" t="s">
        <v>112</v>
      </c>
      <c r="S21" s="241"/>
    </row>
    <row r="22" spans="2:19" ht="51" x14ac:dyDescent="0.25">
      <c r="B22" s="235"/>
      <c r="C22" s="236"/>
      <c r="D22" s="235" t="s">
        <v>10</v>
      </c>
      <c r="E22" s="235" t="s">
        <v>11</v>
      </c>
      <c r="F22" s="242" t="s">
        <v>180</v>
      </c>
      <c r="G22" s="242" t="s">
        <v>36</v>
      </c>
      <c r="H22" s="235" t="s">
        <v>201</v>
      </c>
      <c r="I22" s="243" t="s">
        <v>212</v>
      </c>
      <c r="J22" s="234"/>
      <c r="K22" s="240"/>
      <c r="L22" s="240" t="s">
        <v>113</v>
      </c>
      <c r="M22" s="240" t="s">
        <v>224</v>
      </c>
      <c r="N22" s="240" t="s">
        <v>113</v>
      </c>
      <c r="O22" s="240" t="s">
        <v>224</v>
      </c>
      <c r="P22" s="240" t="s">
        <v>113</v>
      </c>
      <c r="Q22" s="240" t="s">
        <v>224</v>
      </c>
      <c r="R22" s="240" t="s">
        <v>113</v>
      </c>
      <c r="S22" s="240" t="s">
        <v>224</v>
      </c>
    </row>
    <row r="23" spans="2:19" x14ac:dyDescent="0.25">
      <c r="B23" s="244">
        <v>2010</v>
      </c>
      <c r="C23" s="245">
        <v>3281100</v>
      </c>
      <c r="D23" s="246">
        <f>'PTT DAN SRI'!G71</f>
        <v>0</v>
      </c>
      <c r="E23" s="246">
        <f>'PTT DAN SRI'!G32</f>
        <v>0</v>
      </c>
      <c r="F23" s="247">
        <f>UPPO!H10</f>
        <v>0</v>
      </c>
      <c r="G23" s="245">
        <f t="shared" ref="G23:G43" si="21">SUM(D23:F23)</f>
        <v>0</v>
      </c>
      <c r="H23" s="245">
        <f t="shared" ref="H23:H43" si="22">C23-G23</f>
        <v>3281100</v>
      </c>
      <c r="I23" s="234">
        <f>G23/1000</f>
        <v>0</v>
      </c>
      <c r="J23" s="234"/>
      <c r="K23" s="244">
        <v>2010</v>
      </c>
      <c r="L23" s="248">
        <f>D23</f>
        <v>0</v>
      </c>
      <c r="M23" s="249">
        <f>E7</f>
        <v>0</v>
      </c>
      <c r="N23" s="248">
        <f>E23</f>
        <v>0</v>
      </c>
      <c r="O23" s="249">
        <f>E10</f>
        <v>0</v>
      </c>
      <c r="P23" s="250">
        <f>F23</f>
        <v>0</v>
      </c>
      <c r="Q23" s="249">
        <f>E4</f>
        <v>0</v>
      </c>
      <c r="R23" s="248">
        <f>L23+N23+P23</f>
        <v>0</v>
      </c>
      <c r="S23" s="249">
        <f>M23+O23+Q23</f>
        <v>0</v>
      </c>
    </row>
    <row r="24" spans="2:19" x14ac:dyDescent="0.25">
      <c r="B24" s="251">
        <v>2011</v>
      </c>
      <c r="C24" s="245">
        <v>3522000</v>
      </c>
      <c r="D24" s="246">
        <f>'PTT DAN SRI'!G72</f>
        <v>133130.438146125</v>
      </c>
      <c r="E24" s="246">
        <f>'PTT DAN SRI'!G33</f>
        <v>5634.0707797500008</v>
      </c>
      <c r="F24" s="247">
        <f>UPPO!H11</f>
        <v>0</v>
      </c>
      <c r="G24" s="245">
        <f t="shared" si="21"/>
        <v>138764.50892587501</v>
      </c>
      <c r="H24" s="245">
        <f t="shared" si="22"/>
        <v>3383235.4910741248</v>
      </c>
      <c r="I24" s="234">
        <f t="shared" ref="I24:I43" si="23">G24/1000</f>
        <v>138.76450892587502</v>
      </c>
      <c r="J24" s="234"/>
      <c r="K24" s="251">
        <v>2011</v>
      </c>
      <c r="L24" s="248">
        <f t="shared" ref="L24:L43" si="24">D24</f>
        <v>133130.438146125</v>
      </c>
      <c r="M24" s="252">
        <f>F7</f>
        <v>96531289.3125</v>
      </c>
      <c r="N24" s="248">
        <f t="shared" ref="N24:N43" si="25">E24</f>
        <v>5634.0707797500008</v>
      </c>
      <c r="O24" s="252">
        <f>F10</f>
        <v>7606919.25</v>
      </c>
      <c r="P24" s="250">
        <f t="shared" ref="P24:P43" si="26">F24</f>
        <v>0</v>
      </c>
      <c r="Q24" s="249">
        <f>F4</f>
        <v>0</v>
      </c>
      <c r="R24" s="248">
        <f t="shared" ref="R24:R43" si="27">L24+N24+P24</f>
        <v>138764.50892587501</v>
      </c>
      <c r="S24" s="249">
        <f t="shared" ref="S24:S43" si="28">M24+O24+Q24</f>
        <v>104138208.5625</v>
      </c>
    </row>
    <row r="25" spans="2:19" x14ac:dyDescent="0.25">
      <c r="B25" s="251">
        <v>2012</v>
      </c>
      <c r="C25" s="245">
        <v>3726100</v>
      </c>
      <c r="D25" s="246">
        <f>'PTT DAN SRI'!G73</f>
        <v>266260.87629225</v>
      </c>
      <c r="E25" s="246">
        <f>'PTT DAN SRI'!G34</f>
        <v>11268.141559500002</v>
      </c>
      <c r="F25" s="247">
        <f>UPPO!H12</f>
        <v>0</v>
      </c>
      <c r="G25" s="245">
        <f t="shared" si="21"/>
        <v>277529.01785175002</v>
      </c>
      <c r="H25" s="245">
        <f t="shared" si="22"/>
        <v>3448570.9821482501</v>
      </c>
      <c r="I25" s="234">
        <f t="shared" si="23"/>
        <v>277.52901785175004</v>
      </c>
      <c r="J25" s="234"/>
      <c r="K25" s="251">
        <v>2012</v>
      </c>
      <c r="L25" s="248">
        <f t="shared" si="24"/>
        <v>266260.87629225</v>
      </c>
      <c r="M25" s="252">
        <f>G7</f>
        <v>193062578.625</v>
      </c>
      <c r="N25" s="248">
        <f t="shared" si="25"/>
        <v>11268.141559500002</v>
      </c>
      <c r="O25" s="252">
        <f>G10</f>
        <v>15213838.5</v>
      </c>
      <c r="P25" s="250">
        <f t="shared" si="26"/>
        <v>0</v>
      </c>
      <c r="Q25" s="249">
        <f>G4</f>
        <v>0</v>
      </c>
      <c r="R25" s="248">
        <f t="shared" si="27"/>
        <v>277529.01785175002</v>
      </c>
      <c r="S25" s="249">
        <f t="shared" si="28"/>
        <v>208276417.125</v>
      </c>
    </row>
    <row r="26" spans="2:19" x14ac:dyDescent="0.25">
      <c r="B26" s="251">
        <v>2013</v>
      </c>
      <c r="C26" s="245">
        <v>3925100</v>
      </c>
      <c r="D26" s="246">
        <f>'PTT DAN SRI'!G74</f>
        <v>399391.314438375</v>
      </c>
      <c r="E26" s="246">
        <f>'PTT DAN SRI'!G35</f>
        <v>16902.212339250003</v>
      </c>
      <c r="F26" s="247">
        <f>UPPO!H13</f>
        <v>0</v>
      </c>
      <c r="G26" s="245">
        <f t="shared" si="21"/>
        <v>416293.52677762503</v>
      </c>
      <c r="H26" s="245">
        <f t="shared" si="22"/>
        <v>3508806.4732223749</v>
      </c>
      <c r="I26" s="234">
        <f t="shared" si="23"/>
        <v>416.293526777625</v>
      </c>
      <c r="J26" s="234"/>
      <c r="K26" s="251">
        <v>2013</v>
      </c>
      <c r="L26" s="248">
        <f t="shared" si="24"/>
        <v>399391.314438375</v>
      </c>
      <c r="M26" s="252">
        <f>H7</f>
        <v>289593867.9375</v>
      </c>
      <c r="N26" s="248">
        <f t="shared" si="25"/>
        <v>16902.212339250003</v>
      </c>
      <c r="O26" s="252">
        <f>H10</f>
        <v>22820757.75</v>
      </c>
      <c r="P26" s="250">
        <f t="shared" si="26"/>
        <v>0</v>
      </c>
      <c r="Q26" s="249">
        <f>H4</f>
        <v>0</v>
      </c>
      <c r="R26" s="248">
        <f t="shared" si="27"/>
        <v>416293.52677762503</v>
      </c>
      <c r="S26" s="249">
        <f t="shared" si="28"/>
        <v>312414625.6875</v>
      </c>
    </row>
    <row r="27" spans="2:19" x14ac:dyDescent="0.25">
      <c r="B27" s="251">
        <v>2014</v>
      </c>
      <c r="C27" s="245">
        <v>4126400</v>
      </c>
      <c r="D27" s="246">
        <f>'PTT DAN SRI'!G75</f>
        <v>532521.75258450001</v>
      </c>
      <c r="E27" s="246">
        <f>'PTT DAN SRI'!G36</f>
        <v>22536.283119000003</v>
      </c>
      <c r="F27" s="247">
        <f>UPPO!H14</f>
        <v>1627.1992000000005</v>
      </c>
      <c r="G27" s="245">
        <f t="shared" si="21"/>
        <v>556685.23490350007</v>
      </c>
      <c r="H27" s="245">
        <f t="shared" si="22"/>
        <v>3569714.7650965001</v>
      </c>
      <c r="I27" s="234">
        <f t="shared" si="23"/>
        <v>556.68523490350003</v>
      </c>
      <c r="J27" s="234"/>
      <c r="K27" s="251">
        <v>2014</v>
      </c>
      <c r="L27" s="248">
        <f t="shared" si="24"/>
        <v>532521.75258450001</v>
      </c>
      <c r="M27" s="252">
        <f>I7</f>
        <v>386125157.25</v>
      </c>
      <c r="N27" s="248">
        <f t="shared" si="25"/>
        <v>22536.283119000003</v>
      </c>
      <c r="O27" s="252">
        <f>I10</f>
        <v>30427677</v>
      </c>
      <c r="P27" s="250">
        <f t="shared" si="26"/>
        <v>1627.1992000000005</v>
      </c>
      <c r="Q27" s="252">
        <f>I4</f>
        <v>9562500</v>
      </c>
      <c r="R27" s="248">
        <f t="shared" si="27"/>
        <v>556685.23490350007</v>
      </c>
      <c r="S27" s="249">
        <f t="shared" si="28"/>
        <v>426115334.25</v>
      </c>
    </row>
    <row r="28" spans="2:19" x14ac:dyDescent="0.25">
      <c r="B28" s="251">
        <v>2015</v>
      </c>
      <c r="C28" s="245">
        <v>4334600</v>
      </c>
      <c r="D28" s="246">
        <f>'PTT DAN SRI'!G76</f>
        <v>665652.19073062507</v>
      </c>
      <c r="E28" s="246">
        <f>'PTT DAN SRI'!G37</f>
        <v>28170.353898750003</v>
      </c>
      <c r="F28" s="247">
        <f>UPPO!H15</f>
        <v>1531.4816000000003</v>
      </c>
      <c r="G28" s="245">
        <f t="shared" si="21"/>
        <v>695354.02622937516</v>
      </c>
      <c r="H28" s="245">
        <f t="shared" si="22"/>
        <v>3639245.973770625</v>
      </c>
      <c r="I28" s="234">
        <f t="shared" si="23"/>
        <v>695.35402622937511</v>
      </c>
      <c r="J28" s="234"/>
      <c r="K28" s="251">
        <v>2015</v>
      </c>
      <c r="L28" s="248">
        <f t="shared" si="24"/>
        <v>665652.19073062507</v>
      </c>
      <c r="M28" s="252">
        <f>J7</f>
        <v>482656446.5625</v>
      </c>
      <c r="N28" s="248">
        <f t="shared" si="25"/>
        <v>28170.353898750003</v>
      </c>
      <c r="O28" s="252">
        <f>J10</f>
        <v>38034596.25</v>
      </c>
      <c r="P28" s="250">
        <f t="shared" si="26"/>
        <v>1531.4816000000003</v>
      </c>
      <c r="Q28" s="252">
        <f>J4</f>
        <v>9000000</v>
      </c>
      <c r="R28" s="248">
        <f t="shared" si="27"/>
        <v>695354.02622937516</v>
      </c>
      <c r="S28" s="249">
        <f t="shared" si="28"/>
        <v>529691042.8125</v>
      </c>
    </row>
    <row r="29" spans="2:19" x14ac:dyDescent="0.25">
      <c r="B29" s="251">
        <v>2016</v>
      </c>
      <c r="C29" s="245">
        <v>4542300</v>
      </c>
      <c r="D29" s="246">
        <f>'PTT DAN SRI'!G77</f>
        <v>798782.62887675001</v>
      </c>
      <c r="E29" s="246">
        <f>'PTT DAN SRI'!G38</f>
        <v>28170.353898750003</v>
      </c>
      <c r="F29" s="247">
        <f>UPPO!H16</f>
        <v>1595.2933333333337</v>
      </c>
      <c r="G29" s="245">
        <f t="shared" si="21"/>
        <v>828548.27610883338</v>
      </c>
      <c r="H29" s="245">
        <f t="shared" si="22"/>
        <v>3713751.7238911665</v>
      </c>
      <c r="I29" s="234">
        <f t="shared" si="23"/>
        <v>828.54827610883342</v>
      </c>
      <c r="J29" s="234"/>
      <c r="K29" s="251">
        <v>2016</v>
      </c>
      <c r="L29" s="248">
        <f t="shared" si="24"/>
        <v>798782.62887675001</v>
      </c>
      <c r="M29" s="252">
        <f>K7</f>
        <v>579187735.875</v>
      </c>
      <c r="N29" s="248">
        <f t="shared" si="25"/>
        <v>28170.353898750003</v>
      </c>
      <c r="O29" s="252">
        <f>K10</f>
        <v>38034596.25</v>
      </c>
      <c r="P29" s="250">
        <f t="shared" si="26"/>
        <v>1595.2933333333337</v>
      </c>
      <c r="Q29" s="252">
        <f>K4</f>
        <v>9375000</v>
      </c>
      <c r="R29" s="248">
        <f t="shared" si="27"/>
        <v>828548.27610883338</v>
      </c>
      <c r="S29" s="249">
        <f t="shared" si="28"/>
        <v>626597332.125</v>
      </c>
    </row>
    <row r="30" spans="2:19" x14ac:dyDescent="0.25">
      <c r="B30" s="251">
        <v>2017</v>
      </c>
      <c r="C30" s="245">
        <v>4751400</v>
      </c>
      <c r="D30" s="246">
        <f>'PTT DAN SRI'!G78</f>
        <v>798782.62887675001</v>
      </c>
      <c r="E30" s="246">
        <f>'PTT DAN SRI'!G39</f>
        <v>28170.353898750003</v>
      </c>
      <c r="F30" s="247">
        <f>UPPO!H17</f>
        <v>2743.9045333333338</v>
      </c>
      <c r="G30" s="245">
        <f t="shared" si="21"/>
        <v>829696.88730883342</v>
      </c>
      <c r="H30" s="245">
        <f t="shared" si="22"/>
        <v>3921703.1126911668</v>
      </c>
      <c r="I30" s="234">
        <f t="shared" si="23"/>
        <v>829.69688730883342</v>
      </c>
      <c r="J30" s="234"/>
      <c r="K30" s="251">
        <v>2017</v>
      </c>
      <c r="L30" s="248">
        <f t="shared" si="24"/>
        <v>798782.62887675001</v>
      </c>
      <c r="M30" s="252">
        <f>L7</f>
        <v>579187735.875</v>
      </c>
      <c r="N30" s="248">
        <f t="shared" si="25"/>
        <v>28170.353898750003</v>
      </c>
      <c r="O30" s="252">
        <f>L10</f>
        <v>38034596.25</v>
      </c>
      <c r="P30" s="250">
        <f t="shared" si="26"/>
        <v>2743.9045333333338</v>
      </c>
      <c r="Q30" s="252">
        <f>L4</f>
        <v>16125000</v>
      </c>
      <c r="R30" s="248">
        <f t="shared" si="27"/>
        <v>829696.88730883342</v>
      </c>
      <c r="S30" s="249">
        <f t="shared" si="28"/>
        <v>633347332.125</v>
      </c>
    </row>
    <row r="31" spans="2:19" x14ac:dyDescent="0.25">
      <c r="B31" s="251">
        <v>2018</v>
      </c>
      <c r="C31" s="245">
        <v>4961800</v>
      </c>
      <c r="D31" s="246">
        <f>'PTT DAN SRI'!G79</f>
        <v>798782.62887675001</v>
      </c>
      <c r="E31" s="246">
        <f>'PTT DAN SRI'!G40</f>
        <v>28170.353898750003</v>
      </c>
      <c r="F31" s="247">
        <f>UPPO!H18</f>
        <v>2743.9045333333338</v>
      </c>
      <c r="G31" s="245">
        <f t="shared" si="21"/>
        <v>829696.88730883342</v>
      </c>
      <c r="H31" s="245">
        <f t="shared" si="22"/>
        <v>4132103.1126911668</v>
      </c>
      <c r="I31" s="234">
        <f t="shared" si="23"/>
        <v>829.69688730883342</v>
      </c>
      <c r="J31" s="234"/>
      <c r="K31" s="251">
        <v>2018</v>
      </c>
      <c r="L31" s="248">
        <f t="shared" si="24"/>
        <v>798782.62887675001</v>
      </c>
      <c r="M31" s="252">
        <f>M7</f>
        <v>579187735.875</v>
      </c>
      <c r="N31" s="248">
        <f t="shared" si="25"/>
        <v>28170.353898750003</v>
      </c>
      <c r="O31" s="252">
        <f>M10</f>
        <v>38034596.25</v>
      </c>
      <c r="P31" s="250">
        <f t="shared" si="26"/>
        <v>2743.9045333333338</v>
      </c>
      <c r="Q31" s="252">
        <f>M4</f>
        <v>16125000</v>
      </c>
      <c r="R31" s="248">
        <f t="shared" si="27"/>
        <v>829696.88730883342</v>
      </c>
      <c r="S31" s="249">
        <f t="shared" si="28"/>
        <v>633347332.125</v>
      </c>
    </row>
    <row r="32" spans="2:19" x14ac:dyDescent="0.25">
      <c r="B32" s="251">
        <v>2019</v>
      </c>
      <c r="C32" s="245">
        <v>5173500</v>
      </c>
      <c r="D32" s="246">
        <f>'PTT DAN SRI'!G80</f>
        <v>798782.62887675001</v>
      </c>
      <c r="E32" s="246">
        <f>'PTT DAN SRI'!G41</f>
        <v>28170.353898750003</v>
      </c>
      <c r="F32" s="247">
        <f>UPPO!H19</f>
        <v>2743.9045333333338</v>
      </c>
      <c r="G32" s="245">
        <f t="shared" si="21"/>
        <v>829696.88730883342</v>
      </c>
      <c r="H32" s="245">
        <f t="shared" si="22"/>
        <v>4343803.1126911668</v>
      </c>
      <c r="I32" s="234">
        <f t="shared" si="23"/>
        <v>829.69688730883342</v>
      </c>
      <c r="J32" s="234"/>
      <c r="K32" s="251">
        <v>2019</v>
      </c>
      <c r="L32" s="248">
        <f t="shared" si="24"/>
        <v>798782.62887675001</v>
      </c>
      <c r="M32" s="252">
        <f>N7</f>
        <v>579187735.875</v>
      </c>
      <c r="N32" s="248">
        <f t="shared" si="25"/>
        <v>28170.353898750003</v>
      </c>
      <c r="O32" s="252">
        <f>N10</f>
        <v>38034596.25</v>
      </c>
      <c r="P32" s="250">
        <f t="shared" si="26"/>
        <v>2743.9045333333338</v>
      </c>
      <c r="Q32" s="252">
        <f>N4</f>
        <v>16125000</v>
      </c>
      <c r="R32" s="248">
        <f t="shared" si="27"/>
        <v>829696.88730883342</v>
      </c>
      <c r="S32" s="249">
        <f t="shared" si="28"/>
        <v>633347332.125</v>
      </c>
    </row>
    <row r="33" spans="2:19" x14ac:dyDescent="0.25">
      <c r="B33" s="251">
        <v>2020</v>
      </c>
      <c r="C33" s="245">
        <v>5386400</v>
      </c>
      <c r="D33" s="246">
        <f>'PTT DAN SRI'!G81</f>
        <v>798782.62887675001</v>
      </c>
      <c r="E33" s="246">
        <f>'PTT DAN SRI'!G42</f>
        <v>28170.353898750003</v>
      </c>
      <c r="F33" s="247">
        <f>UPPO!H20</f>
        <v>2743.9045333333338</v>
      </c>
      <c r="G33" s="245">
        <f t="shared" si="21"/>
        <v>829696.88730883342</v>
      </c>
      <c r="H33" s="245">
        <f t="shared" si="22"/>
        <v>4556703.1126911668</v>
      </c>
      <c r="I33" s="234">
        <f t="shared" si="23"/>
        <v>829.69688730883342</v>
      </c>
      <c r="J33" s="234"/>
      <c r="K33" s="251">
        <v>2020</v>
      </c>
      <c r="L33" s="248">
        <f t="shared" si="24"/>
        <v>798782.62887675001</v>
      </c>
      <c r="M33" s="252">
        <f>O7</f>
        <v>579187735.875</v>
      </c>
      <c r="N33" s="248">
        <f t="shared" si="25"/>
        <v>28170.353898750003</v>
      </c>
      <c r="O33" s="252">
        <f>O10</f>
        <v>38034596.25</v>
      </c>
      <c r="P33" s="250">
        <f t="shared" si="26"/>
        <v>2743.9045333333338</v>
      </c>
      <c r="Q33" s="252">
        <f>O4</f>
        <v>16125000</v>
      </c>
      <c r="R33" s="248">
        <f t="shared" si="27"/>
        <v>829696.88730883342</v>
      </c>
      <c r="S33" s="249">
        <f t="shared" si="28"/>
        <v>633347332.125</v>
      </c>
    </row>
    <row r="34" spans="2:19" x14ac:dyDescent="0.25">
      <c r="B34" s="251">
        <v>2021</v>
      </c>
      <c r="C34" s="245">
        <v>5600500</v>
      </c>
      <c r="D34" s="246">
        <f>'PTT DAN SRI'!G82</f>
        <v>798782.62887675001</v>
      </c>
      <c r="E34" s="246">
        <f>'PTT DAN SRI'!G43</f>
        <v>28170.353898750003</v>
      </c>
      <c r="F34" s="247">
        <f>UPPO!H21</f>
        <v>2743.9045333333338</v>
      </c>
      <c r="G34" s="245">
        <f t="shared" si="21"/>
        <v>829696.88730883342</v>
      </c>
      <c r="H34" s="245">
        <f t="shared" si="22"/>
        <v>4770803.1126911668</v>
      </c>
      <c r="I34" s="234">
        <f t="shared" si="23"/>
        <v>829.69688730883342</v>
      </c>
      <c r="J34" s="234"/>
      <c r="K34" s="251">
        <v>2021</v>
      </c>
      <c r="L34" s="248">
        <f t="shared" si="24"/>
        <v>798782.62887675001</v>
      </c>
      <c r="M34" s="252">
        <f>P7</f>
        <v>579187735.875</v>
      </c>
      <c r="N34" s="248">
        <f t="shared" si="25"/>
        <v>28170.353898750003</v>
      </c>
      <c r="O34" s="252">
        <f>P10</f>
        <v>38034596.25</v>
      </c>
      <c r="P34" s="250">
        <f t="shared" si="26"/>
        <v>2743.9045333333338</v>
      </c>
      <c r="Q34" s="252">
        <f>P4</f>
        <v>16125000</v>
      </c>
      <c r="R34" s="248">
        <f t="shared" si="27"/>
        <v>829696.88730883342</v>
      </c>
      <c r="S34" s="249">
        <f t="shared" si="28"/>
        <v>633347332.125</v>
      </c>
    </row>
    <row r="35" spans="2:19" x14ac:dyDescent="0.25">
      <c r="B35" s="251">
        <v>2022</v>
      </c>
      <c r="C35" s="245">
        <v>5815800</v>
      </c>
      <c r="D35" s="246">
        <f>'PTT DAN SRI'!G83</f>
        <v>798782.62887675001</v>
      </c>
      <c r="E35" s="246">
        <f>'PTT DAN SRI'!G44</f>
        <v>28170.353898750003</v>
      </c>
      <c r="F35" s="247">
        <f>UPPO!H22</f>
        <v>2743.9045333333338</v>
      </c>
      <c r="G35" s="245">
        <f t="shared" si="21"/>
        <v>829696.88730883342</v>
      </c>
      <c r="H35" s="245">
        <f t="shared" si="22"/>
        <v>4986103.1126911668</v>
      </c>
      <c r="I35" s="234">
        <f t="shared" si="23"/>
        <v>829.69688730883342</v>
      </c>
      <c r="J35" s="234"/>
      <c r="K35" s="251">
        <v>2022</v>
      </c>
      <c r="L35" s="248">
        <f t="shared" si="24"/>
        <v>798782.62887675001</v>
      </c>
      <c r="M35" s="252">
        <f>Q7</f>
        <v>579187735.875</v>
      </c>
      <c r="N35" s="248">
        <f t="shared" si="25"/>
        <v>28170.353898750003</v>
      </c>
      <c r="O35" s="252">
        <f>Q10</f>
        <v>38034596.25</v>
      </c>
      <c r="P35" s="250">
        <f t="shared" si="26"/>
        <v>2743.9045333333338</v>
      </c>
      <c r="Q35" s="252">
        <f>Q4</f>
        <v>16125000</v>
      </c>
      <c r="R35" s="248">
        <f t="shared" si="27"/>
        <v>829696.88730883342</v>
      </c>
      <c r="S35" s="249">
        <f t="shared" si="28"/>
        <v>633347332.125</v>
      </c>
    </row>
    <row r="36" spans="2:19" x14ac:dyDescent="0.25">
      <c r="B36" s="251">
        <v>2023</v>
      </c>
      <c r="C36" s="245">
        <v>6032100</v>
      </c>
      <c r="D36" s="246">
        <f>'PTT DAN SRI'!G84</f>
        <v>798782.62887675001</v>
      </c>
      <c r="E36" s="246">
        <f>'PTT DAN SRI'!G45</f>
        <v>28170.353898750003</v>
      </c>
      <c r="F36" s="247">
        <f>UPPO!H23</f>
        <v>2743.9045333333338</v>
      </c>
      <c r="G36" s="245">
        <f t="shared" si="21"/>
        <v>829696.88730883342</v>
      </c>
      <c r="H36" s="245">
        <f t="shared" si="22"/>
        <v>5202403.1126911668</v>
      </c>
      <c r="I36" s="234">
        <f t="shared" si="23"/>
        <v>829.69688730883342</v>
      </c>
      <c r="J36" s="234"/>
      <c r="K36" s="251">
        <v>2023</v>
      </c>
      <c r="L36" s="248">
        <f t="shared" si="24"/>
        <v>798782.62887675001</v>
      </c>
      <c r="M36" s="252">
        <f>R7</f>
        <v>579187735.875</v>
      </c>
      <c r="N36" s="248">
        <f t="shared" si="25"/>
        <v>28170.353898750003</v>
      </c>
      <c r="O36" s="252">
        <f>R10</f>
        <v>38034596.25</v>
      </c>
      <c r="P36" s="250">
        <f t="shared" si="26"/>
        <v>2743.9045333333338</v>
      </c>
      <c r="Q36" s="252">
        <f>R4</f>
        <v>16125000</v>
      </c>
      <c r="R36" s="248">
        <f t="shared" si="27"/>
        <v>829696.88730883342</v>
      </c>
      <c r="S36" s="249">
        <f t="shared" si="28"/>
        <v>633347332.125</v>
      </c>
    </row>
    <row r="37" spans="2:19" x14ac:dyDescent="0.25">
      <c r="B37" s="251">
        <v>2024</v>
      </c>
      <c r="C37" s="245">
        <v>6249500</v>
      </c>
      <c r="D37" s="246">
        <f>'PTT DAN SRI'!G85</f>
        <v>798782.62887675001</v>
      </c>
      <c r="E37" s="246">
        <f>'PTT DAN SRI'!G46</f>
        <v>28170.353898750003</v>
      </c>
      <c r="F37" s="247">
        <f>UPPO!H24</f>
        <v>2743.9045333333338</v>
      </c>
      <c r="G37" s="245">
        <f t="shared" si="21"/>
        <v>829696.88730883342</v>
      </c>
      <c r="H37" s="245">
        <f t="shared" si="22"/>
        <v>5419803.1126911668</v>
      </c>
      <c r="I37" s="234">
        <f t="shared" si="23"/>
        <v>829.69688730883342</v>
      </c>
      <c r="J37" s="234"/>
      <c r="K37" s="251">
        <v>2024</v>
      </c>
      <c r="L37" s="248">
        <f t="shared" si="24"/>
        <v>798782.62887675001</v>
      </c>
      <c r="M37" s="252">
        <f>S7</f>
        <v>579187735.875</v>
      </c>
      <c r="N37" s="248">
        <f t="shared" si="25"/>
        <v>28170.353898750003</v>
      </c>
      <c r="O37" s="252">
        <f>S10</f>
        <v>38034596.25</v>
      </c>
      <c r="P37" s="250">
        <f t="shared" si="26"/>
        <v>2743.9045333333338</v>
      </c>
      <c r="Q37" s="252">
        <f>S4</f>
        <v>16125000</v>
      </c>
      <c r="R37" s="248">
        <f t="shared" si="27"/>
        <v>829696.88730883342</v>
      </c>
      <c r="S37" s="249">
        <f t="shared" si="28"/>
        <v>633347332.125</v>
      </c>
    </row>
    <row r="38" spans="2:19" x14ac:dyDescent="0.25">
      <c r="B38" s="251">
        <v>2025</v>
      </c>
      <c r="C38" s="245">
        <v>6467800</v>
      </c>
      <c r="D38" s="246">
        <f>'PTT DAN SRI'!G86</f>
        <v>798782.62887675001</v>
      </c>
      <c r="E38" s="246">
        <f>'PTT DAN SRI'!G47</f>
        <v>28170.353898750003</v>
      </c>
      <c r="F38" s="247">
        <f>UPPO!H25</f>
        <v>2743.9045333333338</v>
      </c>
      <c r="G38" s="245">
        <f t="shared" si="21"/>
        <v>829696.88730883342</v>
      </c>
      <c r="H38" s="245">
        <f t="shared" si="22"/>
        <v>5638103.1126911668</v>
      </c>
      <c r="I38" s="234">
        <f t="shared" si="23"/>
        <v>829.69688730883342</v>
      </c>
      <c r="J38" s="234"/>
      <c r="K38" s="251">
        <v>2025</v>
      </c>
      <c r="L38" s="248">
        <f t="shared" si="24"/>
        <v>798782.62887675001</v>
      </c>
      <c r="M38" s="252">
        <f>T7</f>
        <v>579187735.875</v>
      </c>
      <c r="N38" s="248">
        <f t="shared" si="25"/>
        <v>28170.353898750003</v>
      </c>
      <c r="O38" s="252">
        <f>T10</f>
        <v>38034596.25</v>
      </c>
      <c r="P38" s="250">
        <f t="shared" si="26"/>
        <v>2743.9045333333338</v>
      </c>
      <c r="Q38" s="252">
        <f>T4</f>
        <v>16125000</v>
      </c>
      <c r="R38" s="248">
        <f t="shared" si="27"/>
        <v>829696.88730883342</v>
      </c>
      <c r="S38" s="249">
        <f t="shared" si="28"/>
        <v>633347332.125</v>
      </c>
    </row>
    <row r="39" spans="2:19" x14ac:dyDescent="0.25">
      <c r="B39" s="251">
        <v>2026</v>
      </c>
      <c r="C39" s="245">
        <v>6687200</v>
      </c>
      <c r="D39" s="246">
        <f>'PTT DAN SRI'!G87</f>
        <v>798782.62887675001</v>
      </c>
      <c r="E39" s="246">
        <f>'PTT DAN SRI'!G48</f>
        <v>28170.353898750003</v>
      </c>
      <c r="F39" s="247">
        <f>UPPO!H26</f>
        <v>2743.9045333333338</v>
      </c>
      <c r="G39" s="245">
        <f t="shared" si="21"/>
        <v>829696.88730883342</v>
      </c>
      <c r="H39" s="245">
        <f t="shared" si="22"/>
        <v>5857503.1126911668</v>
      </c>
      <c r="I39" s="234">
        <f t="shared" si="23"/>
        <v>829.69688730883342</v>
      </c>
      <c r="J39" s="234"/>
      <c r="K39" s="251">
        <v>2026</v>
      </c>
      <c r="L39" s="248">
        <f t="shared" si="24"/>
        <v>798782.62887675001</v>
      </c>
      <c r="M39" s="252">
        <f>U7</f>
        <v>579187735.875</v>
      </c>
      <c r="N39" s="248">
        <f t="shared" si="25"/>
        <v>28170.353898750003</v>
      </c>
      <c r="O39" s="252">
        <f>U10</f>
        <v>38034596.25</v>
      </c>
      <c r="P39" s="250">
        <f t="shared" si="26"/>
        <v>2743.9045333333338</v>
      </c>
      <c r="Q39" s="252">
        <f>U4</f>
        <v>16125000</v>
      </c>
      <c r="R39" s="248">
        <f t="shared" si="27"/>
        <v>829696.88730883342</v>
      </c>
      <c r="S39" s="249">
        <f t="shared" si="28"/>
        <v>633347332.125</v>
      </c>
    </row>
    <row r="40" spans="2:19" x14ac:dyDescent="0.25">
      <c r="B40" s="251">
        <v>2027</v>
      </c>
      <c r="C40" s="245">
        <v>6907500</v>
      </c>
      <c r="D40" s="246">
        <f>'PTT DAN SRI'!G88</f>
        <v>798782.62887675001</v>
      </c>
      <c r="E40" s="246">
        <f>'PTT DAN SRI'!G49</f>
        <v>28170.353898750003</v>
      </c>
      <c r="F40" s="247">
        <f>UPPO!H27</f>
        <v>2743.9045333333338</v>
      </c>
      <c r="G40" s="245">
        <f t="shared" si="21"/>
        <v>829696.88730883342</v>
      </c>
      <c r="H40" s="245">
        <f t="shared" si="22"/>
        <v>6077803.1126911668</v>
      </c>
      <c r="I40" s="234">
        <f t="shared" si="23"/>
        <v>829.69688730883342</v>
      </c>
      <c r="J40" s="234"/>
      <c r="K40" s="251">
        <v>2027</v>
      </c>
      <c r="L40" s="248">
        <f t="shared" si="24"/>
        <v>798782.62887675001</v>
      </c>
      <c r="M40" s="252">
        <f>V7</f>
        <v>579187735.875</v>
      </c>
      <c r="N40" s="248">
        <f t="shared" si="25"/>
        <v>28170.353898750003</v>
      </c>
      <c r="O40" s="252">
        <f>V10</f>
        <v>38034596.25</v>
      </c>
      <c r="P40" s="250">
        <f t="shared" si="26"/>
        <v>2743.9045333333338</v>
      </c>
      <c r="Q40" s="252">
        <f>V4</f>
        <v>16125000</v>
      </c>
      <c r="R40" s="248">
        <f t="shared" si="27"/>
        <v>829696.88730883342</v>
      </c>
      <c r="S40" s="249">
        <f t="shared" si="28"/>
        <v>633347332.125</v>
      </c>
    </row>
    <row r="41" spans="2:19" x14ac:dyDescent="0.25">
      <c r="B41" s="251">
        <v>2028</v>
      </c>
      <c r="C41" s="245">
        <v>7128700</v>
      </c>
      <c r="D41" s="246">
        <f>'PTT DAN SRI'!G89</f>
        <v>798782.62887675001</v>
      </c>
      <c r="E41" s="246">
        <f>'PTT DAN SRI'!G50</f>
        <v>28170.353898750003</v>
      </c>
      <c r="F41" s="247">
        <f>UPPO!H28</f>
        <v>2743.9045333333338</v>
      </c>
      <c r="G41" s="245">
        <f t="shared" si="21"/>
        <v>829696.88730883342</v>
      </c>
      <c r="H41" s="245">
        <f t="shared" si="22"/>
        <v>6299003.1126911668</v>
      </c>
      <c r="I41" s="234">
        <f t="shared" si="23"/>
        <v>829.69688730883342</v>
      </c>
      <c r="J41" s="234"/>
      <c r="K41" s="251">
        <v>2028</v>
      </c>
      <c r="L41" s="248">
        <f t="shared" si="24"/>
        <v>798782.62887675001</v>
      </c>
      <c r="M41" s="252">
        <f>W7</f>
        <v>579187735.875</v>
      </c>
      <c r="N41" s="248">
        <f t="shared" si="25"/>
        <v>28170.353898750003</v>
      </c>
      <c r="O41" s="252">
        <f>W10</f>
        <v>38034596.25</v>
      </c>
      <c r="P41" s="250">
        <f t="shared" si="26"/>
        <v>2743.9045333333338</v>
      </c>
      <c r="Q41" s="252">
        <f>W4</f>
        <v>16125000</v>
      </c>
      <c r="R41" s="248">
        <f t="shared" si="27"/>
        <v>829696.88730883342</v>
      </c>
      <c r="S41" s="249">
        <f t="shared" si="28"/>
        <v>633347332.125</v>
      </c>
    </row>
    <row r="42" spans="2:19" x14ac:dyDescent="0.25">
      <c r="B42" s="251">
        <v>2029</v>
      </c>
      <c r="C42" s="245">
        <v>7350700</v>
      </c>
      <c r="D42" s="246">
        <f>'PTT DAN SRI'!G90</f>
        <v>798782.62887675001</v>
      </c>
      <c r="E42" s="246">
        <f>'PTT DAN SRI'!G51</f>
        <v>28170.353898750003</v>
      </c>
      <c r="F42" s="247">
        <f>UPPO!H29</f>
        <v>2743.9045333333338</v>
      </c>
      <c r="G42" s="245">
        <f t="shared" si="21"/>
        <v>829696.88730883342</v>
      </c>
      <c r="H42" s="245">
        <f t="shared" si="22"/>
        <v>6521003.1126911668</v>
      </c>
      <c r="I42" s="234">
        <f t="shared" si="23"/>
        <v>829.69688730883342</v>
      </c>
      <c r="J42" s="234"/>
      <c r="K42" s="251">
        <v>2029</v>
      </c>
      <c r="L42" s="248">
        <f t="shared" si="24"/>
        <v>798782.62887675001</v>
      </c>
      <c r="M42" s="252">
        <f>X7</f>
        <v>579187735.875</v>
      </c>
      <c r="N42" s="248">
        <f t="shared" si="25"/>
        <v>28170.353898750003</v>
      </c>
      <c r="O42" s="252">
        <f>X10</f>
        <v>38034596.25</v>
      </c>
      <c r="P42" s="250">
        <f t="shared" si="26"/>
        <v>2743.9045333333338</v>
      </c>
      <c r="Q42" s="252">
        <f>X4</f>
        <v>16125000</v>
      </c>
      <c r="R42" s="248">
        <f t="shared" si="27"/>
        <v>829696.88730883342</v>
      </c>
      <c r="S42" s="249">
        <f t="shared" si="28"/>
        <v>633347332.125</v>
      </c>
    </row>
    <row r="43" spans="2:19" x14ac:dyDescent="0.25">
      <c r="B43" s="251">
        <v>2030</v>
      </c>
      <c r="C43" s="245">
        <v>7573600</v>
      </c>
      <c r="D43" s="246">
        <f>'PTT DAN SRI'!G91</f>
        <v>798782.62887675001</v>
      </c>
      <c r="E43" s="246">
        <f>'PTT DAN SRI'!G52</f>
        <v>28170.353898750003</v>
      </c>
      <c r="F43" s="247">
        <f>UPPO!H30</f>
        <v>2743.9045333333338</v>
      </c>
      <c r="G43" s="245">
        <f t="shared" si="21"/>
        <v>829696.88730883342</v>
      </c>
      <c r="H43" s="245">
        <f t="shared" si="22"/>
        <v>6743903.1126911668</v>
      </c>
      <c r="I43" s="234">
        <f t="shared" si="23"/>
        <v>829.69688730883342</v>
      </c>
      <c r="J43" s="234"/>
      <c r="K43" s="251">
        <v>2030</v>
      </c>
      <c r="L43" s="248">
        <f t="shared" si="24"/>
        <v>798782.62887675001</v>
      </c>
      <c r="M43" s="252">
        <f>Y7</f>
        <v>579187735.875</v>
      </c>
      <c r="N43" s="248">
        <f t="shared" si="25"/>
        <v>28170.353898750003</v>
      </c>
      <c r="O43" s="252">
        <f>Y10</f>
        <v>38034596.25</v>
      </c>
      <c r="P43" s="250">
        <f t="shared" si="26"/>
        <v>2743.9045333333338</v>
      </c>
      <c r="Q43" s="252">
        <f>Y4</f>
        <v>16125000</v>
      </c>
      <c r="R43" s="248">
        <f t="shared" si="27"/>
        <v>829696.88730883342</v>
      </c>
      <c r="S43" s="249">
        <f t="shared" si="28"/>
        <v>633347332.125</v>
      </c>
    </row>
    <row r="44" spans="2:19" x14ac:dyDescent="0.25">
      <c r="B44" s="253" t="s">
        <v>202</v>
      </c>
      <c r="C44" s="253"/>
      <c r="D44" s="253"/>
      <c r="E44" s="253"/>
      <c r="F44" s="253"/>
      <c r="G44" s="254"/>
      <c r="H44" s="255">
        <f>G43/C43</f>
        <v>0.10955118930347964</v>
      </c>
      <c r="I44" s="234"/>
      <c r="J44" s="234"/>
      <c r="K44" s="241" t="s">
        <v>110</v>
      </c>
      <c r="L44" s="256">
        <f>SUM(L23:L43)</f>
        <v>13978696.005343124</v>
      </c>
      <c r="M44" s="256">
        <f t="shared" ref="M44:Q44" si="29">SUM(M23:M43)</f>
        <v>10135785377.8125</v>
      </c>
      <c r="N44" s="256">
        <f t="shared" si="29"/>
        <v>507066.37017749989</v>
      </c>
      <c r="O44" s="256">
        <f t="shared" si="29"/>
        <v>684622732.5</v>
      </c>
      <c r="P44" s="256">
        <f t="shared" si="29"/>
        <v>43168.637600000009</v>
      </c>
      <c r="Q44" s="256">
        <f t="shared" si="29"/>
        <v>253687500</v>
      </c>
      <c r="R44" s="256">
        <f t="shared" ref="R44" si="30">SUM(R23:R43)</f>
        <v>14528931.013120631</v>
      </c>
      <c r="S44" s="256">
        <f t="shared" ref="S44" si="31">SUM(S23:S43)</f>
        <v>11074095610.3125</v>
      </c>
    </row>
    <row r="45" spans="2:19" ht="75" x14ac:dyDescent="0.25">
      <c r="B45" s="234"/>
      <c r="C45" s="234"/>
      <c r="D45" s="234"/>
      <c r="E45" s="234"/>
      <c r="F45" s="234"/>
      <c r="G45" s="234"/>
      <c r="H45" s="234"/>
      <c r="I45" s="234"/>
      <c r="J45" s="234"/>
      <c r="K45" s="257" t="s">
        <v>223</v>
      </c>
      <c r="L45" s="258"/>
      <c r="M45" s="259">
        <f>M44/L44</f>
        <v>725.08804640563505</v>
      </c>
      <c r="N45" s="259"/>
      <c r="O45" s="259">
        <f t="shared" ref="O45" si="32">O44/N44</f>
        <v>1350.1639484794584</v>
      </c>
      <c r="P45" s="259"/>
      <c r="Q45" s="259">
        <f>Q44/P44</f>
        <v>5876.6621812498424</v>
      </c>
      <c r="R45" s="259"/>
      <c r="S45" s="259">
        <f>S44/R44</f>
        <v>762.20993824747495</v>
      </c>
    </row>
    <row r="46" spans="2:19" x14ac:dyDescent="0.25">
      <c r="D46" s="133"/>
      <c r="E46" s="133"/>
      <c r="F46" s="133"/>
    </row>
    <row r="52" spans="5:5" x14ac:dyDescent="0.25">
      <c r="E52" s="108"/>
    </row>
    <row r="53" spans="5:5" x14ac:dyDescent="0.25">
      <c r="E53" s="108"/>
    </row>
    <row r="54" spans="5:5" x14ac:dyDescent="0.25">
      <c r="E54" s="108"/>
    </row>
    <row r="55" spans="5:5" x14ac:dyDescent="0.25">
      <c r="E55" s="108"/>
    </row>
  </sheetData>
  <mergeCells count="16">
    <mergeCell ref="A9:A11"/>
    <mergeCell ref="B9:B11"/>
    <mergeCell ref="D9:D11"/>
    <mergeCell ref="A3:A5"/>
    <mergeCell ref="B3:B5"/>
    <mergeCell ref="D3:D5"/>
    <mergeCell ref="A6:A8"/>
    <mergeCell ref="B6:B8"/>
    <mergeCell ref="D6:D8"/>
    <mergeCell ref="B15:D15"/>
    <mergeCell ref="B16:D16"/>
    <mergeCell ref="E1:Y1"/>
    <mergeCell ref="A1:A2"/>
    <mergeCell ref="B1:B2"/>
    <mergeCell ref="C1:C2"/>
    <mergeCell ref="D1:D2"/>
  </mergeCells>
  <pageMargins left="0.7" right="0.7" top="0.75" bottom="0.75" header="0.3" footer="0.3"/>
  <pageSetup paperSize="9" orientation="portrait" horizontalDpi="0" verticalDpi="0" r:id="rId1"/>
  <ignoredErrors>
    <ignoredError sqref="O4:Y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workbookViewId="0">
      <selection activeCell="H28" sqref="H28"/>
    </sheetView>
  </sheetViews>
  <sheetFormatPr defaultRowHeight="14.25" x14ac:dyDescent="0.25"/>
  <cols>
    <col min="1" max="1" width="3.85546875" style="1" customWidth="1"/>
    <col min="2" max="2" width="17" style="21" customWidth="1"/>
    <col min="3" max="3" width="23" style="1" customWidth="1"/>
    <col min="4" max="12" width="12.28515625" style="22" customWidth="1"/>
    <col min="13" max="17" width="11.42578125" style="22" customWidth="1"/>
    <col min="18" max="16384" width="9.140625" style="1"/>
  </cols>
  <sheetData>
    <row r="1" spans="1:17" ht="23.25" x14ac:dyDescent="0.25">
      <c r="A1" s="183" t="s">
        <v>48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7" ht="20.25" x14ac:dyDescent="0.25">
      <c r="A2" s="2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20.25" x14ac:dyDescent="0.25">
      <c r="A3" s="5" t="s">
        <v>0</v>
      </c>
      <c r="B3" s="6"/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s="9" customFormat="1" ht="15" x14ac:dyDescent="0.25">
      <c r="A4" s="184" t="s">
        <v>1</v>
      </c>
      <c r="B4" s="185" t="s">
        <v>2</v>
      </c>
      <c r="C4" s="184" t="s">
        <v>3</v>
      </c>
      <c r="D4" s="186" t="s">
        <v>4</v>
      </c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</row>
    <row r="5" spans="1:17" s="9" customFormat="1" ht="15" x14ac:dyDescent="0.25">
      <c r="A5" s="184"/>
      <c r="B5" s="185"/>
      <c r="C5" s="184"/>
      <c r="D5" s="10">
        <v>2005</v>
      </c>
      <c r="E5" s="10">
        <v>2006</v>
      </c>
      <c r="F5" s="10">
        <v>2007</v>
      </c>
      <c r="G5" s="10">
        <v>2008</v>
      </c>
      <c r="H5" s="10">
        <v>2009</v>
      </c>
      <c r="I5" s="10">
        <v>2010</v>
      </c>
      <c r="J5" s="10">
        <v>2011</v>
      </c>
      <c r="K5" s="10" t="s">
        <v>5</v>
      </c>
      <c r="L5" s="10" t="s">
        <v>6</v>
      </c>
      <c r="M5" s="10">
        <v>2014</v>
      </c>
      <c r="N5" s="11">
        <v>2015</v>
      </c>
      <c r="O5" s="11">
        <v>2016</v>
      </c>
      <c r="P5" s="11">
        <v>2017</v>
      </c>
      <c r="Q5" s="11">
        <v>2018</v>
      </c>
    </row>
    <row r="6" spans="1:17" x14ac:dyDescent="0.25">
      <c r="A6" s="175" t="s">
        <v>7</v>
      </c>
      <c r="B6" s="176" t="s">
        <v>8</v>
      </c>
      <c r="C6" s="12" t="s">
        <v>9</v>
      </c>
      <c r="D6" s="13">
        <f>'[1]TAHUN 2005'!Q118-(D7+D8+D9+D10+D11)</f>
        <v>925900.03</v>
      </c>
      <c r="E6" s="13">
        <f>'[1]TAHUN 2006'!Q118-(E7+E8+E9+E10+E11)</f>
        <v>926044</v>
      </c>
      <c r="F6" s="13">
        <f>'[1]TAHUN-2007'!T130-(F7+F8+F9+F10+F11)</f>
        <v>933204.23</v>
      </c>
      <c r="G6" s="13">
        <f>'[1]Tahun-2008'!T132-(G7+G8+G9+G10+G11)</f>
        <v>790262.95</v>
      </c>
      <c r="H6" s="13">
        <v>741253</v>
      </c>
      <c r="I6" s="13">
        <v>769497</v>
      </c>
      <c r="J6" s="13">
        <v>763087</v>
      </c>
      <c r="K6" s="13">
        <v>647516</v>
      </c>
      <c r="L6" s="13">
        <v>595844.48</v>
      </c>
      <c r="M6" s="13">
        <v>402784.67999999993</v>
      </c>
      <c r="N6" s="13">
        <v>911304</v>
      </c>
      <c r="O6" s="13">
        <v>566434.56000000006</v>
      </c>
      <c r="P6" s="13">
        <f>931712.9-(P7+P8+P9+P10+P11)</f>
        <v>837822.68</v>
      </c>
      <c r="Q6" s="13">
        <f>931712.9-(Q7+Q8+Q9+Q10+Q11)</f>
        <v>889459.59000000008</v>
      </c>
    </row>
    <row r="7" spans="1:17" x14ac:dyDescent="0.25">
      <c r="A7" s="175"/>
      <c r="B7" s="176"/>
      <c r="C7" s="12" t="s">
        <v>10</v>
      </c>
      <c r="D7" s="13"/>
      <c r="E7" s="13"/>
      <c r="F7" s="13"/>
      <c r="G7" s="13">
        <f>[2]Inbrida!G31+[2]Hibrida!G29</f>
        <v>152015</v>
      </c>
      <c r="H7" s="13">
        <v>200500</v>
      </c>
      <c r="I7" s="13">
        <v>166310</v>
      </c>
      <c r="J7" s="13">
        <v>170500</v>
      </c>
      <c r="K7" s="13">
        <v>247900</v>
      </c>
      <c r="L7" s="13">
        <v>298093.84999999998</v>
      </c>
      <c r="M7" s="13">
        <v>499315.65</v>
      </c>
      <c r="N7" s="13">
        <v>16500</v>
      </c>
      <c r="O7" s="25">
        <v>0</v>
      </c>
      <c r="P7" s="13">
        <v>0</v>
      </c>
      <c r="Q7" s="13">
        <v>0</v>
      </c>
    </row>
    <row r="8" spans="1:17" x14ac:dyDescent="0.25">
      <c r="A8" s="175"/>
      <c r="B8" s="176"/>
      <c r="C8" s="12" t="s">
        <v>11</v>
      </c>
      <c r="D8" s="13"/>
      <c r="E8" s="13"/>
      <c r="F8" s="13">
        <v>200</v>
      </c>
      <c r="G8" s="13">
        <v>225</v>
      </c>
      <c r="H8" s="13">
        <v>2250</v>
      </c>
      <c r="I8" s="13">
        <v>3100</v>
      </c>
      <c r="J8" s="13">
        <v>3000</v>
      </c>
      <c r="K8" s="13">
        <v>22100</v>
      </c>
      <c r="L8" s="13">
        <v>48700</v>
      </c>
      <c r="M8" s="13">
        <v>35420</v>
      </c>
      <c r="N8" s="13">
        <v>0</v>
      </c>
      <c r="O8" s="13">
        <v>0</v>
      </c>
      <c r="P8" s="13">
        <v>0</v>
      </c>
      <c r="Q8" s="13">
        <v>0</v>
      </c>
    </row>
    <row r="9" spans="1:17" x14ac:dyDescent="0.25">
      <c r="A9" s="175"/>
      <c r="B9" s="176"/>
      <c r="C9" s="12" t="s">
        <v>12</v>
      </c>
      <c r="D9" s="13"/>
      <c r="E9" s="13">
        <v>738</v>
      </c>
      <c r="F9" s="13">
        <v>1441</v>
      </c>
      <c r="G9" s="13">
        <v>2571</v>
      </c>
      <c r="H9" s="13">
        <v>5911</v>
      </c>
      <c r="I9" s="13">
        <v>3504</v>
      </c>
      <c r="J9" s="13">
        <v>6429</v>
      </c>
      <c r="K9" s="13">
        <v>25500</v>
      </c>
      <c r="L9" s="13">
        <v>377.6699999999999</v>
      </c>
      <c r="M9" s="13">
        <v>537.66999999999985</v>
      </c>
      <c r="N9" s="14">
        <v>8725</v>
      </c>
      <c r="O9" s="14">
        <v>3653.69</v>
      </c>
      <c r="P9" s="14">
        <v>3702.2200000000003</v>
      </c>
      <c r="Q9" s="14">
        <v>6508.31</v>
      </c>
    </row>
    <row r="10" spans="1:17" x14ac:dyDescent="0.25">
      <c r="A10" s="175"/>
      <c r="B10" s="176"/>
      <c r="C10" s="12" t="s">
        <v>49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>
        <v>359743</v>
      </c>
      <c r="P10" s="13">
        <v>90188</v>
      </c>
      <c r="Q10" s="13">
        <v>35745</v>
      </c>
    </row>
    <row r="11" spans="1:17" x14ac:dyDescent="0.25">
      <c r="A11" s="175"/>
      <c r="B11" s="176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s="17" customFormat="1" ht="15" x14ac:dyDescent="0.25">
      <c r="A12" s="175"/>
      <c r="B12" s="176"/>
      <c r="C12" s="15" t="s">
        <v>36</v>
      </c>
      <c r="D12" s="16">
        <f>SUM(D6:D11)</f>
        <v>925900.03</v>
      </c>
      <c r="E12" s="16">
        <f t="shared" ref="E12:Q12" si="0">SUM(E6:E11)</f>
        <v>926782</v>
      </c>
      <c r="F12" s="16">
        <f t="shared" si="0"/>
        <v>934845.23</v>
      </c>
      <c r="G12" s="16">
        <f t="shared" si="0"/>
        <v>945073.95</v>
      </c>
      <c r="H12" s="16">
        <f t="shared" si="0"/>
        <v>949914</v>
      </c>
      <c r="I12" s="16">
        <f t="shared" si="0"/>
        <v>942411</v>
      </c>
      <c r="J12" s="16">
        <f t="shared" si="0"/>
        <v>943016</v>
      </c>
      <c r="K12" s="16">
        <f t="shared" si="0"/>
        <v>943016</v>
      </c>
      <c r="L12" s="16">
        <f t="shared" si="0"/>
        <v>943016</v>
      </c>
      <c r="M12" s="16">
        <f t="shared" si="0"/>
        <v>938058</v>
      </c>
      <c r="N12" s="16">
        <f t="shared" si="0"/>
        <v>936529</v>
      </c>
      <c r="O12" s="16">
        <f t="shared" si="0"/>
        <v>929831.25</v>
      </c>
      <c r="P12" s="16">
        <f t="shared" si="0"/>
        <v>931712.9</v>
      </c>
      <c r="Q12" s="16">
        <f t="shared" si="0"/>
        <v>931712.90000000014</v>
      </c>
    </row>
    <row r="13" spans="1:17" x14ac:dyDescent="0.25">
      <c r="A13" s="175" t="s">
        <v>13</v>
      </c>
      <c r="B13" s="176" t="s">
        <v>14</v>
      </c>
      <c r="C13" s="12" t="s">
        <v>9</v>
      </c>
      <c r="D13" s="13">
        <f>'[3]padi 2001-2011'!AI110-(D14+D15+D16+D17+D18)</f>
        <v>9787217</v>
      </c>
      <c r="E13" s="13">
        <f>'[3]padi 2001-2011'!AJ110-(E14+E15+E16+E17+E18)</f>
        <v>9418572</v>
      </c>
      <c r="F13" s="13">
        <f>'[3]padi 2001-2011'!AK110-(F14+F15+F16+F17+F18)</f>
        <v>9914020</v>
      </c>
      <c r="G13" s="13">
        <f>'[3]padi 2001-2011'!AL110-(G14+G15+G16+G17+G18)</f>
        <v>9128859.3142203949</v>
      </c>
      <c r="H13" s="13">
        <v>9942185.6862785723</v>
      </c>
      <c r="I13" s="13">
        <v>10401612.714963475</v>
      </c>
      <c r="J13" s="13">
        <v>10275765.756589714</v>
      </c>
      <c r="K13" s="13">
        <v>9272491.2864492238</v>
      </c>
      <c r="L13" s="13">
        <v>10090600.560884221</v>
      </c>
      <c r="M13" s="13">
        <v>8201994.4117142372</v>
      </c>
      <c r="N13" s="13">
        <v>11206425.440746561</v>
      </c>
      <c r="O13" s="13">
        <v>10398599.398119021</v>
      </c>
      <c r="P13" s="13">
        <v>11644095.38612764</v>
      </c>
      <c r="Q13" s="13"/>
    </row>
    <row r="14" spans="1:17" x14ac:dyDescent="0.25">
      <c r="A14" s="175"/>
      <c r="B14" s="176"/>
      <c r="C14" s="12" t="s">
        <v>10</v>
      </c>
      <c r="D14" s="13"/>
      <c r="E14" s="13"/>
      <c r="F14" s="13"/>
      <c r="G14" s="13">
        <v>982211.68577960529</v>
      </c>
      <c r="H14" s="13">
        <v>1362496.3137214277</v>
      </c>
      <c r="I14" s="13">
        <v>1293632.2850365252</v>
      </c>
      <c r="J14" s="13">
        <v>1293755.243410286</v>
      </c>
      <c r="K14" s="13">
        <v>1835106.0845507749</v>
      </c>
      <c r="L14" s="18">
        <v>1990295.419115779</v>
      </c>
      <c r="M14" s="18">
        <v>3291247.9782857625</v>
      </c>
      <c r="N14" s="18">
        <v>97705.559253440006</v>
      </c>
      <c r="O14" s="18"/>
      <c r="P14" s="18"/>
      <c r="Q14" s="18"/>
    </row>
    <row r="15" spans="1:17" x14ac:dyDescent="0.25">
      <c r="A15" s="175"/>
      <c r="B15" s="176"/>
      <c r="C15" s="12" t="s">
        <v>11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25">
      <c r="A16" s="175"/>
      <c r="B16" s="176"/>
      <c r="C16" s="12" t="s">
        <v>12</v>
      </c>
      <c r="D16" s="13"/>
      <c r="E16" s="13"/>
      <c r="F16" s="13"/>
      <c r="G16" s="13"/>
      <c r="H16" s="13">
        <v>18000</v>
      </c>
      <c r="I16" s="13">
        <v>41825</v>
      </c>
      <c r="J16" s="13">
        <v>64315</v>
      </c>
      <c r="K16" s="13">
        <v>164263</v>
      </c>
      <c r="L16" s="13">
        <v>2266.0199999999995</v>
      </c>
      <c r="M16" s="13">
        <v>94388.61</v>
      </c>
      <c r="N16" s="14">
        <v>69013</v>
      </c>
      <c r="O16" s="14">
        <v>18268.45</v>
      </c>
      <c r="P16" s="14">
        <v>18511.100000000002</v>
      </c>
      <c r="Q16" s="13"/>
    </row>
    <row r="17" spans="1:17" x14ac:dyDescent="0.25">
      <c r="A17" s="175"/>
      <c r="B17" s="176"/>
      <c r="C17" s="12" t="s">
        <v>49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8">
        <v>2123682.2847809801</v>
      </c>
      <c r="P17" s="13">
        <v>637094.51387236104</v>
      </c>
      <c r="Q17" s="13"/>
    </row>
    <row r="18" spans="1:17" x14ac:dyDescent="0.25">
      <c r="A18" s="175"/>
      <c r="B18" s="176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s="17" customFormat="1" ht="15" x14ac:dyDescent="0.25">
      <c r="A19" s="175"/>
      <c r="B19" s="176"/>
      <c r="C19" s="15" t="s">
        <v>36</v>
      </c>
      <c r="D19" s="16">
        <f>SUM(D13:D18)</f>
        <v>9787217</v>
      </c>
      <c r="E19" s="16">
        <f t="shared" ref="E19:Q19" si="1">SUM(E13:E18)</f>
        <v>9418572</v>
      </c>
      <c r="F19" s="16">
        <f t="shared" si="1"/>
        <v>9914020</v>
      </c>
      <c r="G19" s="16">
        <f t="shared" si="1"/>
        <v>10111071</v>
      </c>
      <c r="H19" s="16">
        <f t="shared" si="1"/>
        <v>11322682</v>
      </c>
      <c r="I19" s="16">
        <f t="shared" si="1"/>
        <v>11737070</v>
      </c>
      <c r="J19" s="16">
        <f t="shared" si="1"/>
        <v>11633836</v>
      </c>
      <c r="K19" s="16">
        <f t="shared" si="1"/>
        <v>11271860.370999999</v>
      </c>
      <c r="L19" s="16">
        <f t="shared" si="1"/>
        <v>12083162</v>
      </c>
      <c r="M19" s="16">
        <f t="shared" si="1"/>
        <v>11587631</v>
      </c>
      <c r="N19" s="16">
        <f t="shared" si="1"/>
        <v>11373144</v>
      </c>
      <c r="O19" s="16">
        <f t="shared" si="1"/>
        <v>12540550.1329</v>
      </c>
      <c r="P19" s="16">
        <f t="shared" si="1"/>
        <v>12299701</v>
      </c>
      <c r="Q19" s="16">
        <f t="shared" si="1"/>
        <v>0</v>
      </c>
    </row>
    <row r="20" spans="1:17" x14ac:dyDescent="0.25">
      <c r="A20" s="177" t="s">
        <v>15</v>
      </c>
      <c r="B20" s="179" t="s">
        <v>16</v>
      </c>
      <c r="C20" s="12" t="s">
        <v>17</v>
      </c>
      <c r="D20" s="13">
        <f>[4]Lamp5!W20+'[5]Lamp 7'!X20</f>
        <v>780533</v>
      </c>
      <c r="E20" s="13">
        <f>'[6]Lamp 7'!X19+'[7]Lamp 7'!X20</f>
        <v>887610</v>
      </c>
      <c r="F20" s="13">
        <f>'[8]Lamp 5'!X20+'[9]Lamp 7'!X20</f>
        <v>1096349</v>
      </c>
      <c r="G20" s="13">
        <f>'[10]Lamp 5 Mar'!X20+'[11]Lamp 5 '!Y20</f>
        <v>1176088</v>
      </c>
      <c r="H20" s="13">
        <v>1005725</v>
      </c>
      <c r="I20" s="13">
        <v>1027539</v>
      </c>
      <c r="J20" s="13">
        <v>1254128</v>
      </c>
      <c r="K20" s="13">
        <v>1262570.1428571492</v>
      </c>
      <c r="L20" s="13">
        <f>317879.96+200534</f>
        <v>518413.96</v>
      </c>
      <c r="M20" s="13">
        <f>510621.959</f>
        <v>510621.95899999997</v>
      </c>
      <c r="N20" s="13">
        <v>732535</v>
      </c>
      <c r="O20" s="13">
        <f>292358+257570</f>
        <v>549928</v>
      </c>
      <c r="P20" s="13">
        <f>331209+314432</f>
        <v>645641</v>
      </c>
      <c r="Q20" s="13"/>
    </row>
    <row r="21" spans="1:17" x14ac:dyDescent="0.25">
      <c r="A21" s="178"/>
      <c r="B21" s="180"/>
      <c r="C21" s="19" t="s">
        <v>18</v>
      </c>
      <c r="D21" s="13">
        <f>[4]Lamp5!W30+'[5]Lamp 7'!X32</f>
        <v>477293</v>
      </c>
      <c r="E21" s="13">
        <f>'[6]Lamp 7'!X31+'[7]Lamp 7'!X32</f>
        <v>381370</v>
      </c>
      <c r="F21" s="13">
        <f>'[8]Lamp 5'!X34+'[9]Lamp 7'!X34</f>
        <v>235142</v>
      </c>
      <c r="G21" s="13">
        <f>'[10]Lamp 5 Mar'!X34+'[11]Lamp 5 '!Y34</f>
        <v>180953</v>
      </c>
      <c r="H21" s="13">
        <v>144708</v>
      </c>
      <c r="I21" s="13">
        <v>104524</v>
      </c>
      <c r="J21" s="13">
        <v>77342</v>
      </c>
      <c r="K21" s="13">
        <v>34664</v>
      </c>
      <c r="L21" s="13">
        <f>35494+42531</f>
        <v>78025</v>
      </c>
      <c r="M21" s="13">
        <v>83702.353000000003</v>
      </c>
      <c r="N21" s="13">
        <v>176921.5</v>
      </c>
      <c r="O21" s="13">
        <f>75869+59695</f>
        <v>135564</v>
      </c>
      <c r="P21" s="13">
        <f>98719+75289</f>
        <v>174008</v>
      </c>
      <c r="Q21" s="13"/>
    </row>
    <row r="22" spans="1:17" x14ac:dyDescent="0.25">
      <c r="A22" s="178"/>
      <c r="B22" s="180"/>
      <c r="C22" s="19" t="s">
        <v>40</v>
      </c>
      <c r="D22" s="13">
        <f>'[5]Lamp 7'!X33</f>
        <v>471</v>
      </c>
      <c r="E22" s="13">
        <f>'[6]Lamp 7'!X32+'[7]Lamp 7'!X33</f>
        <v>7288</v>
      </c>
      <c r="F22" s="13">
        <f>'[8]Lamp 5'!X35+'[9]Lamp 7'!X35</f>
        <v>381</v>
      </c>
      <c r="G22" s="13">
        <f>'[10]Lamp 5 Mar'!X35+'[11]Lamp 5 '!Y34</f>
        <v>98209</v>
      </c>
      <c r="H22" s="13">
        <v>29762</v>
      </c>
      <c r="I22" s="13">
        <v>24637</v>
      </c>
      <c r="J22" s="13">
        <v>20328</v>
      </c>
      <c r="K22" s="13">
        <v>43532.285714285448</v>
      </c>
      <c r="L22" s="13">
        <v>966</v>
      </c>
      <c r="M22" s="13">
        <v>6813</v>
      </c>
      <c r="N22" s="13">
        <v>0</v>
      </c>
      <c r="O22" s="13">
        <f>0</f>
        <v>0</v>
      </c>
      <c r="P22" s="13">
        <f>0</f>
        <v>0</v>
      </c>
      <c r="Q22" s="13"/>
    </row>
    <row r="23" spans="1:17" x14ac:dyDescent="0.25">
      <c r="A23" s="178"/>
      <c r="B23" s="180"/>
      <c r="C23" s="19" t="s">
        <v>42</v>
      </c>
      <c r="D23" s="13">
        <f>[4]Lamp5!W19+'[5]Lamp 7'!X19</f>
        <v>13930</v>
      </c>
      <c r="E23" s="13">
        <f>'[6]Lamp 7'!X18+'[7]Lamp 7'!X19</f>
        <v>56583</v>
      </c>
      <c r="F23" s="13">
        <f>'[8]Lamp 5'!X19+'[9]Lamp 7'!X19</f>
        <v>131037</v>
      </c>
      <c r="G23" s="13">
        <f>'[10]Lamp 5 Mar'!X19+'[11]Lamp 5 '!Y19</f>
        <v>205055</v>
      </c>
      <c r="H23" s="13">
        <v>131732</v>
      </c>
      <c r="I23" s="13">
        <v>73326</v>
      </c>
      <c r="J23" s="13">
        <v>39132</v>
      </c>
      <c r="K23" s="13">
        <v>28655</v>
      </c>
      <c r="L23" s="13">
        <f>8503+2652</f>
        <v>11155</v>
      </c>
      <c r="M23" s="13">
        <v>13126</v>
      </c>
      <c r="N23" s="13">
        <v>5065</v>
      </c>
      <c r="O23" s="13">
        <f>1282+336</f>
        <v>1618</v>
      </c>
      <c r="P23" s="13">
        <f>1474+599</f>
        <v>2073</v>
      </c>
      <c r="Q23" s="13"/>
    </row>
    <row r="24" spans="1:17" x14ac:dyDescent="0.25">
      <c r="A24" s="178"/>
      <c r="B24" s="180"/>
      <c r="C24" s="12" t="s">
        <v>19</v>
      </c>
      <c r="D24" s="13">
        <v>0</v>
      </c>
      <c r="E24" s="13">
        <f>'[6]Lamp 7'!X38+'[7]Lamp 7'!X39</f>
        <v>1336</v>
      </c>
      <c r="F24" s="13">
        <f>'[8]Lamp 5'!X43+'[9]Lamp 7'!X44</f>
        <v>22135</v>
      </c>
      <c r="G24" s="13">
        <f>'[10]Lamp 5 Mar'!X44+'[11]Lamp 5 '!Y43</f>
        <v>51368</v>
      </c>
      <c r="H24" s="13">
        <v>109963</v>
      </c>
      <c r="I24" s="13">
        <v>147147</v>
      </c>
      <c r="J24" s="13">
        <v>236064</v>
      </c>
      <c r="K24" s="13">
        <v>236522.14285714924</v>
      </c>
      <c r="L24" s="13">
        <f>227547+178021</f>
        <v>405568</v>
      </c>
      <c r="M24" s="13">
        <v>431350.31900000002</v>
      </c>
      <c r="N24" s="13">
        <v>487787</v>
      </c>
      <c r="O24" s="13">
        <f>233707+201691</f>
        <v>435398</v>
      </c>
      <c r="P24" s="13">
        <f>248243+170100</f>
        <v>418343</v>
      </c>
      <c r="Q24" s="13"/>
    </row>
    <row r="25" spans="1:17" x14ac:dyDescent="0.25">
      <c r="A25" s="178"/>
      <c r="B25" s="180"/>
      <c r="C25" s="12" t="s">
        <v>23</v>
      </c>
      <c r="D25" s="13">
        <f>[4]Lamp5!W38+'[5]Lamp 7'!X41</f>
        <v>12238</v>
      </c>
      <c r="E25" s="13">
        <f>'[6]Lamp 7'!X41+'[7]Lamp 7'!X43</f>
        <v>19174</v>
      </c>
      <c r="F25" s="13">
        <f>'[8]Lamp 5'!X47+'[9]Lamp 7'!X48</f>
        <v>14897</v>
      </c>
      <c r="G25" s="13">
        <f>'[10]Lamp 5 Mar'!X48+'[11]Lamp 5 '!Y47</f>
        <v>7917</v>
      </c>
      <c r="H25" s="13">
        <v>18518</v>
      </c>
      <c r="I25" s="13">
        <v>3536</v>
      </c>
      <c r="J25" s="13">
        <v>144</v>
      </c>
      <c r="K25" s="13">
        <v>1783.8571428572759</v>
      </c>
      <c r="L25" s="13">
        <v>4041</v>
      </c>
      <c r="M25" s="13">
        <v>4108</v>
      </c>
      <c r="N25" s="13">
        <v>9766</v>
      </c>
      <c r="O25" s="13">
        <f>3154+17</f>
        <v>3171</v>
      </c>
      <c r="P25" s="13">
        <f>167+433</f>
        <v>600</v>
      </c>
      <c r="Q25" s="13"/>
    </row>
    <row r="26" spans="1:17" x14ac:dyDescent="0.25">
      <c r="A26" s="178"/>
      <c r="B26" s="180"/>
      <c r="C26" s="12" t="s">
        <v>37</v>
      </c>
      <c r="D26" s="13">
        <f>[4]Lamp5!W44+'[5]Lamp 7'!X50</f>
        <v>83126</v>
      </c>
      <c r="E26" s="13">
        <f>'[7]Lamp 7'!X56+'[6]Lamp 7'!X52</f>
        <v>39162</v>
      </c>
      <c r="F26" s="13">
        <f>'[8]Lamp 5'!X60+'[9]Lamp 7'!X61</f>
        <v>23162</v>
      </c>
      <c r="G26" s="13">
        <f>'[10]Lamp 5 Mar'!X63+'[11]Lamp 5 '!Y61</f>
        <v>11835</v>
      </c>
      <c r="H26" s="13">
        <v>9951</v>
      </c>
      <c r="I26" s="13">
        <v>8684</v>
      </c>
      <c r="J26" s="13">
        <v>8767</v>
      </c>
      <c r="K26" s="13">
        <v>16080</v>
      </c>
      <c r="L26" s="13">
        <f>13624+4359</f>
        <v>17983</v>
      </c>
      <c r="M26" s="13">
        <v>13634</v>
      </c>
      <c r="N26" s="13">
        <v>7498</v>
      </c>
      <c r="O26" s="13">
        <f>1646+2215</f>
        <v>3861</v>
      </c>
      <c r="P26" s="13">
        <f>407+2297</f>
        <v>2704</v>
      </c>
      <c r="Q26" s="13"/>
    </row>
    <row r="27" spans="1:17" x14ac:dyDescent="0.25">
      <c r="A27" s="178"/>
      <c r="B27" s="180"/>
      <c r="C27" s="12" t="s">
        <v>20</v>
      </c>
      <c r="D27" s="13">
        <f>[4]Lamp5!W16+'[5]Lamp 7'!X16</f>
        <v>3903</v>
      </c>
      <c r="E27" s="13">
        <f>'[6]Lamp 7'!X14+'[7]Lamp 7'!X14</f>
        <v>4396</v>
      </c>
      <c r="F27" s="13">
        <f>'[8]Lamp 5'!X14+'[9]Lamp 7'!X14</f>
        <v>6894</v>
      </c>
      <c r="G27" s="13">
        <f>'[10]Lamp 5 Mar'!X14+'[11]Lamp 5 '!Y14</f>
        <v>10520</v>
      </c>
      <c r="H27" s="13">
        <v>12589</v>
      </c>
      <c r="I27" s="13">
        <v>16765</v>
      </c>
      <c r="J27" s="13">
        <v>17112</v>
      </c>
      <c r="K27" s="13">
        <v>20319.857142857276</v>
      </c>
      <c r="L27" s="13">
        <f>25425+14415</f>
        <v>39840</v>
      </c>
      <c r="M27" s="13">
        <v>54009</v>
      </c>
      <c r="N27" s="13">
        <v>25398</v>
      </c>
      <c r="O27" s="13">
        <f>34739+696</f>
        <v>35435</v>
      </c>
      <c r="P27" s="13">
        <f>61039+3639</f>
        <v>64678</v>
      </c>
      <c r="Q27" s="13"/>
    </row>
    <row r="28" spans="1:17" x14ac:dyDescent="0.25">
      <c r="A28" s="178"/>
      <c r="B28" s="180"/>
      <c r="C28" s="12" t="s">
        <v>21</v>
      </c>
      <c r="D28" s="13">
        <f>[4]Lamp5!W46+'[5]Lamp 7'!X52</f>
        <v>128641</v>
      </c>
      <c r="E28" s="13">
        <f>'[7]Lamp 7'!X58+'[6]Lamp 7'!X54</f>
        <v>68317</v>
      </c>
      <c r="F28" s="13">
        <f>'[8]Lamp 5'!X63+'[9]Lamp 7'!X64</f>
        <v>36980</v>
      </c>
      <c r="G28" s="13">
        <f>'[10]Lamp 5 Mar'!X66+'[11]Lamp 5 '!Y64</f>
        <v>26851</v>
      </c>
      <c r="H28" s="13">
        <v>10214</v>
      </c>
      <c r="I28" s="13">
        <v>12056</v>
      </c>
      <c r="J28" s="13">
        <v>2946</v>
      </c>
      <c r="K28" s="13">
        <v>2910</v>
      </c>
      <c r="L28" s="13">
        <v>1733</v>
      </c>
      <c r="M28" s="13">
        <v>1982</v>
      </c>
      <c r="N28" s="13">
        <v>2697</v>
      </c>
      <c r="O28" s="13">
        <f>34+739</f>
        <v>773</v>
      </c>
      <c r="P28" s="13">
        <f>352+532</f>
        <v>884</v>
      </c>
      <c r="Q28" s="13"/>
    </row>
    <row r="29" spans="1:17" x14ac:dyDescent="0.25">
      <c r="A29" s="178"/>
      <c r="B29" s="180"/>
      <c r="C29" s="12" t="s">
        <v>22</v>
      </c>
      <c r="D29" s="13">
        <f>[4]Lamp5!W39+'[5]Lamp 7'!X42</f>
        <v>7584</v>
      </c>
      <c r="E29" s="13">
        <f>'[7]Lamp 7'!X45+'[6]Lamp 7'!X43</f>
        <v>8660</v>
      </c>
      <c r="F29" s="13">
        <f>'[8]Lamp 5'!X49+'[9]Lamp 7'!X50</f>
        <v>7094</v>
      </c>
      <c r="G29" s="13">
        <f>'[10]Lamp 5 Mar'!X51+'[11]Lamp 5 '!Y51</f>
        <v>10824</v>
      </c>
      <c r="H29" s="13">
        <v>9160</v>
      </c>
      <c r="I29" s="13">
        <v>11522</v>
      </c>
      <c r="J29" s="13">
        <v>3309</v>
      </c>
      <c r="K29" s="13">
        <v>7588.285714285681</v>
      </c>
      <c r="L29" s="13">
        <v>1807</v>
      </c>
      <c r="M29" s="13">
        <v>4249</v>
      </c>
      <c r="N29" s="13">
        <v>7404</v>
      </c>
      <c r="O29" s="13">
        <f>3271+3197</f>
        <v>6468</v>
      </c>
      <c r="P29" s="13">
        <f>16657+6355</f>
        <v>23012</v>
      </c>
      <c r="Q29" s="13"/>
    </row>
    <row r="30" spans="1:17" x14ac:dyDescent="0.25">
      <c r="A30" s="178"/>
      <c r="B30" s="180"/>
      <c r="C30" s="12" t="s">
        <v>24</v>
      </c>
      <c r="D30" s="13">
        <f>[4]Lamp5!W36+'[5]Lamp 7'!X39</f>
        <v>11432</v>
      </c>
      <c r="E30" s="13">
        <f>'[6]Lamp 7'!X39+'[7]Lamp 7'!X40</f>
        <v>9345</v>
      </c>
      <c r="F30" s="13">
        <f>'[8]Lamp 5'!X44+'[9]Lamp 7'!X45</f>
        <v>5697</v>
      </c>
      <c r="G30" s="13">
        <f>'[10]Lamp 5 Mar'!X45+'[11]Lamp 5 '!Y44</f>
        <v>2963</v>
      </c>
      <c r="H30" s="13">
        <v>2520</v>
      </c>
      <c r="I30" s="13">
        <v>1794</v>
      </c>
      <c r="J30" s="13">
        <v>2232</v>
      </c>
      <c r="K30" s="13">
        <v>1414</v>
      </c>
      <c r="L30" s="13">
        <v>1117</v>
      </c>
      <c r="M30" s="13">
        <v>285</v>
      </c>
      <c r="N30" s="13">
        <v>782</v>
      </c>
      <c r="O30" s="13">
        <f>363+57</f>
        <v>420</v>
      </c>
      <c r="P30" s="13">
        <f>81+363</f>
        <v>444</v>
      </c>
      <c r="Q30" s="13"/>
    </row>
    <row r="31" spans="1:17" x14ac:dyDescent="0.25">
      <c r="A31" s="178"/>
      <c r="B31" s="180"/>
      <c r="C31" s="12" t="s">
        <v>25</v>
      </c>
      <c r="D31" s="13">
        <f>[4]Lamp5!W24+'[5]Lamp 7'!X24</f>
        <v>27270</v>
      </c>
      <c r="E31" s="13">
        <f>'[6]Lamp 7'!X23+'[7]Lamp 7'!X24</f>
        <v>9433</v>
      </c>
      <c r="F31" s="13">
        <f>'[8]Lamp 5'!X24+'[9]Lamp 7'!X24</f>
        <v>4417</v>
      </c>
      <c r="G31" s="13">
        <f>'[10]Lamp 5 Mar'!X24+'[11]Lamp 5 '!Y24</f>
        <v>2943</v>
      </c>
      <c r="H31" s="13">
        <v>3121</v>
      </c>
      <c r="I31" s="13">
        <v>10558</v>
      </c>
      <c r="J31" s="13">
        <v>286</v>
      </c>
      <c r="K31" s="13">
        <v>0</v>
      </c>
      <c r="L31" s="13">
        <v>0</v>
      </c>
      <c r="M31" s="13">
        <v>228</v>
      </c>
      <c r="N31" s="13">
        <v>1316</v>
      </c>
      <c r="O31" s="13">
        <f>586+198</f>
        <v>784</v>
      </c>
      <c r="P31" s="13">
        <f>597+334</f>
        <v>931</v>
      </c>
      <c r="Q31" s="13"/>
    </row>
    <row r="32" spans="1:17" x14ac:dyDescent="0.25">
      <c r="A32" s="178"/>
      <c r="B32" s="180"/>
      <c r="C32" s="12" t="s">
        <v>26</v>
      </c>
      <c r="D32" s="13">
        <f>[4]Lamp5!W22+'[5]Lamp 7'!X22</f>
        <v>6140</v>
      </c>
      <c r="E32" s="13">
        <f>'[6]Lamp 7'!X21+'[7]Lamp 7'!X22</f>
        <v>6448</v>
      </c>
      <c r="F32" s="13">
        <f>'[8]Lamp 5'!X22+'[9]Lamp 7'!X22</f>
        <v>814</v>
      </c>
      <c r="G32" s="13">
        <f>'[10]Lamp 5 Mar'!X22+'[11]Lamp 5 '!Y22</f>
        <v>4022</v>
      </c>
      <c r="H32" s="13">
        <v>2065</v>
      </c>
      <c r="I32" s="13">
        <v>4303</v>
      </c>
      <c r="J32" s="13">
        <v>3958</v>
      </c>
      <c r="K32" s="13">
        <v>2595</v>
      </c>
      <c r="L32" s="13">
        <v>750</v>
      </c>
      <c r="M32" s="13">
        <v>0</v>
      </c>
      <c r="N32" s="13">
        <v>0</v>
      </c>
      <c r="O32" s="13">
        <v>0</v>
      </c>
      <c r="P32" s="13">
        <f>0</f>
        <v>0</v>
      </c>
      <c r="Q32" s="13"/>
    </row>
    <row r="33" spans="1:19" ht="18" customHeight="1" x14ac:dyDescent="0.25">
      <c r="A33" s="178"/>
      <c r="B33" s="180"/>
      <c r="C33" s="12" t="s">
        <v>27</v>
      </c>
      <c r="D33" s="13">
        <f>[4]Lamp5!W15+'[5]Lamp 7'!X15</f>
        <v>4169</v>
      </c>
      <c r="E33" s="13">
        <f>'[6]Lamp 7'!X13+'[7]Lamp 7'!X13</f>
        <v>17532</v>
      </c>
      <c r="F33" s="13">
        <f>'[8]Lamp 5'!X13+'[9]Lamp 7'!X13</f>
        <v>20233</v>
      </c>
      <c r="G33" s="13">
        <f>'[10]Lamp 5 Mar'!X13+'[11]Lamp 5 '!Y13</f>
        <v>27755</v>
      </c>
      <c r="H33" s="13">
        <v>15465</v>
      </c>
      <c r="I33" s="13">
        <v>4394</v>
      </c>
      <c r="J33" s="13">
        <v>2055</v>
      </c>
      <c r="K33" s="13">
        <v>7745.2857142854482</v>
      </c>
      <c r="L33" s="13">
        <v>661</v>
      </c>
      <c r="M33" s="13">
        <v>41</v>
      </c>
      <c r="N33" s="13">
        <v>100</v>
      </c>
      <c r="O33" s="13">
        <v>0</v>
      </c>
      <c r="P33" s="13">
        <f>0</f>
        <v>0</v>
      </c>
      <c r="Q33" s="13"/>
    </row>
    <row r="34" spans="1:19" ht="18" customHeight="1" x14ac:dyDescent="0.25">
      <c r="A34" s="178"/>
      <c r="B34" s="180"/>
      <c r="C34" s="12" t="s">
        <v>28</v>
      </c>
      <c r="D34" s="13">
        <f>[4]Lamp5!W21+'[5]Lamp 7'!X21</f>
        <v>2463</v>
      </c>
      <c r="E34" s="13">
        <f>'[6]Lamp 7'!X20+'[7]Lamp 7'!X21</f>
        <v>1648</v>
      </c>
      <c r="F34" s="13">
        <f>'[8]Lamp 5'!X21+'[9]Lamp 7'!X21</f>
        <v>1665</v>
      </c>
      <c r="G34" s="13">
        <f>'[10]Lamp 5 Mar'!X21+'[11]Lamp 5 '!Y21</f>
        <v>1434</v>
      </c>
      <c r="H34" s="13">
        <v>528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f>0</f>
        <v>0</v>
      </c>
      <c r="Q34" s="13"/>
    </row>
    <row r="35" spans="1:19" ht="18" customHeight="1" x14ac:dyDescent="0.25">
      <c r="A35" s="178"/>
      <c r="B35" s="180"/>
      <c r="C35" s="12" t="s">
        <v>29</v>
      </c>
      <c r="D35" s="13">
        <f>[4]Lamp5!W34+'[5]Lamp 7'!X37</f>
        <v>5451</v>
      </c>
      <c r="E35" s="13">
        <f>'[6]Lamp 7'!X36+'[7]Lamp 7'!X37</f>
        <v>6014</v>
      </c>
      <c r="F35" s="13">
        <f>'[8]Lamp 5'!X41+'[9]Lamp 7'!X42</f>
        <v>2592</v>
      </c>
      <c r="G35" s="13">
        <f>'[10]Lamp 5 Mar'!X42+'[11]Lamp 5 '!Y41</f>
        <v>1093</v>
      </c>
      <c r="H35" s="13">
        <v>5260</v>
      </c>
      <c r="I35" s="13">
        <v>3008</v>
      </c>
      <c r="J35" s="13">
        <v>3869</v>
      </c>
      <c r="K35" s="13">
        <v>2742.4285714285215</v>
      </c>
      <c r="L35" s="13">
        <v>1518</v>
      </c>
      <c r="M35" s="13">
        <v>0</v>
      </c>
      <c r="N35" s="13">
        <v>148</v>
      </c>
      <c r="O35" s="13">
        <f>6+3</f>
        <v>9</v>
      </c>
      <c r="P35" s="13">
        <f>0</f>
        <v>0</v>
      </c>
      <c r="Q35" s="13"/>
    </row>
    <row r="36" spans="1:19" ht="18" customHeight="1" x14ac:dyDescent="0.25">
      <c r="A36" s="178"/>
      <c r="B36" s="180"/>
      <c r="C36" s="12" t="s">
        <v>38</v>
      </c>
      <c r="D36" s="13">
        <f>[4]Lamp5!W41+'[5]Lamp 7'!X44</f>
        <v>4193</v>
      </c>
      <c r="E36" s="13">
        <f>'[6]Lamp 7'!X45+'[7]Lamp 7'!X47</f>
        <v>14530</v>
      </c>
      <c r="F36" s="13">
        <f>'[8]Lamp 5'!X51+'[9]Lamp 7'!X52</f>
        <v>52604</v>
      </c>
      <c r="G36" s="13">
        <f>'[10]Lamp 5 Mar'!X53+'[11]Lamp 5 '!Y53</f>
        <v>83764</v>
      </c>
      <c r="H36" s="13">
        <v>115197</v>
      </c>
      <c r="I36" s="13">
        <v>101242</v>
      </c>
      <c r="J36" s="13">
        <v>90426</v>
      </c>
      <c r="K36" s="13">
        <v>86667</v>
      </c>
      <c r="L36" s="13">
        <f>26075+26525</f>
        <v>52600</v>
      </c>
      <c r="M36" s="13">
        <v>41132.175000000003</v>
      </c>
      <c r="N36" s="13">
        <v>71147</v>
      </c>
      <c r="O36" s="13">
        <f>53603+17938</f>
        <v>71541</v>
      </c>
      <c r="P36" s="13">
        <f>76920+37274</f>
        <v>114194</v>
      </c>
      <c r="Q36" s="13"/>
    </row>
    <row r="37" spans="1:19" ht="18" customHeight="1" x14ac:dyDescent="0.25">
      <c r="A37" s="178"/>
      <c r="B37" s="180"/>
      <c r="C37" s="12" t="s">
        <v>50</v>
      </c>
      <c r="D37" s="13">
        <v>0</v>
      </c>
      <c r="E37" s="13">
        <v>0</v>
      </c>
      <c r="F37" s="13">
        <v>0</v>
      </c>
      <c r="G37" s="13">
        <v>608</v>
      </c>
      <c r="H37" s="13">
        <f>'[12]Lamp 11'!$Y$45+'[13]Lamp 3'!$Y$60</f>
        <v>622</v>
      </c>
      <c r="I37" s="13">
        <f>'[14]Lamp 12'!$Y$66+'[15]Lamp 4'!$Y$66</f>
        <v>302</v>
      </c>
      <c r="J37" s="13">
        <v>724</v>
      </c>
      <c r="K37" s="13">
        <v>67</v>
      </c>
      <c r="L37" s="13">
        <v>0</v>
      </c>
      <c r="M37" s="13">
        <v>0</v>
      </c>
      <c r="N37" s="13">
        <v>4047</v>
      </c>
      <c r="O37" s="13">
        <f>1337+25</f>
        <v>1362</v>
      </c>
      <c r="P37" s="13">
        <f>598+1276</f>
        <v>1874</v>
      </c>
      <c r="Q37" s="13"/>
    </row>
    <row r="38" spans="1:19" ht="18" customHeight="1" x14ac:dyDescent="0.25">
      <c r="A38" s="178"/>
      <c r="B38" s="180"/>
      <c r="C38" s="12" t="s">
        <v>43</v>
      </c>
      <c r="D38" s="13">
        <v>0</v>
      </c>
      <c r="E38" s="13">
        <f>'[6]Lamp 7'!X17+'[7]Lamp 7'!X18</f>
        <v>433</v>
      </c>
      <c r="F38" s="13">
        <f>'[8]Lamp 5'!X18+'[9]Lamp 7'!X18</f>
        <v>4672</v>
      </c>
      <c r="G38" s="13">
        <f>'[10]Lamp 5 Mar'!X18+'[11]Lamp 5 '!Y18</f>
        <v>3726</v>
      </c>
      <c r="H38" s="13">
        <v>3399</v>
      </c>
      <c r="I38" s="13">
        <v>3830</v>
      </c>
      <c r="J38" s="13">
        <v>670</v>
      </c>
      <c r="K38" s="13">
        <v>3465.8571428571595</v>
      </c>
      <c r="L38" s="13">
        <v>158</v>
      </c>
      <c r="M38" s="13">
        <v>0</v>
      </c>
      <c r="N38" s="13">
        <v>297</v>
      </c>
      <c r="O38" s="13">
        <f>64+26</f>
        <v>90</v>
      </c>
      <c r="P38" s="13">
        <f>0</f>
        <v>0</v>
      </c>
      <c r="Q38" s="13"/>
    </row>
    <row r="39" spans="1:19" ht="18" customHeight="1" x14ac:dyDescent="0.25">
      <c r="A39" s="178"/>
      <c r="B39" s="180"/>
      <c r="C39" s="12" t="s">
        <v>46</v>
      </c>
      <c r="D39" s="13">
        <f>[4]Lamp5!W13+'[5]Lamp 7'!X13</f>
        <v>100</v>
      </c>
      <c r="E39" s="13">
        <f>'[6]Lamp 7'!X11+'[7]Lamp 7'!X11</f>
        <v>0</v>
      </c>
      <c r="F39" s="13">
        <f>'[8]Lamp 5'!X11+'[9]Lamp 7'!X11</f>
        <v>23</v>
      </c>
      <c r="G39" s="13">
        <f>'[10]Lamp 5 Mar'!X11+'[11]Lamp 5 '!Y11</f>
        <v>222</v>
      </c>
      <c r="H39" s="13">
        <v>502</v>
      </c>
      <c r="I39" s="13">
        <v>64906</v>
      </c>
      <c r="J39" s="13">
        <v>107</v>
      </c>
      <c r="K39" s="13">
        <v>802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/>
    </row>
    <row r="40" spans="1:19" ht="18" customHeight="1" x14ac:dyDescent="0.25">
      <c r="A40" s="178"/>
      <c r="B40" s="180"/>
      <c r="C40" s="12" t="s">
        <v>41</v>
      </c>
      <c r="D40" s="13">
        <f>[4]Lamp5!W37+'[5]Lamp 7'!X40</f>
        <v>2021</v>
      </c>
      <c r="E40" s="13">
        <f>'[6]Lamp 7'!X40+'[7]Lamp 7'!X42</f>
        <v>3625</v>
      </c>
      <c r="F40" s="13">
        <f>'[8]Lamp 5'!X46+'[9]Lamp 7'!X47</f>
        <v>2320</v>
      </c>
      <c r="G40" s="13">
        <f>'[10]Lamp 5 Mar'!X47+'[11]Lamp 5 '!Y46</f>
        <v>1662</v>
      </c>
      <c r="H40" s="13">
        <v>1440</v>
      </c>
      <c r="I40" s="13">
        <v>2603</v>
      </c>
      <c r="J40" s="13">
        <v>2117</v>
      </c>
      <c r="K40" s="13">
        <v>1878.8571428571595</v>
      </c>
      <c r="L40" s="13">
        <v>1776</v>
      </c>
      <c r="M40" s="13">
        <v>697.21</v>
      </c>
      <c r="N40" s="13">
        <v>434</v>
      </c>
      <c r="O40" s="13">
        <f>692+155</f>
        <v>847</v>
      </c>
      <c r="P40" s="13">
        <f>332+176</f>
        <v>508</v>
      </c>
      <c r="Q40" s="13"/>
    </row>
    <row r="41" spans="1:19" ht="18" customHeight="1" x14ac:dyDescent="0.25">
      <c r="A41" s="178"/>
      <c r="B41" s="180"/>
      <c r="C41" s="12" t="s">
        <v>44</v>
      </c>
      <c r="D41" s="13">
        <f>'[5]Lamp 7'!X29</f>
        <v>55</v>
      </c>
      <c r="E41" s="13">
        <f>'[6]Lamp 7'!X28+'[7]Lamp 7'!X29</f>
        <v>325</v>
      </c>
      <c r="F41" s="13">
        <f>'[8]Lamp 5'!X29+'[9]Lamp 7'!X29</f>
        <v>887</v>
      </c>
      <c r="G41" s="13">
        <f>'[10]Lamp 5 Mar'!X29+'[11]Lamp 5 '!Y29</f>
        <v>3111</v>
      </c>
      <c r="H41" s="13">
        <v>1307</v>
      </c>
      <c r="I41" s="13">
        <v>1218</v>
      </c>
      <c r="J41" s="13">
        <v>8030</v>
      </c>
      <c r="K41" s="13">
        <v>5866.285714285681</v>
      </c>
      <c r="L41" s="13">
        <v>515</v>
      </c>
      <c r="M41" s="13">
        <v>0</v>
      </c>
      <c r="N41" s="13">
        <v>0</v>
      </c>
      <c r="O41" s="13">
        <v>0</v>
      </c>
      <c r="P41" s="13">
        <v>0</v>
      </c>
      <c r="Q41" s="13"/>
    </row>
    <row r="42" spans="1:19" ht="18" customHeight="1" x14ac:dyDescent="0.25">
      <c r="A42" s="178"/>
      <c r="B42" s="180"/>
      <c r="C42" s="12" t="s">
        <v>45</v>
      </c>
      <c r="D42" s="13">
        <f>[4]Lamp5!W28+'[5]Lamp 7'!X30</f>
        <v>492</v>
      </c>
      <c r="E42" s="13">
        <f>'[6]Lamp 7'!X29+'[7]Lamp 7'!X30</f>
        <v>5093</v>
      </c>
      <c r="F42" s="13">
        <f>'[8]Lamp 5'!X30+'[9]Lamp 7'!X30</f>
        <v>2205</v>
      </c>
      <c r="G42" s="13">
        <f>'[10]Lamp 5 Mar'!X30+'[11]Lamp 5 '!Y30</f>
        <v>3098</v>
      </c>
      <c r="H42" s="13">
        <v>466</v>
      </c>
      <c r="I42" s="13">
        <v>1999</v>
      </c>
      <c r="J42" s="13">
        <v>644</v>
      </c>
      <c r="K42" s="13">
        <v>932.28571428579744</v>
      </c>
      <c r="L42" s="13">
        <v>2383</v>
      </c>
      <c r="M42" s="13">
        <v>540</v>
      </c>
      <c r="N42" s="13">
        <v>0</v>
      </c>
      <c r="O42" s="13">
        <v>0</v>
      </c>
      <c r="P42" s="13">
        <v>0</v>
      </c>
      <c r="Q42" s="13"/>
    </row>
    <row r="43" spans="1:19" ht="18" customHeight="1" x14ac:dyDescent="0.25">
      <c r="A43" s="178"/>
      <c r="B43" s="180"/>
      <c r="C43" s="12" t="s">
        <v>47</v>
      </c>
      <c r="D43" s="13">
        <v>0</v>
      </c>
      <c r="E43" s="13">
        <v>0</v>
      </c>
      <c r="F43" s="13">
        <v>0</v>
      </c>
      <c r="G43" s="13">
        <v>0</v>
      </c>
      <c r="H43" s="13">
        <v>8348</v>
      </c>
      <c r="I43" s="13">
        <v>20618</v>
      </c>
      <c r="J43" s="13">
        <v>41551</v>
      </c>
      <c r="K43" s="13">
        <v>42963</v>
      </c>
      <c r="L43" s="13">
        <v>51772</v>
      </c>
      <c r="M43" s="13">
        <v>10116</v>
      </c>
      <c r="N43" s="13">
        <v>35546</v>
      </c>
      <c r="O43" s="13">
        <f>7028+20642</f>
        <v>27670</v>
      </c>
      <c r="P43" s="13">
        <f>7944+20412</f>
        <v>28356</v>
      </c>
      <c r="Q43" s="13"/>
    </row>
    <row r="44" spans="1:19" ht="18" customHeight="1" x14ac:dyDescent="0.25">
      <c r="A44" s="178"/>
      <c r="B44" s="180"/>
      <c r="C44" s="12" t="s">
        <v>53</v>
      </c>
      <c r="D44" s="13">
        <v>0</v>
      </c>
      <c r="E44" s="13">
        <v>0</v>
      </c>
      <c r="F44" s="13">
        <v>0</v>
      </c>
      <c r="G44" s="13">
        <f>'[10]Lamp 5 Mar'!X32+'[10]Lamp 5 Mar'!X33+'[10]Lamp 5 Mar'!X50+'[11]Lamp 5 '!Y32+'[11]Lamp 5 '!Y33+'[11]Lamp 5 '!Y39+'[11]Lamp 5 '!Y50</f>
        <v>5701</v>
      </c>
      <c r="H44" s="13">
        <v>21160</v>
      </c>
      <c r="I44" s="13">
        <v>35806</v>
      </c>
      <c r="J44" s="13">
        <v>9472</v>
      </c>
      <c r="K44" s="13">
        <v>2971</v>
      </c>
      <c r="L44" s="13">
        <v>10621.668346091999</v>
      </c>
      <c r="M44" s="13">
        <v>2738</v>
      </c>
      <c r="N44" s="13">
        <v>8194</v>
      </c>
      <c r="O44" s="13">
        <f>235+169+157+119+37+14+5+4+1658+208+150+150+61+80+47+42+1100</f>
        <v>4236</v>
      </c>
      <c r="P44" s="13">
        <f>1733+3182</f>
        <v>4915</v>
      </c>
      <c r="Q44" s="13"/>
    </row>
    <row r="45" spans="1:19" ht="18" customHeight="1" x14ac:dyDescent="0.25">
      <c r="A45" s="178"/>
      <c r="B45" s="180"/>
      <c r="C45" s="12" t="s">
        <v>51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29944</v>
      </c>
      <c r="J45" s="13">
        <v>71396.5</v>
      </c>
      <c r="K45" s="13">
        <v>53631.142857141793</v>
      </c>
      <c r="L45" s="13">
        <v>38495</v>
      </c>
      <c r="M45" s="13">
        <v>38554</v>
      </c>
      <c r="N45" s="13">
        <v>111666</v>
      </c>
      <c r="O45" s="13">
        <f>30831+6933+4271+3519+3186+1827+1305+369+217+28+8</f>
        <v>52494</v>
      </c>
      <c r="P45" s="13">
        <f>55412+3272+2262+3571+253+670+1459+15+24+8775+1309+4027+16+4999</f>
        <v>86064</v>
      </c>
      <c r="Q45" s="13"/>
    </row>
    <row r="46" spans="1:19" ht="18" customHeight="1" x14ac:dyDescent="0.25">
      <c r="A46" s="178"/>
      <c r="B46" s="180"/>
      <c r="C46" s="12" t="s">
        <v>52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20</v>
      </c>
      <c r="L46" s="13">
        <v>634</v>
      </c>
      <c r="M46" s="13">
        <v>18030</v>
      </c>
      <c r="N46" s="13">
        <v>2323</v>
      </c>
      <c r="O46" s="13">
        <f>0</f>
        <v>0</v>
      </c>
      <c r="P46" s="13"/>
      <c r="Q46" s="13"/>
    </row>
    <row r="47" spans="1:19" ht="18" customHeight="1" x14ac:dyDescent="0.25">
      <c r="A47" s="178"/>
      <c r="B47" s="180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spans="1:19" ht="18" customHeight="1" x14ac:dyDescent="0.25">
      <c r="A48" s="178"/>
      <c r="B48" s="180"/>
      <c r="C48" s="12" t="s">
        <v>30</v>
      </c>
      <c r="D48" s="13">
        <f>[4]Lamp5!W73+'[5]Lamp 7'!X82</f>
        <v>64819</v>
      </c>
      <c r="E48" s="13">
        <f>'[6]Lamp 7'!X87+'[7]Lamp 7'!X93</f>
        <v>65676</v>
      </c>
      <c r="F48" s="13">
        <f>'[8]Lamp 5'!X98+'[9]Lamp 7'!X99</f>
        <v>76685</v>
      </c>
      <c r="G48" s="13">
        <f>'[10]Lamp 5 Mar'!X101+'[11]Lamp 5 '!Y101</f>
        <v>48319</v>
      </c>
      <c r="H48" s="13">
        <v>28565</v>
      </c>
      <c r="I48" s="13">
        <v>29065</v>
      </c>
      <c r="J48" s="13">
        <v>1090</v>
      </c>
      <c r="K48" s="13">
        <v>241.42857142910361</v>
      </c>
      <c r="L48" s="13">
        <v>8645</v>
      </c>
      <c r="M48" s="13">
        <v>126921</v>
      </c>
      <c r="N48" s="13">
        <v>63020</v>
      </c>
      <c r="O48" s="13">
        <f>32514+13368</f>
        <v>45882</v>
      </c>
      <c r="P48" s="13">
        <f>10518+16163</f>
        <v>26681</v>
      </c>
      <c r="Q48" s="13"/>
      <c r="S48" s="22"/>
    </row>
    <row r="49" spans="1:17" x14ac:dyDescent="0.25">
      <c r="A49" s="178"/>
      <c r="B49" s="180"/>
      <c r="C49" s="12" t="s">
        <v>39</v>
      </c>
      <c r="D49" s="13">
        <f>([4]Lamp5!W75+'[5]Lamp 7'!X84)-1640060</f>
        <v>175760</v>
      </c>
      <c r="E49" s="13">
        <f>('[6]Lamp 7'!X89+'[7]Lamp 7'!X95)-1613998</f>
        <v>129013</v>
      </c>
      <c r="F49" s="13">
        <f>('[8]Lamp 5'!X100+'[9]Lamp 7'!X101)-1748885</f>
        <v>104659.5</v>
      </c>
      <c r="G49" s="13">
        <f>('[10]Lamp 5 Mar'!X103+'[11]Lamp 5 '!Y103)-1969433</f>
        <v>122208</v>
      </c>
      <c r="H49" s="13">
        <v>102216</v>
      </c>
      <c r="I49" s="13">
        <v>115129</v>
      </c>
      <c r="J49" s="13">
        <v>213896.5</v>
      </c>
      <c r="K49" s="13">
        <v>149582.85714285728</v>
      </c>
      <c r="L49" s="13">
        <v>789085</v>
      </c>
      <c r="M49" s="13">
        <v>676482</v>
      </c>
      <c r="N49" s="13">
        <v>158852</v>
      </c>
      <c r="O49" s="13">
        <v>721637</v>
      </c>
      <c r="P49" s="13">
        <v>483132</v>
      </c>
      <c r="Q49" s="13"/>
    </row>
    <row r="50" spans="1:17" s="17" customFormat="1" ht="15" x14ac:dyDescent="0.25">
      <c r="A50" s="181"/>
      <c r="B50" s="182"/>
      <c r="C50" s="15" t="s">
        <v>36</v>
      </c>
      <c r="D50" s="16">
        <f t="shared" ref="D50:Q50" si="2">SUM(D20:D49)</f>
        <v>1812084</v>
      </c>
      <c r="E50" s="16">
        <f t="shared" si="2"/>
        <v>1743011</v>
      </c>
      <c r="F50" s="16">
        <f t="shared" si="2"/>
        <v>1853544.5</v>
      </c>
      <c r="G50" s="16">
        <f t="shared" si="2"/>
        <v>2092249</v>
      </c>
      <c r="H50" s="16">
        <f t="shared" si="2"/>
        <v>1794503</v>
      </c>
      <c r="I50" s="16">
        <f t="shared" si="2"/>
        <v>1860455</v>
      </c>
      <c r="J50" s="16">
        <f t="shared" si="2"/>
        <v>2111796</v>
      </c>
      <c r="K50" s="16">
        <f t="shared" si="2"/>
        <v>2018211.0000000121</v>
      </c>
      <c r="L50" s="16">
        <f t="shared" si="2"/>
        <v>2040262.6283460921</v>
      </c>
      <c r="M50" s="16">
        <f t="shared" si="2"/>
        <v>2039360.0160000001</v>
      </c>
      <c r="N50" s="16">
        <f t="shared" si="2"/>
        <v>1912943.5</v>
      </c>
      <c r="O50" s="16">
        <f t="shared" si="2"/>
        <v>2099188</v>
      </c>
      <c r="P50" s="16">
        <f t="shared" si="2"/>
        <v>2079042</v>
      </c>
      <c r="Q50" s="16">
        <f t="shared" si="2"/>
        <v>0</v>
      </c>
    </row>
    <row r="51" spans="1:17" x14ac:dyDescent="0.25">
      <c r="A51" s="175" t="s">
        <v>31</v>
      </c>
      <c r="B51" s="176" t="s">
        <v>32</v>
      </c>
      <c r="C51" s="12" t="s">
        <v>33</v>
      </c>
      <c r="D51" s="13">
        <f>D54*105%</f>
        <v>616548.45000000007</v>
      </c>
      <c r="E51" s="13">
        <f t="shared" ref="E51:L51" si="3">E54*105%</f>
        <v>601926.15</v>
      </c>
      <c r="F51" s="13">
        <f t="shared" si="3"/>
        <v>606388.65</v>
      </c>
      <c r="G51" s="13">
        <f t="shared" si="3"/>
        <v>671812.05</v>
      </c>
      <c r="H51" s="13">
        <f t="shared" si="3"/>
        <v>826978.95000000007</v>
      </c>
      <c r="I51" s="13">
        <f t="shared" si="3"/>
        <v>970160.10000000009</v>
      </c>
      <c r="J51" s="13">
        <f t="shared" si="3"/>
        <v>991567.5</v>
      </c>
      <c r="K51" s="13">
        <f t="shared" si="3"/>
        <v>1080084.6000000001</v>
      </c>
      <c r="L51" s="13">
        <f t="shared" si="3"/>
        <v>1203239.2749299998</v>
      </c>
      <c r="M51" s="20"/>
      <c r="N51" s="20"/>
      <c r="O51" s="20"/>
      <c r="P51" s="20"/>
      <c r="Q51" s="20"/>
    </row>
    <row r="52" spans="1:17" x14ac:dyDescent="0.25">
      <c r="A52" s="175"/>
      <c r="B52" s="176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20"/>
      <c r="N52" s="20"/>
      <c r="O52" s="20"/>
      <c r="P52" s="20"/>
      <c r="Q52" s="20"/>
    </row>
    <row r="53" spans="1:17" x14ac:dyDescent="0.25">
      <c r="A53" s="175"/>
      <c r="B53" s="176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20"/>
      <c r="N53" s="20"/>
      <c r="O53" s="20"/>
      <c r="P53" s="20"/>
      <c r="Q53" s="20"/>
    </row>
    <row r="54" spans="1:17" x14ac:dyDescent="0.25">
      <c r="A54" s="175" t="s">
        <v>35</v>
      </c>
      <c r="B54" s="176" t="s">
        <v>34</v>
      </c>
      <c r="C54" s="12" t="s">
        <v>33</v>
      </c>
      <c r="D54" s="13">
        <f>'[3]palawija 2001-2011'!G110</f>
        <v>587189</v>
      </c>
      <c r="E54" s="13">
        <f>'[3]palawija 2001-2011'!H110</f>
        <v>573263</v>
      </c>
      <c r="F54" s="13">
        <f>'[3]palawija 2001-2011'!I110</f>
        <v>577513</v>
      </c>
      <c r="G54" s="13">
        <f>'[3]palawija 2001-2011'!J110</f>
        <v>639821</v>
      </c>
      <c r="H54" s="13">
        <f>'[3]palawija 2001-2011'!K110</f>
        <v>787599</v>
      </c>
      <c r="I54" s="13">
        <f>'[3]palawija 2001-2011'!L110</f>
        <v>923962</v>
      </c>
      <c r="J54" s="13">
        <f>'[3]palawija 2001-2011'!M110</f>
        <v>944350</v>
      </c>
      <c r="K54" s="13">
        <v>1028652</v>
      </c>
      <c r="L54" s="13">
        <f>'[16]LP PL (2)'!K34</f>
        <v>1145942.1665999999</v>
      </c>
      <c r="M54" s="20"/>
      <c r="N54" s="20"/>
      <c r="O54" s="20"/>
      <c r="P54" s="20"/>
      <c r="Q54" s="20"/>
    </row>
    <row r="55" spans="1:17" x14ac:dyDescent="0.25">
      <c r="A55" s="175"/>
      <c r="B55" s="176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20"/>
      <c r="N55" s="20"/>
      <c r="O55" s="20"/>
      <c r="P55" s="20"/>
      <c r="Q55" s="20"/>
    </row>
    <row r="56" spans="1:17" x14ac:dyDescent="0.25">
      <c r="A56" s="175"/>
      <c r="B56" s="176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20"/>
      <c r="N56" s="20"/>
      <c r="O56" s="20"/>
      <c r="P56" s="20"/>
      <c r="Q56" s="20"/>
    </row>
  </sheetData>
  <mergeCells count="17">
    <mergeCell ref="A6:A12"/>
    <mergeCell ref="B6:B12"/>
    <mergeCell ref="A1:Q1"/>
    <mergeCell ref="A4:A5"/>
    <mergeCell ref="B4:B5"/>
    <mergeCell ref="C4:C5"/>
    <mergeCell ref="D4:Q4"/>
    <mergeCell ref="A51:A53"/>
    <mergeCell ref="B51:B53"/>
    <mergeCell ref="A54:A56"/>
    <mergeCell ref="B54:B56"/>
    <mergeCell ref="A13:A19"/>
    <mergeCell ref="B13:B19"/>
    <mergeCell ref="A20:A47"/>
    <mergeCell ref="B20:B47"/>
    <mergeCell ref="A48:A50"/>
    <mergeCell ref="B48:B5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4" workbookViewId="0">
      <selection activeCell="E37" sqref="E37:E39"/>
    </sheetView>
  </sheetViews>
  <sheetFormatPr defaultRowHeight="15" x14ac:dyDescent="0.25"/>
  <cols>
    <col min="2" max="2" width="18.5703125" customWidth="1"/>
    <col min="4" max="4" width="10.140625" bestFit="1" customWidth="1"/>
    <col min="5" max="5" width="12.140625" customWidth="1"/>
    <col min="6" max="6" width="10.140625" bestFit="1" customWidth="1"/>
    <col min="7" max="7" width="10.7109375" customWidth="1"/>
    <col min="12" max="12" width="19.85546875" customWidth="1"/>
    <col min="17" max="17" width="10.140625" customWidth="1"/>
  </cols>
  <sheetData>
    <row r="1" spans="1:18" s="107" customFormat="1" x14ac:dyDescent="0.25">
      <c r="A1" s="107" t="s">
        <v>167</v>
      </c>
      <c r="D1" s="107" t="s">
        <v>117</v>
      </c>
      <c r="E1" s="107" t="s">
        <v>168</v>
      </c>
      <c r="K1" s="112" t="s">
        <v>167</v>
      </c>
      <c r="L1" s="112"/>
      <c r="M1" s="112"/>
      <c r="N1" s="112" t="s">
        <v>117</v>
      </c>
      <c r="O1" s="112" t="s">
        <v>168</v>
      </c>
      <c r="P1" s="112"/>
      <c r="Q1" s="112"/>
      <c r="R1" s="112"/>
    </row>
    <row r="2" spans="1:18" x14ac:dyDescent="0.25">
      <c r="A2" s="81" t="s">
        <v>116</v>
      </c>
      <c r="B2" s="81"/>
      <c r="C2" s="81"/>
      <c r="D2" s="81" t="s">
        <v>117</v>
      </c>
      <c r="E2" s="81" t="s">
        <v>118</v>
      </c>
      <c r="F2" s="81"/>
      <c r="G2" s="81"/>
      <c r="H2" s="81"/>
      <c r="K2" s="112" t="s">
        <v>116</v>
      </c>
      <c r="L2" s="112"/>
      <c r="M2" s="112"/>
      <c r="N2" s="112" t="s">
        <v>117</v>
      </c>
      <c r="O2" s="112" t="s">
        <v>169</v>
      </c>
      <c r="P2" s="112"/>
      <c r="Q2" s="112"/>
      <c r="R2" s="112"/>
    </row>
    <row r="3" spans="1:18" x14ac:dyDescent="0.25">
      <c r="A3" s="81" t="s">
        <v>119</v>
      </c>
      <c r="B3" s="81"/>
      <c r="C3" s="81"/>
      <c r="D3" s="81" t="s">
        <v>117</v>
      </c>
      <c r="E3" s="190">
        <v>43160</v>
      </c>
      <c r="F3" s="190"/>
      <c r="G3" s="190"/>
      <c r="H3" s="190"/>
      <c r="K3" s="112" t="s">
        <v>119</v>
      </c>
      <c r="L3" s="112"/>
      <c r="M3" s="112"/>
      <c r="N3" s="112" t="s">
        <v>117</v>
      </c>
      <c r="O3" s="190">
        <v>43373</v>
      </c>
      <c r="P3" s="190"/>
      <c r="Q3" s="190"/>
      <c r="R3" s="190"/>
    </row>
    <row r="4" spans="1:18" x14ac:dyDescent="0.25">
      <c r="K4" s="107"/>
      <c r="L4" s="107"/>
      <c r="M4" s="107"/>
      <c r="N4" s="107"/>
      <c r="O4" s="107"/>
      <c r="P4" s="107"/>
      <c r="Q4" s="107"/>
      <c r="R4" s="107"/>
    </row>
    <row r="5" spans="1:18" x14ac:dyDescent="0.25">
      <c r="A5" s="187" t="s">
        <v>1</v>
      </c>
      <c r="B5" s="191" t="s">
        <v>120</v>
      </c>
      <c r="C5" s="192"/>
      <c r="D5" s="192"/>
      <c r="E5" s="193"/>
      <c r="F5" s="191" t="s">
        <v>121</v>
      </c>
      <c r="G5" s="193"/>
      <c r="H5" s="187" t="s">
        <v>122</v>
      </c>
      <c r="K5" s="197" t="s">
        <v>1</v>
      </c>
      <c r="L5" s="197" t="s">
        <v>123</v>
      </c>
      <c r="M5" s="197" t="s">
        <v>110</v>
      </c>
      <c r="N5" s="197"/>
      <c r="O5" s="197"/>
      <c r="P5" s="197" t="s">
        <v>121</v>
      </c>
      <c r="Q5" s="197"/>
      <c r="R5" s="187" t="s">
        <v>122</v>
      </c>
    </row>
    <row r="6" spans="1:18" x14ac:dyDescent="0.25">
      <c r="A6" s="188"/>
      <c r="B6" s="194"/>
      <c r="C6" s="195"/>
      <c r="D6" s="195"/>
      <c r="E6" s="196"/>
      <c r="F6" s="194"/>
      <c r="G6" s="196"/>
      <c r="H6" s="188"/>
      <c r="K6" s="197"/>
      <c r="L6" s="197"/>
      <c r="M6" s="197"/>
      <c r="N6" s="197"/>
      <c r="O6" s="197"/>
      <c r="P6" s="197"/>
      <c r="Q6" s="197"/>
      <c r="R6" s="188"/>
    </row>
    <row r="7" spans="1:18" ht="38.25" x14ac:dyDescent="0.25">
      <c r="A7" s="189"/>
      <c r="B7" s="77" t="s">
        <v>123</v>
      </c>
      <c r="C7" s="77" t="s">
        <v>124</v>
      </c>
      <c r="D7" s="77" t="s">
        <v>125</v>
      </c>
      <c r="E7" s="77" t="s">
        <v>126</v>
      </c>
      <c r="F7" s="78" t="s">
        <v>127</v>
      </c>
      <c r="G7" s="78" t="s">
        <v>128</v>
      </c>
      <c r="H7" s="189"/>
      <c r="K7" s="197"/>
      <c r="L7" s="197"/>
      <c r="M7" s="109" t="s">
        <v>124</v>
      </c>
      <c r="N7" s="109" t="s">
        <v>125</v>
      </c>
      <c r="O7" s="109" t="s">
        <v>126</v>
      </c>
      <c r="P7" s="109" t="s">
        <v>170</v>
      </c>
      <c r="Q7" s="109" t="s">
        <v>171</v>
      </c>
      <c r="R7" s="189"/>
    </row>
    <row r="8" spans="1:18" x14ac:dyDescent="0.25">
      <c r="A8" s="79" t="s">
        <v>7</v>
      </c>
      <c r="B8" s="80" t="s">
        <v>129</v>
      </c>
      <c r="C8" s="93">
        <v>2</v>
      </c>
      <c r="D8" s="93">
        <v>3</v>
      </c>
      <c r="E8" s="90">
        <v>12</v>
      </c>
      <c r="F8" s="84">
        <v>12</v>
      </c>
      <c r="G8" s="84">
        <v>2100000</v>
      </c>
      <c r="H8" s="84">
        <v>12</v>
      </c>
      <c r="K8" s="110" t="s">
        <v>7</v>
      </c>
      <c r="L8" s="111" t="s">
        <v>129</v>
      </c>
      <c r="M8" s="115"/>
      <c r="N8" s="115"/>
      <c r="O8" s="115"/>
      <c r="P8" s="115">
        <v>0</v>
      </c>
      <c r="Q8" s="115">
        <v>0</v>
      </c>
      <c r="R8" s="115">
        <v>0</v>
      </c>
    </row>
    <row r="9" spans="1:18" x14ac:dyDescent="0.25">
      <c r="A9" s="79" t="s">
        <v>13</v>
      </c>
      <c r="B9" s="80" t="s">
        <v>130</v>
      </c>
      <c r="C9" s="89">
        <v>10</v>
      </c>
      <c r="D9" s="89">
        <v>11</v>
      </c>
      <c r="E9" s="90">
        <v>11</v>
      </c>
      <c r="F9" s="84">
        <v>11</v>
      </c>
      <c r="G9" s="84">
        <v>1925000</v>
      </c>
      <c r="H9" s="84">
        <v>11</v>
      </c>
      <c r="K9" s="110" t="s">
        <v>13</v>
      </c>
      <c r="L9" s="111" t="s">
        <v>172</v>
      </c>
      <c r="M9" s="117">
        <v>1</v>
      </c>
      <c r="N9" s="117">
        <v>1</v>
      </c>
      <c r="O9" s="117">
        <v>1</v>
      </c>
      <c r="P9" s="115">
        <v>1</v>
      </c>
      <c r="Q9" s="115">
        <v>200000</v>
      </c>
      <c r="R9" s="115">
        <v>1</v>
      </c>
    </row>
    <row r="10" spans="1:18" x14ac:dyDescent="0.25">
      <c r="A10" s="79" t="s">
        <v>15</v>
      </c>
      <c r="B10" s="80" t="s">
        <v>131</v>
      </c>
      <c r="C10" s="89">
        <v>5</v>
      </c>
      <c r="D10" s="89">
        <v>5</v>
      </c>
      <c r="E10" s="90">
        <v>5</v>
      </c>
      <c r="F10" s="84">
        <v>5</v>
      </c>
      <c r="G10" s="84">
        <v>875000</v>
      </c>
      <c r="H10" s="84">
        <v>5</v>
      </c>
      <c r="K10" s="110" t="s">
        <v>15</v>
      </c>
      <c r="L10" s="111" t="s">
        <v>131</v>
      </c>
      <c r="M10" s="115"/>
      <c r="N10" s="115"/>
      <c r="O10" s="115"/>
      <c r="P10" s="115">
        <v>0</v>
      </c>
      <c r="Q10" s="115">
        <v>0</v>
      </c>
      <c r="R10" s="115">
        <v>0</v>
      </c>
    </row>
    <row r="11" spans="1:18" x14ac:dyDescent="0.25">
      <c r="A11" s="79" t="s">
        <v>31</v>
      </c>
      <c r="B11" s="80" t="s">
        <v>132</v>
      </c>
      <c r="C11" s="93">
        <v>5</v>
      </c>
      <c r="D11" s="93">
        <v>5</v>
      </c>
      <c r="E11" s="90">
        <v>27</v>
      </c>
      <c r="F11" s="84">
        <v>27</v>
      </c>
      <c r="G11" s="94">
        <v>4725000</v>
      </c>
      <c r="H11" s="84">
        <v>27</v>
      </c>
      <c r="K11" s="110" t="s">
        <v>31</v>
      </c>
      <c r="L11" s="111" t="s">
        <v>173</v>
      </c>
      <c r="M11" s="115">
        <v>6</v>
      </c>
      <c r="N11" s="115">
        <v>12</v>
      </c>
      <c r="O11" s="115">
        <v>12</v>
      </c>
      <c r="P11" s="115">
        <v>12</v>
      </c>
      <c r="Q11" s="115">
        <v>2400000</v>
      </c>
      <c r="R11" s="115">
        <v>12</v>
      </c>
    </row>
    <row r="12" spans="1:18" x14ac:dyDescent="0.25">
      <c r="A12" s="86" t="s">
        <v>35</v>
      </c>
      <c r="B12" s="87" t="s">
        <v>133</v>
      </c>
      <c r="C12" s="91">
        <v>6</v>
      </c>
      <c r="D12" s="91">
        <v>6</v>
      </c>
      <c r="E12" s="92">
        <v>6</v>
      </c>
      <c r="F12" s="88">
        <v>6</v>
      </c>
      <c r="G12" s="88">
        <v>1050000</v>
      </c>
      <c r="H12" s="88">
        <v>6</v>
      </c>
      <c r="K12" s="110" t="s">
        <v>35</v>
      </c>
      <c r="L12" s="111" t="s">
        <v>174</v>
      </c>
      <c r="M12" s="115"/>
      <c r="N12" s="115"/>
      <c r="O12" s="115"/>
      <c r="P12" s="115">
        <v>0</v>
      </c>
      <c r="Q12" s="115">
        <v>0</v>
      </c>
      <c r="R12" s="115">
        <v>0</v>
      </c>
    </row>
    <row r="13" spans="1:18" x14ac:dyDescent="0.25">
      <c r="A13" s="79" t="s">
        <v>134</v>
      </c>
      <c r="B13" s="80" t="s">
        <v>135</v>
      </c>
      <c r="C13" s="89">
        <v>15</v>
      </c>
      <c r="D13" s="89">
        <v>21</v>
      </c>
      <c r="E13" s="90">
        <v>33</v>
      </c>
      <c r="F13" s="84">
        <v>33</v>
      </c>
      <c r="G13" s="84">
        <v>5775000</v>
      </c>
      <c r="H13" s="84">
        <v>33</v>
      </c>
      <c r="K13" s="110" t="s">
        <v>134</v>
      </c>
      <c r="L13" s="111" t="s">
        <v>175</v>
      </c>
      <c r="M13" s="115">
        <v>13</v>
      </c>
      <c r="N13" s="115">
        <v>16</v>
      </c>
      <c r="O13" s="115">
        <v>17</v>
      </c>
      <c r="P13" s="115">
        <v>17</v>
      </c>
      <c r="Q13" s="115">
        <v>3400000</v>
      </c>
      <c r="R13" s="115">
        <v>17</v>
      </c>
    </row>
    <row r="14" spans="1:18" x14ac:dyDescent="0.25">
      <c r="A14" s="79" t="s">
        <v>136</v>
      </c>
      <c r="B14" s="80" t="s">
        <v>137</v>
      </c>
      <c r="C14" s="89">
        <v>4</v>
      </c>
      <c r="D14" s="89">
        <v>4</v>
      </c>
      <c r="E14" s="90">
        <v>4</v>
      </c>
      <c r="F14" s="84">
        <v>4</v>
      </c>
      <c r="G14" s="84">
        <v>700000</v>
      </c>
      <c r="H14" s="84">
        <v>4</v>
      </c>
      <c r="K14" s="110" t="s">
        <v>136</v>
      </c>
      <c r="L14" s="111" t="s">
        <v>137</v>
      </c>
      <c r="M14" s="115">
        <v>5</v>
      </c>
      <c r="N14" s="115">
        <v>6</v>
      </c>
      <c r="O14" s="115">
        <v>10</v>
      </c>
      <c r="P14" s="115">
        <v>10</v>
      </c>
      <c r="Q14" s="115">
        <v>2000000</v>
      </c>
      <c r="R14" s="115">
        <v>10</v>
      </c>
    </row>
    <row r="15" spans="1:18" x14ac:dyDescent="0.25">
      <c r="A15" s="79" t="s">
        <v>138</v>
      </c>
      <c r="B15" s="80" t="s">
        <v>139</v>
      </c>
      <c r="C15" s="89">
        <v>2</v>
      </c>
      <c r="D15" s="89">
        <v>2</v>
      </c>
      <c r="E15" s="90">
        <v>2</v>
      </c>
      <c r="F15" s="84">
        <v>2</v>
      </c>
      <c r="G15" s="84">
        <v>350000</v>
      </c>
      <c r="H15" s="84">
        <v>2</v>
      </c>
      <c r="K15" s="110" t="s">
        <v>138</v>
      </c>
      <c r="L15" s="111" t="s">
        <v>139</v>
      </c>
      <c r="M15" s="115">
        <v>5</v>
      </c>
      <c r="N15" s="115">
        <v>5</v>
      </c>
      <c r="O15" s="115">
        <v>5</v>
      </c>
      <c r="P15" s="115">
        <v>5</v>
      </c>
      <c r="Q15" s="115">
        <v>1000000</v>
      </c>
      <c r="R15" s="115">
        <v>5</v>
      </c>
    </row>
    <row r="16" spans="1:18" x14ac:dyDescent="0.25">
      <c r="A16" s="79" t="s">
        <v>140</v>
      </c>
      <c r="B16" s="80" t="s">
        <v>141</v>
      </c>
      <c r="C16" s="89">
        <v>3</v>
      </c>
      <c r="D16" s="89">
        <v>3</v>
      </c>
      <c r="E16" s="90">
        <v>15</v>
      </c>
      <c r="F16" s="84">
        <v>15</v>
      </c>
      <c r="G16" s="94">
        <v>2625000</v>
      </c>
      <c r="H16" s="84">
        <v>15</v>
      </c>
      <c r="K16" s="110" t="s">
        <v>140</v>
      </c>
      <c r="L16" s="111" t="s">
        <v>141</v>
      </c>
      <c r="M16" s="115">
        <v>4</v>
      </c>
      <c r="N16" s="115">
        <v>6</v>
      </c>
      <c r="O16" s="115">
        <v>6</v>
      </c>
      <c r="P16" s="115">
        <v>6</v>
      </c>
      <c r="Q16" s="115">
        <v>1200000</v>
      </c>
      <c r="R16" s="115">
        <v>6</v>
      </c>
    </row>
    <row r="17" spans="1:18" x14ac:dyDescent="0.25">
      <c r="A17" s="79" t="s">
        <v>142</v>
      </c>
      <c r="B17" s="80" t="s">
        <v>143</v>
      </c>
      <c r="C17" s="89">
        <v>1</v>
      </c>
      <c r="D17" s="89">
        <v>1</v>
      </c>
      <c r="E17" s="90">
        <v>1</v>
      </c>
      <c r="F17" s="84">
        <v>1</v>
      </c>
      <c r="G17" s="84">
        <v>175000</v>
      </c>
      <c r="H17" s="84">
        <v>1</v>
      </c>
      <c r="K17" s="110" t="s">
        <v>142</v>
      </c>
      <c r="L17" s="111" t="s">
        <v>143</v>
      </c>
      <c r="M17" s="115"/>
      <c r="N17" s="115"/>
      <c r="O17" s="115"/>
      <c r="P17" s="115">
        <v>0</v>
      </c>
      <c r="Q17" s="115">
        <v>0</v>
      </c>
      <c r="R17" s="115">
        <v>0</v>
      </c>
    </row>
    <row r="18" spans="1:18" x14ac:dyDescent="0.25">
      <c r="A18" s="79" t="s">
        <v>144</v>
      </c>
      <c r="B18" s="80" t="s">
        <v>145</v>
      </c>
      <c r="C18" s="89">
        <v>12</v>
      </c>
      <c r="D18" s="89">
        <v>13</v>
      </c>
      <c r="E18" s="90">
        <v>13</v>
      </c>
      <c r="F18" s="84">
        <v>13</v>
      </c>
      <c r="G18" s="84">
        <v>2275000</v>
      </c>
      <c r="H18" s="84">
        <v>13</v>
      </c>
      <c r="K18" s="110" t="s">
        <v>144</v>
      </c>
      <c r="L18" s="111" t="s">
        <v>145</v>
      </c>
      <c r="M18" s="115">
        <v>7</v>
      </c>
      <c r="N18" s="115">
        <v>7</v>
      </c>
      <c r="O18" s="115">
        <v>7</v>
      </c>
      <c r="P18" s="115">
        <v>7</v>
      </c>
      <c r="Q18" s="115">
        <v>1400000</v>
      </c>
      <c r="R18" s="115">
        <v>7</v>
      </c>
    </row>
    <row r="19" spans="1:18" x14ac:dyDescent="0.25">
      <c r="A19" s="79" t="s">
        <v>146</v>
      </c>
      <c r="B19" s="80" t="s">
        <v>147</v>
      </c>
      <c r="C19" s="89">
        <v>22</v>
      </c>
      <c r="D19" s="89">
        <v>25</v>
      </c>
      <c r="E19" s="90">
        <v>31</v>
      </c>
      <c r="F19" s="84">
        <v>31</v>
      </c>
      <c r="G19" s="94">
        <v>5425000</v>
      </c>
      <c r="H19" s="84">
        <v>31</v>
      </c>
      <c r="K19" s="110" t="s">
        <v>146</v>
      </c>
      <c r="L19" s="111" t="s">
        <v>147</v>
      </c>
      <c r="M19" s="115">
        <v>11</v>
      </c>
      <c r="N19" s="115">
        <v>14</v>
      </c>
      <c r="O19" s="115">
        <v>14</v>
      </c>
      <c r="P19" s="115">
        <v>14</v>
      </c>
      <c r="Q19" s="115">
        <v>2800000</v>
      </c>
      <c r="R19" s="115">
        <v>14</v>
      </c>
    </row>
    <row r="20" spans="1:18" x14ac:dyDescent="0.25">
      <c r="A20" s="79" t="s">
        <v>148</v>
      </c>
      <c r="B20" s="80" t="s">
        <v>149</v>
      </c>
      <c r="C20" s="89">
        <v>17</v>
      </c>
      <c r="D20" s="89">
        <v>18</v>
      </c>
      <c r="E20" s="90">
        <v>18</v>
      </c>
      <c r="F20" s="84">
        <v>18</v>
      </c>
      <c r="G20" s="84">
        <v>3150000</v>
      </c>
      <c r="H20" s="84">
        <v>18</v>
      </c>
      <c r="K20" s="110" t="s">
        <v>148</v>
      </c>
      <c r="L20" s="111" t="s">
        <v>149</v>
      </c>
      <c r="M20" s="115">
        <v>7</v>
      </c>
      <c r="N20" s="115">
        <v>8</v>
      </c>
      <c r="O20" s="115">
        <v>8</v>
      </c>
      <c r="P20" s="115">
        <v>9</v>
      </c>
      <c r="Q20" s="115">
        <v>1800000</v>
      </c>
      <c r="R20" s="115">
        <v>9</v>
      </c>
    </row>
    <row r="21" spans="1:18" x14ac:dyDescent="0.25">
      <c r="A21" s="79" t="s">
        <v>150</v>
      </c>
      <c r="B21" s="80" t="s">
        <v>151</v>
      </c>
      <c r="C21" s="89">
        <v>2</v>
      </c>
      <c r="D21" s="89">
        <v>2</v>
      </c>
      <c r="E21" s="90">
        <v>2</v>
      </c>
      <c r="F21" s="84">
        <v>2</v>
      </c>
      <c r="G21" s="84">
        <v>350000</v>
      </c>
      <c r="H21" s="84">
        <v>2</v>
      </c>
      <c r="K21" s="110" t="s">
        <v>150</v>
      </c>
      <c r="L21" s="111" t="s">
        <v>151</v>
      </c>
      <c r="M21" s="115">
        <v>1</v>
      </c>
      <c r="N21" s="115">
        <v>1</v>
      </c>
      <c r="O21" s="115">
        <v>1</v>
      </c>
      <c r="P21" s="115">
        <v>1</v>
      </c>
      <c r="Q21" s="115">
        <v>200000</v>
      </c>
      <c r="R21" s="115">
        <v>1</v>
      </c>
    </row>
    <row r="22" spans="1:18" x14ac:dyDescent="0.25">
      <c r="A22" s="79" t="s">
        <v>152</v>
      </c>
      <c r="B22" s="80" t="s">
        <v>153</v>
      </c>
      <c r="C22" s="89">
        <v>2</v>
      </c>
      <c r="D22" s="89">
        <v>4</v>
      </c>
      <c r="E22" s="90">
        <v>4</v>
      </c>
      <c r="F22" s="84">
        <v>4</v>
      </c>
      <c r="G22" s="84">
        <v>700000</v>
      </c>
      <c r="H22" s="84">
        <v>4</v>
      </c>
      <c r="K22" s="110" t="s">
        <v>152</v>
      </c>
      <c r="L22" s="111" t="s">
        <v>153</v>
      </c>
      <c r="M22" s="115"/>
      <c r="N22" s="115"/>
      <c r="O22" s="115"/>
      <c r="P22" s="115">
        <v>0</v>
      </c>
      <c r="Q22" s="115">
        <v>0</v>
      </c>
      <c r="R22" s="115">
        <v>0</v>
      </c>
    </row>
    <row r="23" spans="1:18" x14ac:dyDescent="0.25">
      <c r="A23" s="79" t="s">
        <v>154</v>
      </c>
      <c r="B23" s="80" t="s">
        <v>155</v>
      </c>
      <c r="C23" s="89">
        <v>1</v>
      </c>
      <c r="D23" s="89">
        <v>1</v>
      </c>
      <c r="E23" s="90">
        <v>1</v>
      </c>
      <c r="F23" s="84">
        <v>1</v>
      </c>
      <c r="G23" s="84">
        <v>175000</v>
      </c>
      <c r="H23" s="84">
        <v>1</v>
      </c>
      <c r="K23" s="110" t="s">
        <v>154</v>
      </c>
      <c r="L23" s="111" t="s">
        <v>155</v>
      </c>
      <c r="M23" s="115"/>
      <c r="N23" s="115"/>
      <c r="O23" s="115"/>
      <c r="P23" s="115">
        <v>0</v>
      </c>
      <c r="Q23" s="115">
        <v>0</v>
      </c>
      <c r="R23" s="115">
        <v>0</v>
      </c>
    </row>
    <row r="24" spans="1:18" x14ac:dyDescent="0.25">
      <c r="A24" s="79" t="s">
        <v>156</v>
      </c>
      <c r="B24" s="80" t="s">
        <v>157</v>
      </c>
      <c r="C24" s="89">
        <v>4</v>
      </c>
      <c r="D24" s="89">
        <v>4</v>
      </c>
      <c r="E24" s="90">
        <v>4</v>
      </c>
      <c r="F24" s="84">
        <v>4</v>
      </c>
      <c r="G24" s="84">
        <v>700000</v>
      </c>
      <c r="H24" s="84">
        <v>4</v>
      </c>
      <c r="K24" s="110" t="s">
        <v>156</v>
      </c>
      <c r="L24" s="111" t="s">
        <v>157</v>
      </c>
      <c r="M24" s="115">
        <v>3</v>
      </c>
      <c r="N24" s="115">
        <v>3</v>
      </c>
      <c r="O24" s="115">
        <v>3</v>
      </c>
      <c r="P24" s="115">
        <v>3</v>
      </c>
      <c r="Q24" s="115">
        <v>600000</v>
      </c>
      <c r="R24" s="115">
        <v>3</v>
      </c>
    </row>
    <row r="25" spans="1:18" x14ac:dyDescent="0.25">
      <c r="A25" s="79" t="s">
        <v>158</v>
      </c>
      <c r="B25" s="80" t="s">
        <v>159</v>
      </c>
      <c r="C25" s="89">
        <v>6</v>
      </c>
      <c r="D25" s="89">
        <v>6</v>
      </c>
      <c r="E25" s="90">
        <v>6</v>
      </c>
      <c r="F25" s="84">
        <v>6</v>
      </c>
      <c r="G25" s="84">
        <v>1050000</v>
      </c>
      <c r="H25" s="84">
        <v>6</v>
      </c>
      <c r="K25" s="110" t="s">
        <v>158</v>
      </c>
      <c r="L25" s="111" t="s">
        <v>159</v>
      </c>
      <c r="M25" s="115"/>
      <c r="N25" s="115"/>
      <c r="O25" s="115"/>
      <c r="P25" s="115">
        <v>0</v>
      </c>
      <c r="Q25" s="115">
        <v>0</v>
      </c>
      <c r="R25" s="115">
        <v>0</v>
      </c>
    </row>
    <row r="26" spans="1:18" x14ac:dyDescent="0.25">
      <c r="A26" s="79" t="s">
        <v>160</v>
      </c>
      <c r="B26" s="80" t="s">
        <v>161</v>
      </c>
      <c r="C26" s="89"/>
      <c r="D26" s="89"/>
      <c r="E26" s="89"/>
      <c r="F26" s="84"/>
      <c r="G26" s="84"/>
      <c r="H26" s="84"/>
      <c r="K26" s="110" t="s">
        <v>160</v>
      </c>
      <c r="L26" s="111" t="s">
        <v>161</v>
      </c>
      <c r="M26" s="115"/>
      <c r="N26" s="115"/>
      <c r="O26" s="115"/>
      <c r="P26" s="115">
        <v>0</v>
      </c>
      <c r="Q26" s="115">
        <v>0</v>
      </c>
      <c r="R26" s="115">
        <v>0</v>
      </c>
    </row>
    <row r="27" spans="1:18" x14ac:dyDescent="0.25">
      <c r="A27" s="79" t="s">
        <v>162</v>
      </c>
      <c r="B27" s="80" t="s">
        <v>163</v>
      </c>
      <c r="C27" s="89">
        <v>1</v>
      </c>
      <c r="D27" s="89">
        <v>1</v>
      </c>
      <c r="E27" s="90">
        <v>1</v>
      </c>
      <c r="F27" s="84">
        <v>1</v>
      </c>
      <c r="G27" s="84">
        <v>175000</v>
      </c>
      <c r="H27" s="84">
        <v>1</v>
      </c>
      <c r="K27" s="110" t="s">
        <v>162</v>
      </c>
      <c r="L27" s="111" t="s">
        <v>163</v>
      </c>
      <c r="M27" s="115"/>
      <c r="N27" s="115"/>
      <c r="O27" s="115"/>
      <c r="P27" s="115">
        <v>0</v>
      </c>
      <c r="Q27" s="115">
        <v>0</v>
      </c>
      <c r="R27" s="115">
        <v>0</v>
      </c>
    </row>
    <row r="28" spans="1:18" x14ac:dyDescent="0.25">
      <c r="A28" s="79" t="s">
        <v>164</v>
      </c>
      <c r="B28" s="80" t="s">
        <v>165</v>
      </c>
      <c r="C28" s="89"/>
      <c r="D28" s="89"/>
      <c r="E28" s="89"/>
      <c r="F28" s="84"/>
      <c r="G28" s="84"/>
      <c r="H28" s="84"/>
      <c r="K28" s="110" t="s">
        <v>164</v>
      </c>
      <c r="L28" s="111" t="s">
        <v>165</v>
      </c>
      <c r="M28" s="115"/>
      <c r="N28" s="115"/>
      <c r="O28" s="115"/>
      <c r="P28" s="115">
        <v>0</v>
      </c>
      <c r="Q28" s="115">
        <v>0</v>
      </c>
      <c r="R28" s="115">
        <v>0</v>
      </c>
    </row>
    <row r="29" spans="1:18" x14ac:dyDescent="0.25">
      <c r="A29" s="79"/>
      <c r="B29" s="80" t="s">
        <v>166</v>
      </c>
      <c r="C29" s="90"/>
      <c r="D29" s="90"/>
      <c r="E29" s="90"/>
      <c r="F29" s="84"/>
      <c r="G29" s="84"/>
      <c r="H29" s="84"/>
      <c r="K29" s="110" t="s">
        <v>176</v>
      </c>
      <c r="L29" s="111" t="s">
        <v>177</v>
      </c>
      <c r="M29" s="115"/>
      <c r="N29" s="115"/>
      <c r="O29" s="115"/>
      <c r="P29" s="115">
        <v>0</v>
      </c>
      <c r="Q29" s="115">
        <v>0</v>
      </c>
      <c r="R29" s="115">
        <v>0</v>
      </c>
    </row>
    <row r="30" spans="1:18" x14ac:dyDescent="0.25">
      <c r="A30" s="82"/>
      <c r="B30" s="83" t="s">
        <v>36</v>
      </c>
      <c r="C30" s="85">
        <v>120</v>
      </c>
      <c r="D30" s="85">
        <v>135</v>
      </c>
      <c r="E30" s="85">
        <v>196</v>
      </c>
      <c r="F30" s="85">
        <v>196</v>
      </c>
      <c r="G30" s="85">
        <v>34300000</v>
      </c>
      <c r="H30" s="85">
        <v>196</v>
      </c>
      <c r="K30" s="113"/>
      <c r="L30" s="114" t="s">
        <v>36</v>
      </c>
      <c r="M30" s="116">
        <v>63</v>
      </c>
      <c r="N30" s="116">
        <v>79</v>
      </c>
      <c r="O30" s="116">
        <v>84</v>
      </c>
      <c r="P30" s="116">
        <v>85</v>
      </c>
      <c r="Q30" s="116">
        <v>17000000</v>
      </c>
      <c r="R30" s="116">
        <v>85</v>
      </c>
    </row>
    <row r="31" spans="1:18" x14ac:dyDescent="0.25">
      <c r="G31" s="123">
        <f>SUM(G8:G27)</f>
        <v>34300000</v>
      </c>
    </row>
    <row r="33" spans="1:6" ht="60" x14ac:dyDescent="0.25">
      <c r="A33" s="47" t="s">
        <v>68</v>
      </c>
      <c r="B33" s="47" t="s">
        <v>178</v>
      </c>
      <c r="C33" s="47" t="s">
        <v>110</v>
      </c>
      <c r="D33" s="138" t="s">
        <v>205</v>
      </c>
      <c r="E33" s="52" t="s">
        <v>206</v>
      </c>
      <c r="F33" s="139" t="s">
        <v>208</v>
      </c>
    </row>
    <row r="34" spans="1:6" s="108" customFormat="1" x14ac:dyDescent="0.25">
      <c r="A34" s="154">
        <v>2014</v>
      </c>
      <c r="B34" s="31" t="s">
        <v>180</v>
      </c>
      <c r="C34" s="148"/>
      <c r="D34" s="138"/>
      <c r="E34" s="52"/>
      <c r="F34" s="139"/>
    </row>
    <row r="35" spans="1:6" s="108" customFormat="1" x14ac:dyDescent="0.25">
      <c r="A35" s="154">
        <v>2015</v>
      </c>
      <c r="B35" s="31" t="s">
        <v>180</v>
      </c>
      <c r="C35" s="148"/>
      <c r="D35" s="138"/>
      <c r="E35" s="52"/>
      <c r="F35" s="139"/>
    </row>
    <row r="36" spans="1:6" s="108" customFormat="1" x14ac:dyDescent="0.25">
      <c r="A36" s="154">
        <v>2016</v>
      </c>
      <c r="B36" s="31" t="s">
        <v>180</v>
      </c>
      <c r="C36" s="148"/>
      <c r="D36" s="138"/>
      <c r="E36" s="52"/>
      <c r="F36" s="139"/>
    </row>
    <row r="37" spans="1:6" x14ac:dyDescent="0.25">
      <c r="A37" s="31">
        <v>2017</v>
      </c>
      <c r="B37" s="31" t="s">
        <v>180</v>
      </c>
      <c r="C37" s="32">
        <f>H30</f>
        <v>196</v>
      </c>
      <c r="D37" s="136">
        <f>G30</f>
        <v>34300000</v>
      </c>
      <c r="E37" s="157">
        <f>D37/C37</f>
        <v>175000</v>
      </c>
      <c r="F37" s="32">
        <f>C37*E39</f>
        <v>36750000</v>
      </c>
    </row>
    <row r="38" spans="1:6" x14ac:dyDescent="0.25">
      <c r="A38" s="31">
        <v>2018</v>
      </c>
      <c r="B38" s="31" t="s">
        <v>180</v>
      </c>
      <c r="C38" s="32">
        <f>R30</f>
        <v>85</v>
      </c>
      <c r="D38" s="136">
        <f>Q30</f>
        <v>17000000</v>
      </c>
      <c r="E38" s="157">
        <f>D38/C38</f>
        <v>200000</v>
      </c>
      <c r="F38" s="32">
        <f>C38*E39</f>
        <v>15937500</v>
      </c>
    </row>
    <row r="39" spans="1:6" x14ac:dyDescent="0.25">
      <c r="E39" s="158">
        <f>AVERAGE(E37:E38)</f>
        <v>187500</v>
      </c>
      <c r="F39" s="123"/>
    </row>
    <row r="40" spans="1:6" x14ac:dyDescent="0.25">
      <c r="A40" s="31" t="s">
        <v>207</v>
      </c>
      <c r="B40" s="31"/>
      <c r="C40" s="31">
        <v>141</v>
      </c>
      <c r="F40" s="32">
        <f>C40*E39</f>
        <v>26437500</v>
      </c>
    </row>
  </sheetData>
  <mergeCells count="11">
    <mergeCell ref="O3:R3"/>
    <mergeCell ref="L5:L7"/>
    <mergeCell ref="M5:O6"/>
    <mergeCell ref="K5:K7"/>
    <mergeCell ref="P5:Q6"/>
    <mergeCell ref="R5:R7"/>
    <mergeCell ref="H5:H7"/>
    <mergeCell ref="E3:H3"/>
    <mergeCell ref="A5:A7"/>
    <mergeCell ref="B5:E6"/>
    <mergeCell ref="F5:G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Z91"/>
  <sheetViews>
    <sheetView topLeftCell="A4" workbookViewId="0">
      <selection activeCell="M14" sqref="M14"/>
    </sheetView>
  </sheetViews>
  <sheetFormatPr defaultRowHeight="15" x14ac:dyDescent="0.25"/>
  <cols>
    <col min="2" max="2" width="18.28515625" customWidth="1"/>
    <col min="3" max="3" width="18.42578125" customWidth="1"/>
    <col min="4" max="4" width="9.85546875" customWidth="1"/>
    <col min="6" max="6" width="11.42578125" customWidth="1"/>
    <col min="7" max="7" width="12.85546875" customWidth="1"/>
    <col min="10" max="10" width="15.5703125" customWidth="1"/>
    <col min="11" max="11" width="15.42578125" customWidth="1"/>
    <col min="12" max="12" width="10.85546875" customWidth="1"/>
    <col min="13" max="13" width="11.7109375" customWidth="1"/>
  </cols>
  <sheetData>
    <row r="2" spans="1:17" x14ac:dyDescent="0.25">
      <c r="A2" s="27"/>
      <c r="B2" s="27"/>
      <c r="C2" s="27"/>
    </row>
    <row r="3" spans="1:17" x14ac:dyDescent="0.25">
      <c r="A3" s="27"/>
      <c r="B3" s="28"/>
      <c r="C3" s="29"/>
    </row>
    <row r="4" spans="1:17" x14ac:dyDescent="0.25">
      <c r="A4" s="23" t="s">
        <v>1</v>
      </c>
      <c r="B4" s="24" t="s">
        <v>2</v>
      </c>
      <c r="C4" s="23" t="s">
        <v>3</v>
      </c>
      <c r="D4" s="11">
        <v>2005</v>
      </c>
      <c r="E4" s="11">
        <v>2006</v>
      </c>
      <c r="F4" s="11">
        <v>2007</v>
      </c>
      <c r="G4" s="11">
        <v>2008</v>
      </c>
      <c r="H4" s="11">
        <v>2009</v>
      </c>
      <c r="I4" s="11">
        <v>2010</v>
      </c>
      <c r="J4" s="11">
        <v>2011</v>
      </c>
      <c r="K4" s="11" t="s">
        <v>5</v>
      </c>
      <c r="L4" s="11" t="s">
        <v>6</v>
      </c>
      <c r="M4" s="11">
        <v>2014</v>
      </c>
      <c r="N4" s="11">
        <v>2015</v>
      </c>
      <c r="O4" s="11">
        <v>2016</v>
      </c>
      <c r="P4" s="11">
        <v>2017</v>
      </c>
      <c r="Q4" s="11">
        <v>2018</v>
      </c>
    </row>
    <row r="5" spans="1:17" x14ac:dyDescent="0.25">
      <c r="A5" s="175" t="s">
        <v>7</v>
      </c>
      <c r="B5" s="176" t="s">
        <v>8</v>
      </c>
      <c r="C5" s="12" t="s">
        <v>9</v>
      </c>
      <c r="D5" s="13">
        <v>925900.03</v>
      </c>
      <c r="E5" s="13">
        <v>926044</v>
      </c>
      <c r="F5" s="13">
        <v>933204.23</v>
      </c>
      <c r="G5" s="13">
        <v>790262.95</v>
      </c>
      <c r="H5" s="13">
        <v>741253</v>
      </c>
      <c r="I5" s="13">
        <v>769497</v>
      </c>
      <c r="J5" s="13">
        <v>763087</v>
      </c>
      <c r="K5" s="13">
        <v>647516</v>
      </c>
      <c r="L5" s="13">
        <v>595844.48</v>
      </c>
      <c r="M5" s="13">
        <v>402784.67999999993</v>
      </c>
      <c r="N5" s="13">
        <v>911304</v>
      </c>
      <c r="O5" s="13">
        <v>566434.56000000006</v>
      </c>
      <c r="P5" s="13">
        <f>931712.9-(P6+P7+P8+P9+P10)</f>
        <v>837822.68</v>
      </c>
      <c r="Q5" s="13">
        <f>931712.9-(Q6+Q7+Q8+Q9+Q10)</f>
        <v>889459.59000000008</v>
      </c>
    </row>
    <row r="6" spans="1:17" x14ac:dyDescent="0.25">
      <c r="A6" s="175"/>
      <c r="B6" s="176"/>
      <c r="C6" s="12" t="s">
        <v>10</v>
      </c>
      <c r="D6" s="13"/>
      <c r="E6" s="13"/>
      <c r="F6" s="13"/>
      <c r="G6" s="13">
        <v>152015</v>
      </c>
      <c r="H6" s="13">
        <v>200500</v>
      </c>
      <c r="I6" s="13">
        <v>166310</v>
      </c>
      <c r="J6" s="13">
        <v>170500</v>
      </c>
      <c r="K6" s="13">
        <v>247900</v>
      </c>
      <c r="L6" s="13">
        <v>298093.84999999998</v>
      </c>
      <c r="M6" s="13">
        <v>499315.65</v>
      </c>
      <c r="N6" s="13">
        <v>16500</v>
      </c>
      <c r="O6" s="25">
        <v>0</v>
      </c>
      <c r="P6" s="13">
        <v>0</v>
      </c>
      <c r="Q6" s="13">
        <v>0</v>
      </c>
    </row>
    <row r="7" spans="1:17" x14ac:dyDescent="0.25">
      <c r="A7" s="175"/>
      <c r="B7" s="176"/>
      <c r="C7" s="12" t="s">
        <v>11</v>
      </c>
      <c r="D7" s="13"/>
      <c r="E7" s="13"/>
      <c r="F7" s="13">
        <v>200</v>
      </c>
      <c r="G7" s="13">
        <v>225</v>
      </c>
      <c r="H7" s="13">
        <v>2250</v>
      </c>
      <c r="I7" s="13">
        <v>3100</v>
      </c>
      <c r="J7" s="13">
        <v>3000</v>
      </c>
      <c r="K7" s="13">
        <v>22100</v>
      </c>
      <c r="L7" s="13">
        <v>48700</v>
      </c>
      <c r="M7" s="13">
        <v>35420</v>
      </c>
      <c r="N7" s="13">
        <v>0</v>
      </c>
      <c r="O7" s="13">
        <v>0</v>
      </c>
      <c r="P7" s="13">
        <v>0</v>
      </c>
      <c r="Q7" s="13">
        <v>0</v>
      </c>
    </row>
    <row r="8" spans="1:17" x14ac:dyDescent="0.25">
      <c r="A8" s="175"/>
      <c r="B8" s="176"/>
      <c r="C8" s="12" t="s">
        <v>12</v>
      </c>
      <c r="D8" s="13"/>
      <c r="E8" s="13">
        <v>738</v>
      </c>
      <c r="F8" s="13">
        <v>1441</v>
      </c>
      <c r="G8" s="13">
        <v>2571</v>
      </c>
      <c r="H8" s="13">
        <v>5911</v>
      </c>
      <c r="I8" s="13">
        <v>3504</v>
      </c>
      <c r="J8" s="13">
        <v>6429</v>
      </c>
      <c r="K8" s="13">
        <v>25500</v>
      </c>
      <c r="L8" s="13">
        <v>377.6699999999999</v>
      </c>
      <c r="M8" s="13">
        <v>537.66999999999985</v>
      </c>
      <c r="N8" s="14">
        <v>8725</v>
      </c>
      <c r="O8" s="14">
        <v>3653.69</v>
      </c>
      <c r="P8" s="14">
        <v>3702.2200000000003</v>
      </c>
      <c r="Q8" s="14">
        <v>6508.31</v>
      </c>
    </row>
    <row r="9" spans="1:17" x14ac:dyDescent="0.25">
      <c r="A9" s="175"/>
      <c r="B9" s="176"/>
      <c r="C9" s="12" t="s">
        <v>49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>
        <v>359743</v>
      </c>
      <c r="P9" s="13">
        <v>90188</v>
      </c>
      <c r="Q9" s="13">
        <v>35745</v>
      </c>
    </row>
    <row r="10" spans="1:17" x14ac:dyDescent="0.25">
      <c r="A10" s="175"/>
      <c r="B10" s="176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25">
      <c r="A11" s="175"/>
      <c r="B11" s="176"/>
      <c r="C11" s="15" t="s">
        <v>36</v>
      </c>
      <c r="D11" s="16">
        <v>925900.03</v>
      </c>
      <c r="E11" s="16">
        <v>926782</v>
      </c>
      <c r="F11" s="16">
        <v>934845.23</v>
      </c>
      <c r="G11" s="16">
        <v>945073.95</v>
      </c>
      <c r="H11" s="16">
        <v>949914</v>
      </c>
      <c r="I11" s="16">
        <f t="shared" ref="I11:Q11" si="0">SUM(I5:I10)</f>
        <v>942411</v>
      </c>
      <c r="J11" s="16">
        <f t="shared" si="0"/>
        <v>943016</v>
      </c>
      <c r="K11" s="16">
        <f t="shared" si="0"/>
        <v>943016</v>
      </c>
      <c r="L11" s="16">
        <f t="shared" si="0"/>
        <v>943016</v>
      </c>
      <c r="M11" s="16">
        <f t="shared" si="0"/>
        <v>938058</v>
      </c>
      <c r="N11" s="16">
        <f t="shared" si="0"/>
        <v>936529</v>
      </c>
      <c r="O11" s="16">
        <f t="shared" si="0"/>
        <v>929831.25</v>
      </c>
      <c r="P11" s="16">
        <f t="shared" si="0"/>
        <v>931712.9</v>
      </c>
      <c r="Q11" s="16">
        <f t="shared" si="0"/>
        <v>931712.90000000014</v>
      </c>
    </row>
    <row r="12" spans="1:17" ht="15.75" thickBot="1" x14ac:dyDescent="0.3">
      <c r="A12" s="27"/>
      <c r="B12" s="27"/>
      <c r="C12" s="27"/>
    </row>
    <row r="13" spans="1:17" x14ac:dyDescent="0.25">
      <c r="A13" s="27"/>
      <c r="B13" s="27"/>
      <c r="C13" s="27"/>
      <c r="J13" s="198" t="s">
        <v>215</v>
      </c>
      <c r="K13" s="199"/>
      <c r="L13" s="200"/>
    </row>
    <row r="14" spans="1:17" s="108" customFormat="1" ht="30" x14ac:dyDescent="0.25">
      <c r="A14" s="27"/>
      <c r="B14" s="27"/>
      <c r="C14" s="27"/>
      <c r="J14" s="146"/>
      <c r="K14" s="146" t="s">
        <v>217</v>
      </c>
      <c r="L14" s="146" t="s">
        <v>216</v>
      </c>
      <c r="M14" s="31" t="s">
        <v>219</v>
      </c>
    </row>
    <row r="15" spans="1:17" ht="42.75" customHeight="1" x14ac:dyDescent="0.25">
      <c r="B15" s="27"/>
      <c r="C15" s="27"/>
      <c r="J15" s="159" t="s">
        <v>221</v>
      </c>
      <c r="K15" s="160">
        <v>2646</v>
      </c>
      <c r="L15" s="31" t="s">
        <v>218</v>
      </c>
      <c r="M15" s="159" t="s">
        <v>213</v>
      </c>
    </row>
    <row r="16" spans="1:17" ht="33" customHeight="1" x14ac:dyDescent="0.4">
      <c r="A16" s="209" t="s">
        <v>11</v>
      </c>
      <c r="B16" s="209"/>
      <c r="C16" s="209"/>
      <c r="D16" s="209"/>
      <c r="E16" s="209"/>
      <c r="F16" s="209"/>
      <c r="G16" s="209"/>
      <c r="J16" s="159" t="s">
        <v>180</v>
      </c>
      <c r="K16" s="160">
        <v>275000</v>
      </c>
      <c r="L16" s="31" t="s">
        <v>220</v>
      </c>
      <c r="M16" s="159" t="s">
        <v>214</v>
      </c>
    </row>
    <row r="17" spans="1:26" x14ac:dyDescent="0.25">
      <c r="A17" s="207" t="s">
        <v>68</v>
      </c>
      <c r="B17" s="212" t="s">
        <v>70</v>
      </c>
      <c r="C17" s="212"/>
      <c r="D17" s="211" t="s">
        <v>54</v>
      </c>
      <c r="E17" s="211"/>
      <c r="F17" s="210" t="s">
        <v>55</v>
      </c>
      <c r="G17" s="210"/>
    </row>
    <row r="18" spans="1:26" x14ac:dyDescent="0.25">
      <c r="A18" s="207"/>
      <c r="B18" s="212"/>
      <c r="C18" s="212"/>
      <c r="D18" s="211"/>
      <c r="E18" s="211"/>
      <c r="F18" s="210"/>
      <c r="G18" s="210"/>
    </row>
    <row r="19" spans="1:26" ht="75" x14ac:dyDescent="0.25">
      <c r="A19" s="207"/>
      <c r="B19" s="122" t="s">
        <v>56</v>
      </c>
      <c r="C19" s="122" t="s">
        <v>57</v>
      </c>
      <c r="D19" s="121" t="s">
        <v>58</v>
      </c>
      <c r="E19" s="30" t="s">
        <v>59</v>
      </c>
      <c r="F19" s="120" t="s">
        <v>60</v>
      </c>
      <c r="G19" s="120" t="s">
        <v>61</v>
      </c>
      <c r="J19" s="108"/>
      <c r="K19" s="108"/>
      <c r="L19" s="108"/>
    </row>
    <row r="20" spans="1:26" x14ac:dyDescent="0.25">
      <c r="A20" s="207"/>
      <c r="B20" s="122" t="s">
        <v>62</v>
      </c>
      <c r="C20" s="122" t="s">
        <v>63</v>
      </c>
      <c r="D20" s="121" t="s">
        <v>64</v>
      </c>
      <c r="E20" s="121" t="s">
        <v>65</v>
      </c>
      <c r="F20" s="120" t="s">
        <v>66</v>
      </c>
      <c r="G20" s="120" t="s">
        <v>67</v>
      </c>
      <c r="J20" s="108"/>
      <c r="K20" s="108"/>
      <c r="L20" s="108"/>
    </row>
    <row r="21" spans="1:26" s="48" customFormat="1" x14ac:dyDescent="0.25">
      <c r="A21" s="36">
        <v>2005</v>
      </c>
      <c r="B21" s="49">
        <f>D7</f>
        <v>0</v>
      </c>
      <c r="C21" s="34">
        <v>2</v>
      </c>
      <c r="D21" s="34">
        <f t="shared" ref="D21:D25" si="1">1-0.71</f>
        <v>0.29000000000000004</v>
      </c>
      <c r="E21" s="34">
        <v>160.9</v>
      </c>
      <c r="F21" s="35">
        <f t="shared" ref="F21:F25" si="2">B21*C21*D21*E21*10^-3</f>
        <v>0</v>
      </c>
      <c r="G21" s="38">
        <f t="shared" ref="G21:G25" si="3">F21*21</f>
        <v>0</v>
      </c>
    </row>
    <row r="22" spans="1:26" s="48" customFormat="1" x14ac:dyDescent="0.25">
      <c r="A22" s="36">
        <v>2006</v>
      </c>
      <c r="B22" s="49">
        <f>E7</f>
        <v>0</v>
      </c>
      <c r="C22" s="34">
        <v>2</v>
      </c>
      <c r="D22" s="34">
        <f t="shared" si="1"/>
        <v>0.29000000000000004</v>
      </c>
      <c r="E22" s="34">
        <v>160.9</v>
      </c>
      <c r="F22" s="35">
        <f t="shared" si="2"/>
        <v>0</v>
      </c>
      <c r="G22" s="38">
        <f t="shared" si="3"/>
        <v>0</v>
      </c>
    </row>
    <row r="23" spans="1:26" s="48" customFormat="1" x14ac:dyDescent="0.25">
      <c r="A23" s="36">
        <v>2007</v>
      </c>
      <c r="B23" s="49">
        <f>F7</f>
        <v>200</v>
      </c>
      <c r="C23" s="34">
        <v>2</v>
      </c>
      <c r="D23" s="34">
        <f t="shared" si="1"/>
        <v>0.29000000000000004</v>
      </c>
      <c r="E23" s="34">
        <v>160.9</v>
      </c>
      <c r="F23" s="35">
        <f>B23*C23*D23*E23*10^-3</f>
        <v>18.664400000000001</v>
      </c>
      <c r="G23" s="38">
        <f t="shared" si="3"/>
        <v>391.95240000000001</v>
      </c>
    </row>
    <row r="24" spans="1:26" s="48" customFormat="1" x14ac:dyDescent="0.25">
      <c r="A24" s="36">
        <v>2008</v>
      </c>
      <c r="B24" s="49">
        <f>G7</f>
        <v>225</v>
      </c>
      <c r="C24" s="34">
        <v>2</v>
      </c>
      <c r="D24" s="34">
        <f t="shared" si="1"/>
        <v>0.29000000000000004</v>
      </c>
      <c r="E24" s="34">
        <v>160.9</v>
      </c>
      <c r="F24" s="35">
        <f t="shared" si="2"/>
        <v>20.997450000000004</v>
      </c>
      <c r="G24" s="38">
        <f t="shared" si="3"/>
        <v>440.94645000000008</v>
      </c>
      <c r="H24" s="134"/>
    </row>
    <row r="25" spans="1:26" s="48" customFormat="1" x14ac:dyDescent="0.25">
      <c r="A25" s="36">
        <v>2009</v>
      </c>
      <c r="B25" s="49">
        <f>H7</f>
        <v>2250</v>
      </c>
      <c r="C25" s="34">
        <v>2</v>
      </c>
      <c r="D25" s="34">
        <f t="shared" si="1"/>
        <v>0.29000000000000004</v>
      </c>
      <c r="E25" s="34">
        <v>160.9</v>
      </c>
      <c r="F25" s="35">
        <f t="shared" si="2"/>
        <v>209.97450000000006</v>
      </c>
      <c r="G25" s="38">
        <f t="shared" si="3"/>
        <v>4409.464500000001</v>
      </c>
      <c r="H25" s="134"/>
    </row>
    <row r="26" spans="1:26" x14ac:dyDescent="0.25">
      <c r="A26" s="36">
        <v>2010</v>
      </c>
      <c r="B26" s="33">
        <f>I7</f>
        <v>3100</v>
      </c>
      <c r="C26" s="34">
        <v>2</v>
      </c>
      <c r="D26" s="34">
        <f>1-0.71</f>
        <v>0.29000000000000004</v>
      </c>
      <c r="E26" s="34">
        <v>160.9</v>
      </c>
      <c r="F26" s="35">
        <f>B26*C26*D26*E26*10^-3</f>
        <v>289.29820000000007</v>
      </c>
      <c r="G26" s="38">
        <f>F26*21</f>
        <v>6075.262200000001</v>
      </c>
      <c r="H26" s="134"/>
    </row>
    <row r="27" spans="1:26" x14ac:dyDescent="0.25">
      <c r="A27" s="36">
        <v>2011</v>
      </c>
      <c r="B27" s="37">
        <f>J7</f>
        <v>3000</v>
      </c>
      <c r="C27" s="34">
        <v>2</v>
      </c>
      <c r="D27" s="34">
        <f t="shared" ref="D27:D52" si="4">1-0.71</f>
        <v>0.29000000000000004</v>
      </c>
      <c r="E27" s="34">
        <v>160.9</v>
      </c>
      <c r="F27" s="35">
        <f t="shared" ref="F27:F35" si="5">B27*C27*D27*E27*10^-3</f>
        <v>279.96600000000007</v>
      </c>
      <c r="G27" s="38">
        <f t="shared" ref="G27:G35" si="6">F27*21</f>
        <v>5879.286000000001</v>
      </c>
      <c r="H27" s="134"/>
    </row>
    <row r="28" spans="1:26" x14ac:dyDescent="0.25">
      <c r="A28" s="36">
        <v>2012</v>
      </c>
      <c r="B28" s="37">
        <f>K7</f>
        <v>22100</v>
      </c>
      <c r="C28" s="34">
        <v>2</v>
      </c>
      <c r="D28" s="34">
        <f t="shared" si="4"/>
        <v>0.29000000000000004</v>
      </c>
      <c r="E28" s="34">
        <v>160.9</v>
      </c>
      <c r="F28" s="35">
        <f t="shared" si="5"/>
        <v>2062.4162000000006</v>
      </c>
      <c r="G28" s="38">
        <f t="shared" si="6"/>
        <v>43310.740200000015</v>
      </c>
      <c r="H28" s="134"/>
    </row>
    <row r="29" spans="1:26" x14ac:dyDescent="0.25">
      <c r="A29" s="36">
        <v>2013</v>
      </c>
      <c r="B29" s="37">
        <f>L7</f>
        <v>48700</v>
      </c>
      <c r="C29" s="34">
        <v>2</v>
      </c>
      <c r="D29" s="34">
        <f t="shared" si="4"/>
        <v>0.29000000000000004</v>
      </c>
      <c r="E29" s="34">
        <v>160.9</v>
      </c>
      <c r="F29" s="35">
        <f t="shared" si="5"/>
        <v>4544.7814000000008</v>
      </c>
      <c r="G29" s="38">
        <f t="shared" si="6"/>
        <v>95440.409400000019</v>
      </c>
      <c r="H29" s="134"/>
    </row>
    <row r="30" spans="1:26" x14ac:dyDescent="0.25">
      <c r="A30" s="36">
        <v>2014</v>
      </c>
      <c r="B30" s="37">
        <f>M7</f>
        <v>35420</v>
      </c>
      <c r="C30" s="34">
        <v>2</v>
      </c>
      <c r="D30" s="34">
        <f t="shared" si="4"/>
        <v>0.29000000000000004</v>
      </c>
      <c r="E30" s="34">
        <v>160.9</v>
      </c>
      <c r="F30" s="35">
        <f t="shared" si="5"/>
        <v>3305.4652400000009</v>
      </c>
      <c r="G30" s="38">
        <f t="shared" si="6"/>
        <v>69414.770040000018</v>
      </c>
      <c r="H30" s="134"/>
      <c r="I30" s="123"/>
    </row>
    <row r="31" spans="1:26" s="108" customFormat="1" x14ac:dyDescent="0.25">
      <c r="A31" s="36"/>
      <c r="B31" s="37"/>
      <c r="C31" s="34"/>
      <c r="D31" s="34"/>
      <c r="E31" s="34"/>
      <c r="F31" s="35"/>
      <c r="G31" s="38"/>
      <c r="H31" s="134"/>
      <c r="I31" s="123"/>
    </row>
    <row r="32" spans="1:26" x14ac:dyDescent="0.25">
      <c r="A32" s="125">
        <v>2010</v>
      </c>
      <c r="B32" s="126">
        <v>0</v>
      </c>
      <c r="C32" s="127">
        <v>2</v>
      </c>
      <c r="D32" s="127">
        <f t="shared" si="4"/>
        <v>0.29000000000000004</v>
      </c>
      <c r="E32" s="127">
        <v>160.9</v>
      </c>
      <c r="F32" s="128">
        <f t="shared" si="5"/>
        <v>0</v>
      </c>
      <c r="G32" s="129">
        <f t="shared" si="6"/>
        <v>0</v>
      </c>
      <c r="H32" s="201" t="s">
        <v>204</v>
      </c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 spans="1:26" x14ac:dyDescent="0.25">
      <c r="A33" s="125">
        <v>2011</v>
      </c>
      <c r="B33" s="126">
        <f>B32+($B$37/5)</f>
        <v>2874.875</v>
      </c>
      <c r="C33" s="127">
        <v>2</v>
      </c>
      <c r="D33" s="127">
        <f t="shared" si="4"/>
        <v>0.29000000000000004</v>
      </c>
      <c r="E33" s="127">
        <v>160.9</v>
      </c>
      <c r="F33" s="128">
        <f t="shared" si="5"/>
        <v>268.28908475000003</v>
      </c>
      <c r="G33" s="129">
        <f t="shared" si="6"/>
        <v>5634.0707797500008</v>
      </c>
      <c r="H33" s="201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spans="1:26" x14ac:dyDescent="0.25">
      <c r="A34" s="125">
        <v>2012</v>
      </c>
      <c r="B34" s="126">
        <f t="shared" ref="B34:B36" si="7">B33+($B$37/5)</f>
        <v>5749.75</v>
      </c>
      <c r="C34" s="127">
        <v>2</v>
      </c>
      <c r="D34" s="127">
        <f t="shared" si="4"/>
        <v>0.29000000000000004</v>
      </c>
      <c r="E34" s="127">
        <v>160.9</v>
      </c>
      <c r="F34" s="128">
        <f t="shared" si="5"/>
        <v>536.57816950000006</v>
      </c>
      <c r="G34" s="129">
        <f t="shared" si="6"/>
        <v>11268.141559500002</v>
      </c>
      <c r="H34" s="201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 spans="1:26" x14ac:dyDescent="0.25">
      <c r="A35" s="125">
        <v>2013</v>
      </c>
      <c r="B35" s="126">
        <f t="shared" si="7"/>
        <v>8624.625</v>
      </c>
      <c r="C35" s="127">
        <v>2</v>
      </c>
      <c r="D35" s="127">
        <f t="shared" si="4"/>
        <v>0.29000000000000004</v>
      </c>
      <c r="E35" s="127">
        <v>160.9</v>
      </c>
      <c r="F35" s="128">
        <f t="shared" si="5"/>
        <v>804.86725425000009</v>
      </c>
      <c r="G35" s="129">
        <f t="shared" si="6"/>
        <v>16902.212339250003</v>
      </c>
      <c r="H35" s="201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 spans="1:26" s="108" customFormat="1" x14ac:dyDescent="0.25">
      <c r="A36" s="125">
        <v>2014</v>
      </c>
      <c r="B36" s="126">
        <f t="shared" si="7"/>
        <v>11499.5</v>
      </c>
      <c r="C36" s="127">
        <v>2</v>
      </c>
      <c r="D36" s="127">
        <f t="shared" si="4"/>
        <v>0.29000000000000004</v>
      </c>
      <c r="E36" s="127">
        <v>160.9</v>
      </c>
      <c r="F36" s="128">
        <f t="shared" ref="F36:F52" si="8">B36*C36*D36*E36*10^-3</f>
        <v>1073.1563390000001</v>
      </c>
      <c r="G36" s="129">
        <f t="shared" ref="G36:G52" si="9">F36*21</f>
        <v>22536.283119000003</v>
      </c>
      <c r="H36" s="201"/>
    </row>
    <row r="37" spans="1:26" s="108" customFormat="1" x14ac:dyDescent="0.25">
      <c r="A37" s="125">
        <v>2015</v>
      </c>
      <c r="B37" s="126">
        <f>AVERAGE(B23:B30)</f>
        <v>14374.375</v>
      </c>
      <c r="C37" s="127">
        <v>2</v>
      </c>
      <c r="D37" s="127">
        <f t="shared" si="4"/>
        <v>0.29000000000000004</v>
      </c>
      <c r="E37" s="127">
        <v>160.9</v>
      </c>
      <c r="F37" s="128">
        <f t="shared" si="8"/>
        <v>1341.4454237500001</v>
      </c>
      <c r="G37" s="129">
        <f t="shared" si="9"/>
        <v>28170.353898750003</v>
      </c>
      <c r="H37" s="201"/>
    </row>
    <row r="38" spans="1:26" s="108" customFormat="1" x14ac:dyDescent="0.25">
      <c r="A38" s="125">
        <v>2016</v>
      </c>
      <c r="B38" s="126">
        <f t="shared" ref="B38:B52" si="10">B37</f>
        <v>14374.375</v>
      </c>
      <c r="C38" s="127">
        <v>2</v>
      </c>
      <c r="D38" s="127">
        <f t="shared" si="4"/>
        <v>0.29000000000000004</v>
      </c>
      <c r="E38" s="127">
        <v>160.9</v>
      </c>
      <c r="F38" s="128">
        <f t="shared" si="8"/>
        <v>1341.4454237500001</v>
      </c>
      <c r="G38" s="129">
        <f t="shared" si="9"/>
        <v>28170.353898750003</v>
      </c>
      <c r="H38" s="201"/>
    </row>
    <row r="39" spans="1:26" s="108" customFormat="1" x14ac:dyDescent="0.25">
      <c r="A39" s="125">
        <v>2017</v>
      </c>
      <c r="B39" s="126">
        <f t="shared" si="10"/>
        <v>14374.375</v>
      </c>
      <c r="C39" s="127">
        <v>2</v>
      </c>
      <c r="D39" s="127">
        <f t="shared" si="4"/>
        <v>0.29000000000000004</v>
      </c>
      <c r="E39" s="127">
        <v>160.9</v>
      </c>
      <c r="F39" s="128">
        <f t="shared" si="8"/>
        <v>1341.4454237500001</v>
      </c>
      <c r="G39" s="129">
        <f t="shared" si="9"/>
        <v>28170.353898750003</v>
      </c>
      <c r="H39" s="201"/>
    </row>
    <row r="40" spans="1:26" s="108" customFormat="1" x14ac:dyDescent="0.25">
      <c r="A40" s="125">
        <v>2018</v>
      </c>
      <c r="B40" s="126">
        <f t="shared" si="10"/>
        <v>14374.375</v>
      </c>
      <c r="C40" s="127">
        <v>2</v>
      </c>
      <c r="D40" s="127">
        <f t="shared" si="4"/>
        <v>0.29000000000000004</v>
      </c>
      <c r="E40" s="127">
        <v>160.9</v>
      </c>
      <c r="F40" s="128">
        <f t="shared" si="8"/>
        <v>1341.4454237500001</v>
      </c>
      <c r="G40" s="129">
        <f t="shared" si="9"/>
        <v>28170.353898750003</v>
      </c>
      <c r="H40" s="201"/>
    </row>
    <row r="41" spans="1:26" s="108" customFormat="1" x14ac:dyDescent="0.25">
      <c r="A41" s="125">
        <v>2019</v>
      </c>
      <c r="B41" s="126">
        <f t="shared" si="10"/>
        <v>14374.375</v>
      </c>
      <c r="C41" s="127">
        <v>2</v>
      </c>
      <c r="D41" s="127">
        <f t="shared" si="4"/>
        <v>0.29000000000000004</v>
      </c>
      <c r="E41" s="127">
        <v>160.9</v>
      </c>
      <c r="F41" s="128">
        <f t="shared" si="8"/>
        <v>1341.4454237500001</v>
      </c>
      <c r="G41" s="129">
        <f t="shared" si="9"/>
        <v>28170.353898750003</v>
      </c>
      <c r="H41" s="201"/>
    </row>
    <row r="42" spans="1:26" s="108" customFormat="1" x14ac:dyDescent="0.25">
      <c r="A42" s="125">
        <v>2020</v>
      </c>
      <c r="B42" s="126">
        <f t="shared" si="10"/>
        <v>14374.375</v>
      </c>
      <c r="C42" s="127">
        <v>2</v>
      </c>
      <c r="D42" s="127">
        <f t="shared" si="4"/>
        <v>0.29000000000000004</v>
      </c>
      <c r="E42" s="127">
        <v>160.9</v>
      </c>
      <c r="F42" s="128">
        <f t="shared" si="8"/>
        <v>1341.4454237500001</v>
      </c>
      <c r="G42" s="129">
        <f t="shared" si="9"/>
        <v>28170.353898750003</v>
      </c>
      <c r="H42" s="201"/>
    </row>
    <row r="43" spans="1:26" s="108" customFormat="1" x14ac:dyDescent="0.25">
      <c r="A43" s="125">
        <v>2021</v>
      </c>
      <c r="B43" s="126">
        <f t="shared" si="10"/>
        <v>14374.375</v>
      </c>
      <c r="C43" s="127">
        <v>2</v>
      </c>
      <c r="D43" s="127">
        <f t="shared" si="4"/>
        <v>0.29000000000000004</v>
      </c>
      <c r="E43" s="127">
        <v>160.9</v>
      </c>
      <c r="F43" s="128">
        <f t="shared" si="8"/>
        <v>1341.4454237500001</v>
      </c>
      <c r="G43" s="129">
        <f t="shared" si="9"/>
        <v>28170.353898750003</v>
      </c>
      <c r="H43" s="201"/>
    </row>
    <row r="44" spans="1:26" s="108" customFormat="1" x14ac:dyDescent="0.25">
      <c r="A44" s="125">
        <v>2022</v>
      </c>
      <c r="B44" s="126">
        <f t="shared" si="10"/>
        <v>14374.375</v>
      </c>
      <c r="C44" s="127">
        <v>2</v>
      </c>
      <c r="D44" s="127">
        <f t="shared" si="4"/>
        <v>0.29000000000000004</v>
      </c>
      <c r="E44" s="127">
        <v>160.9</v>
      </c>
      <c r="F44" s="128">
        <f t="shared" si="8"/>
        <v>1341.4454237500001</v>
      </c>
      <c r="G44" s="129">
        <f t="shared" si="9"/>
        <v>28170.353898750003</v>
      </c>
      <c r="H44" s="201"/>
    </row>
    <row r="45" spans="1:26" s="108" customFormat="1" x14ac:dyDescent="0.25">
      <c r="A45" s="125">
        <v>2023</v>
      </c>
      <c r="B45" s="126">
        <f t="shared" si="10"/>
        <v>14374.375</v>
      </c>
      <c r="C45" s="127">
        <v>2</v>
      </c>
      <c r="D45" s="127">
        <f t="shared" si="4"/>
        <v>0.29000000000000004</v>
      </c>
      <c r="E45" s="127">
        <v>160.9</v>
      </c>
      <c r="F45" s="128">
        <f t="shared" si="8"/>
        <v>1341.4454237500001</v>
      </c>
      <c r="G45" s="129">
        <f t="shared" si="9"/>
        <v>28170.353898750003</v>
      </c>
      <c r="H45" s="201"/>
    </row>
    <row r="46" spans="1:26" x14ac:dyDescent="0.25">
      <c r="A46" s="125">
        <v>2024</v>
      </c>
      <c r="B46" s="126">
        <f t="shared" si="10"/>
        <v>14374.375</v>
      </c>
      <c r="C46" s="127">
        <v>2</v>
      </c>
      <c r="D46" s="127">
        <f t="shared" si="4"/>
        <v>0.29000000000000004</v>
      </c>
      <c r="E46" s="127">
        <v>160.9</v>
      </c>
      <c r="F46" s="128">
        <f t="shared" si="8"/>
        <v>1341.4454237500001</v>
      </c>
      <c r="G46" s="129">
        <f t="shared" si="9"/>
        <v>28170.353898750003</v>
      </c>
      <c r="H46" s="201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spans="1:26" s="108" customFormat="1" x14ac:dyDescent="0.25">
      <c r="A47" s="125">
        <v>2025</v>
      </c>
      <c r="B47" s="126">
        <f t="shared" si="10"/>
        <v>14374.375</v>
      </c>
      <c r="C47" s="127">
        <v>2</v>
      </c>
      <c r="D47" s="127">
        <f t="shared" si="4"/>
        <v>0.29000000000000004</v>
      </c>
      <c r="E47" s="127">
        <v>160.9</v>
      </c>
      <c r="F47" s="128">
        <f t="shared" si="8"/>
        <v>1341.4454237500001</v>
      </c>
      <c r="G47" s="129">
        <f t="shared" si="9"/>
        <v>28170.353898750003</v>
      </c>
      <c r="H47" s="201"/>
    </row>
    <row r="48" spans="1:26" s="108" customFormat="1" x14ac:dyDescent="0.25">
      <c r="A48" s="125">
        <v>2026</v>
      </c>
      <c r="B48" s="126">
        <f t="shared" si="10"/>
        <v>14374.375</v>
      </c>
      <c r="C48" s="127">
        <v>2</v>
      </c>
      <c r="D48" s="127">
        <f t="shared" si="4"/>
        <v>0.29000000000000004</v>
      </c>
      <c r="E48" s="127">
        <v>160.9</v>
      </c>
      <c r="F48" s="128">
        <f t="shared" si="8"/>
        <v>1341.4454237500001</v>
      </c>
      <c r="G48" s="129">
        <f t="shared" si="9"/>
        <v>28170.353898750003</v>
      </c>
      <c r="H48" s="201"/>
    </row>
    <row r="49" spans="1:13" s="108" customFormat="1" x14ac:dyDescent="0.25">
      <c r="A49" s="125">
        <v>2027</v>
      </c>
      <c r="B49" s="126">
        <f t="shared" si="10"/>
        <v>14374.375</v>
      </c>
      <c r="C49" s="127">
        <v>2</v>
      </c>
      <c r="D49" s="127">
        <f t="shared" si="4"/>
        <v>0.29000000000000004</v>
      </c>
      <c r="E49" s="127">
        <v>160.9</v>
      </c>
      <c r="F49" s="128">
        <f t="shared" si="8"/>
        <v>1341.4454237500001</v>
      </c>
      <c r="G49" s="129">
        <f t="shared" si="9"/>
        <v>28170.353898750003</v>
      </c>
      <c r="H49" s="201"/>
    </row>
    <row r="50" spans="1:13" s="108" customFormat="1" x14ac:dyDescent="0.25">
      <c r="A50" s="125">
        <v>2028</v>
      </c>
      <c r="B50" s="126">
        <f t="shared" si="10"/>
        <v>14374.375</v>
      </c>
      <c r="C50" s="127">
        <v>2</v>
      </c>
      <c r="D50" s="127">
        <f t="shared" si="4"/>
        <v>0.29000000000000004</v>
      </c>
      <c r="E50" s="127">
        <v>160.9</v>
      </c>
      <c r="F50" s="128">
        <f t="shared" si="8"/>
        <v>1341.4454237500001</v>
      </c>
      <c r="G50" s="129">
        <f t="shared" si="9"/>
        <v>28170.353898750003</v>
      </c>
      <c r="H50" s="201"/>
    </row>
    <row r="51" spans="1:13" s="108" customFormat="1" x14ac:dyDescent="0.25">
      <c r="A51" s="125">
        <v>2029</v>
      </c>
      <c r="B51" s="126">
        <f t="shared" si="10"/>
        <v>14374.375</v>
      </c>
      <c r="C51" s="127">
        <v>2</v>
      </c>
      <c r="D51" s="127">
        <f t="shared" si="4"/>
        <v>0.29000000000000004</v>
      </c>
      <c r="E51" s="127">
        <v>160.9</v>
      </c>
      <c r="F51" s="128">
        <f t="shared" si="8"/>
        <v>1341.4454237500001</v>
      </c>
      <c r="G51" s="129">
        <f t="shared" si="9"/>
        <v>28170.353898750003</v>
      </c>
      <c r="H51" s="201"/>
    </row>
    <row r="52" spans="1:13" s="108" customFormat="1" x14ac:dyDescent="0.25">
      <c r="A52" s="125">
        <v>2030</v>
      </c>
      <c r="B52" s="126">
        <f t="shared" si="10"/>
        <v>14374.375</v>
      </c>
      <c r="C52" s="127">
        <v>2</v>
      </c>
      <c r="D52" s="127">
        <f t="shared" si="4"/>
        <v>0.29000000000000004</v>
      </c>
      <c r="E52" s="127">
        <v>160.9</v>
      </c>
      <c r="F52" s="128">
        <f t="shared" si="8"/>
        <v>1341.4454237500001</v>
      </c>
      <c r="G52" s="129">
        <f t="shared" si="9"/>
        <v>28170.353898750003</v>
      </c>
      <c r="H52" s="201"/>
    </row>
    <row r="53" spans="1:13" s="108" customFormat="1" x14ac:dyDescent="0.25">
      <c r="A53" s="124"/>
    </row>
    <row r="55" spans="1:13" ht="26.25" x14ac:dyDescent="0.4">
      <c r="A55" s="208" t="s">
        <v>10</v>
      </c>
      <c r="B55" s="208"/>
      <c r="C55" s="208"/>
      <c r="D55" s="208"/>
      <c r="E55" s="208"/>
      <c r="F55" s="208"/>
      <c r="G55" s="208"/>
    </row>
    <row r="56" spans="1:13" ht="60" customHeight="1" x14ac:dyDescent="0.25">
      <c r="A56" s="207" t="s">
        <v>68</v>
      </c>
      <c r="B56" s="203" t="s">
        <v>70</v>
      </c>
      <c r="C56" s="203"/>
      <c r="D56" s="204" t="s">
        <v>54</v>
      </c>
      <c r="E56" s="204"/>
      <c r="F56" s="205" t="s">
        <v>55</v>
      </c>
      <c r="G56" s="206"/>
    </row>
    <row r="57" spans="1:13" ht="75" x14ac:dyDescent="0.25">
      <c r="A57" s="207"/>
      <c r="B57" s="39" t="s">
        <v>56</v>
      </c>
      <c r="C57" s="39" t="s">
        <v>57</v>
      </c>
      <c r="D57" s="40" t="s">
        <v>58</v>
      </c>
      <c r="E57" s="42" t="s">
        <v>59</v>
      </c>
      <c r="F57" s="41" t="s">
        <v>71</v>
      </c>
      <c r="G57" s="41" t="s">
        <v>72</v>
      </c>
    </row>
    <row r="58" spans="1:13" x14ac:dyDescent="0.25">
      <c r="A58" s="207"/>
      <c r="B58" s="39" t="s">
        <v>62</v>
      </c>
      <c r="C58" s="39" t="s">
        <v>63</v>
      </c>
      <c r="D58" s="40" t="s">
        <v>64</v>
      </c>
      <c r="E58" s="40" t="s">
        <v>65</v>
      </c>
      <c r="F58" s="41" t="s">
        <v>66</v>
      </c>
      <c r="G58" s="41" t="s">
        <v>67</v>
      </c>
    </row>
    <row r="59" spans="1:13" s="48" customFormat="1" x14ac:dyDescent="0.25">
      <c r="A59" s="43">
        <v>2005</v>
      </c>
      <c r="B59" s="50">
        <f>D6</f>
        <v>0</v>
      </c>
      <c r="C59" s="43">
        <v>2</v>
      </c>
      <c r="D59" s="34">
        <f t="shared" ref="D59:D63" si="11">1-0.46</f>
        <v>0.54</v>
      </c>
      <c r="E59" s="34">
        <v>160.9</v>
      </c>
      <c r="F59" s="44">
        <f t="shared" ref="F59:F63" si="12">B59*C59*D59*E59*10^-3</f>
        <v>0</v>
      </c>
      <c r="G59" s="46">
        <f t="shared" ref="G59:G63" si="13">F59*21</f>
        <v>0</v>
      </c>
    </row>
    <row r="60" spans="1:13" s="48" customFormat="1" x14ac:dyDescent="0.25">
      <c r="A60" s="43">
        <v>2006</v>
      </c>
      <c r="B60" s="50">
        <f>E6</f>
        <v>0</v>
      </c>
      <c r="C60" s="34">
        <v>2</v>
      </c>
      <c r="D60" s="34">
        <f t="shared" si="11"/>
        <v>0.54</v>
      </c>
      <c r="E60" s="34">
        <v>160.9</v>
      </c>
      <c r="F60" s="44">
        <f t="shared" si="12"/>
        <v>0</v>
      </c>
      <c r="G60" s="46">
        <f t="shared" si="13"/>
        <v>0</v>
      </c>
      <c r="J60" s="145" t="s">
        <v>68</v>
      </c>
      <c r="K60" s="145" t="s">
        <v>210</v>
      </c>
      <c r="L60" s="145" t="s">
        <v>209</v>
      </c>
      <c r="M60" s="147" t="s">
        <v>211</v>
      </c>
    </row>
    <row r="61" spans="1:13" s="48" customFormat="1" x14ac:dyDescent="0.25">
      <c r="A61" s="43">
        <v>2007</v>
      </c>
      <c r="B61" s="50">
        <f>F6</f>
        <v>0</v>
      </c>
      <c r="C61" s="43">
        <v>2</v>
      </c>
      <c r="D61" s="34">
        <f t="shared" si="11"/>
        <v>0.54</v>
      </c>
      <c r="E61" s="34">
        <v>160.9</v>
      </c>
      <c r="F61" s="44">
        <f t="shared" si="12"/>
        <v>0</v>
      </c>
      <c r="G61" s="46">
        <f t="shared" si="13"/>
        <v>0</v>
      </c>
      <c r="J61" s="146">
        <v>2008</v>
      </c>
      <c r="K61" s="140">
        <v>152015</v>
      </c>
      <c r="L61" s="140">
        <v>982212</v>
      </c>
      <c r="M61" s="31">
        <f>L61/K61</f>
        <v>6.4612834259776992</v>
      </c>
    </row>
    <row r="62" spans="1:13" s="48" customFormat="1" x14ac:dyDescent="0.25">
      <c r="A62" s="43">
        <v>2008</v>
      </c>
      <c r="B62" s="50">
        <f>G6</f>
        <v>152015</v>
      </c>
      <c r="C62" s="34">
        <v>2</v>
      </c>
      <c r="D62" s="34">
        <f t="shared" si="11"/>
        <v>0.54</v>
      </c>
      <c r="E62" s="34">
        <v>160.9</v>
      </c>
      <c r="F62" s="44">
        <f t="shared" si="12"/>
        <v>26415.950580000004</v>
      </c>
      <c r="G62" s="46">
        <f t="shared" si="13"/>
        <v>554734.96218000003</v>
      </c>
      <c r="J62" s="146">
        <v>2009</v>
      </c>
      <c r="K62" s="140">
        <v>200500</v>
      </c>
      <c r="L62" s="140">
        <v>1362496</v>
      </c>
      <c r="M62" s="31">
        <f t="shared" ref="M62:M68" si="14">L62/K62</f>
        <v>6.795491271820449</v>
      </c>
    </row>
    <row r="63" spans="1:13" s="48" customFormat="1" x14ac:dyDescent="0.25">
      <c r="A63" s="43">
        <v>2009</v>
      </c>
      <c r="B63" s="50">
        <f>H6</f>
        <v>200500</v>
      </c>
      <c r="C63" s="43">
        <v>2</v>
      </c>
      <c r="D63" s="34">
        <f t="shared" si="11"/>
        <v>0.54</v>
      </c>
      <c r="E63" s="34">
        <v>160.9</v>
      </c>
      <c r="F63" s="44">
        <f t="shared" si="12"/>
        <v>34841.286</v>
      </c>
      <c r="G63" s="46">
        <f t="shared" si="13"/>
        <v>731667.00600000005</v>
      </c>
      <c r="H63" s="134"/>
      <c r="J63" s="146">
        <v>2010</v>
      </c>
      <c r="K63" s="140">
        <v>166310</v>
      </c>
      <c r="L63" s="140">
        <v>1293632</v>
      </c>
      <c r="M63" s="31">
        <f t="shared" si="14"/>
        <v>7.7784378570140102</v>
      </c>
    </row>
    <row r="64" spans="1:13" x14ac:dyDescent="0.25">
      <c r="A64" s="43">
        <v>2010</v>
      </c>
      <c r="B64" s="33">
        <f>I6</f>
        <v>166310</v>
      </c>
      <c r="C64" s="34">
        <v>2</v>
      </c>
      <c r="D64" s="34">
        <f>1-0.46</f>
        <v>0.54</v>
      </c>
      <c r="E64" s="34">
        <v>160.9</v>
      </c>
      <c r="F64" s="44">
        <f>B64*C64*D64*E64*10^-3</f>
        <v>28900.021320000003</v>
      </c>
      <c r="G64" s="46">
        <f>F64*21</f>
        <v>606900.44772000005</v>
      </c>
      <c r="H64" s="134"/>
      <c r="J64" s="146">
        <v>2011</v>
      </c>
      <c r="K64" s="140">
        <v>170500</v>
      </c>
      <c r="L64" s="140">
        <v>1293755</v>
      </c>
      <c r="M64" s="31">
        <f t="shared" si="14"/>
        <v>7.5880058651026392</v>
      </c>
    </row>
    <row r="65" spans="1:25" x14ac:dyDescent="0.25">
      <c r="A65" s="43">
        <v>2011</v>
      </c>
      <c r="B65" s="45">
        <f>J6</f>
        <v>170500</v>
      </c>
      <c r="C65" s="43">
        <v>2</v>
      </c>
      <c r="D65" s="34">
        <f t="shared" ref="D65:D91" si="15">1-0.46</f>
        <v>0.54</v>
      </c>
      <c r="E65" s="34">
        <v>160.9</v>
      </c>
      <c r="F65" s="44">
        <f t="shared" ref="F65:F69" si="16">B65*C65*D65*E65*10^-3</f>
        <v>29628.126</v>
      </c>
      <c r="G65" s="46">
        <f t="shared" ref="G65:G69" si="17">F65*21</f>
        <v>622190.64599999995</v>
      </c>
      <c r="H65" s="134"/>
      <c r="J65" s="146">
        <v>2012</v>
      </c>
      <c r="K65" s="140">
        <v>247900</v>
      </c>
      <c r="L65" s="140">
        <v>1835106</v>
      </c>
      <c r="M65" s="31">
        <f t="shared" si="14"/>
        <v>7.4026058894715607</v>
      </c>
    </row>
    <row r="66" spans="1:25" x14ac:dyDescent="0.25">
      <c r="A66" s="43">
        <v>2012</v>
      </c>
      <c r="B66" s="45">
        <f>K6</f>
        <v>247900</v>
      </c>
      <c r="C66" s="43">
        <v>2</v>
      </c>
      <c r="D66" s="34">
        <f t="shared" si="15"/>
        <v>0.54</v>
      </c>
      <c r="E66" s="34">
        <v>160.9</v>
      </c>
      <c r="F66" s="44">
        <f t="shared" si="16"/>
        <v>43078.078800000003</v>
      </c>
      <c r="G66" s="46">
        <f t="shared" si="17"/>
        <v>904639.65480000002</v>
      </c>
      <c r="H66" s="134"/>
      <c r="J66" s="146">
        <v>2013</v>
      </c>
      <c r="K66" s="140">
        <v>298094</v>
      </c>
      <c r="L66" s="140">
        <v>1990295</v>
      </c>
      <c r="M66" s="31">
        <f t="shared" si="14"/>
        <v>6.6767361973068899</v>
      </c>
    </row>
    <row r="67" spans="1:25" x14ac:dyDescent="0.25">
      <c r="A67" s="43">
        <v>2013</v>
      </c>
      <c r="B67" s="45">
        <f>L6</f>
        <v>298093.84999999998</v>
      </c>
      <c r="C67" s="43">
        <v>2</v>
      </c>
      <c r="D67" s="34">
        <f t="shared" si="15"/>
        <v>0.54</v>
      </c>
      <c r="E67" s="34">
        <v>160.9</v>
      </c>
      <c r="F67" s="44">
        <f t="shared" si="16"/>
        <v>51800.364502199998</v>
      </c>
      <c r="G67" s="46">
        <f t="shared" si="17"/>
        <v>1087807.6545462001</v>
      </c>
      <c r="H67" s="134"/>
      <c r="J67" s="146">
        <v>2014</v>
      </c>
      <c r="K67" s="140">
        <v>499316</v>
      </c>
      <c r="L67" s="140">
        <v>3291248</v>
      </c>
      <c r="M67" s="31">
        <f t="shared" si="14"/>
        <v>6.5915131900439805</v>
      </c>
    </row>
    <row r="68" spans="1:25" x14ac:dyDescent="0.25">
      <c r="A68" s="43">
        <v>2014</v>
      </c>
      <c r="B68" s="45">
        <f>M6</f>
        <v>499315.65</v>
      </c>
      <c r="C68" s="43">
        <v>2</v>
      </c>
      <c r="D68" s="34">
        <f t="shared" si="15"/>
        <v>0.54</v>
      </c>
      <c r="E68" s="34">
        <v>160.9</v>
      </c>
      <c r="F68" s="44">
        <f t="shared" si="16"/>
        <v>86767.079131800027</v>
      </c>
      <c r="G68" s="46">
        <f t="shared" si="17"/>
        <v>1822108.6617678006</v>
      </c>
      <c r="H68" s="134"/>
      <c r="J68" s="146">
        <v>2015</v>
      </c>
      <c r="K68" s="140">
        <v>16500</v>
      </c>
      <c r="L68" s="140">
        <v>97706</v>
      </c>
      <c r="M68" s="31">
        <f t="shared" si="14"/>
        <v>5.9215757575757575</v>
      </c>
    </row>
    <row r="69" spans="1:25" x14ac:dyDescent="0.25">
      <c r="A69" s="43">
        <v>2015</v>
      </c>
      <c r="B69" s="45">
        <f>N6</f>
        <v>16500</v>
      </c>
      <c r="C69" s="43">
        <v>2</v>
      </c>
      <c r="D69" s="34">
        <f t="shared" si="15"/>
        <v>0.54</v>
      </c>
      <c r="E69" s="34">
        <v>160.9</v>
      </c>
      <c r="F69" s="44">
        <f t="shared" si="16"/>
        <v>2867.2380000000003</v>
      </c>
      <c r="G69" s="46">
        <f t="shared" si="17"/>
        <v>60211.998000000007</v>
      </c>
      <c r="H69" s="134"/>
      <c r="I69" s="123"/>
      <c r="J69" s="108"/>
      <c r="K69" s="108"/>
      <c r="L69" s="108"/>
      <c r="M69" s="137">
        <f>AVERAGE(M61:M68)</f>
        <v>6.9019561817891235</v>
      </c>
    </row>
    <row r="70" spans="1:25" s="108" customFormat="1" x14ac:dyDescent="0.25">
      <c r="A70" s="43"/>
      <c r="B70" s="45"/>
      <c r="C70" s="43"/>
      <c r="D70" s="34"/>
      <c r="E70" s="34"/>
      <c r="F70" s="44"/>
      <c r="G70" s="46"/>
      <c r="H70" s="134"/>
      <c r="I70" s="123"/>
      <c r="J70" s="145" t="s">
        <v>68</v>
      </c>
      <c r="K70" s="145" t="s">
        <v>210</v>
      </c>
      <c r="L70" s="145" t="s">
        <v>209</v>
      </c>
    </row>
    <row r="71" spans="1:25" x14ac:dyDescent="0.25">
      <c r="A71" s="130">
        <v>2010</v>
      </c>
      <c r="B71" s="135">
        <v>0</v>
      </c>
      <c r="C71" s="130">
        <v>2</v>
      </c>
      <c r="D71" s="127">
        <f t="shared" si="15"/>
        <v>0.54</v>
      </c>
      <c r="E71" s="127">
        <v>160.9</v>
      </c>
      <c r="F71" s="131">
        <f t="shared" ref="F71:F91" si="18">B71*C71*D71*E71*10^-3</f>
        <v>0</v>
      </c>
      <c r="G71" s="132">
        <f t="shared" ref="G71:G91" si="19">F71*21</f>
        <v>0</v>
      </c>
      <c r="H71" s="202" t="s">
        <v>204</v>
      </c>
      <c r="J71" s="31">
        <f>A71</f>
        <v>2010</v>
      </c>
      <c r="K71" s="32">
        <f>B71</f>
        <v>0</v>
      </c>
      <c r="L71" s="118">
        <f>K71*$M$69</f>
        <v>0</v>
      </c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</row>
    <row r="72" spans="1:25" x14ac:dyDescent="0.25">
      <c r="A72" s="130">
        <v>2011</v>
      </c>
      <c r="B72" s="135">
        <f>B71+($B$77/6)</f>
        <v>36481.96875</v>
      </c>
      <c r="C72" s="130">
        <v>2</v>
      </c>
      <c r="D72" s="127">
        <f t="shared" si="15"/>
        <v>0.54</v>
      </c>
      <c r="E72" s="127">
        <v>160.9</v>
      </c>
      <c r="F72" s="131">
        <f t="shared" si="18"/>
        <v>6339.5446736250005</v>
      </c>
      <c r="G72" s="132">
        <f t="shared" si="19"/>
        <v>133130.438146125</v>
      </c>
      <c r="H72" s="202"/>
      <c r="J72" s="31">
        <f t="shared" ref="J72:J91" si="20">A72</f>
        <v>2011</v>
      </c>
      <c r="K72" s="32">
        <f t="shared" ref="K72:K91" si="21">B72</f>
        <v>36481.96875</v>
      </c>
      <c r="L72" s="118">
        <f t="shared" ref="L72:L91" si="22">K72*$M$69</f>
        <v>251796.94973790011</v>
      </c>
    </row>
    <row r="73" spans="1:25" x14ac:dyDescent="0.25">
      <c r="A73" s="130">
        <v>2012</v>
      </c>
      <c r="B73" s="135">
        <f t="shared" ref="B73:B76" si="23">B72+($B$77/6)</f>
        <v>72963.9375</v>
      </c>
      <c r="C73" s="130">
        <v>2</v>
      </c>
      <c r="D73" s="127">
        <f t="shared" si="15"/>
        <v>0.54</v>
      </c>
      <c r="E73" s="127">
        <v>160.9</v>
      </c>
      <c r="F73" s="131">
        <f t="shared" si="18"/>
        <v>12679.089347250001</v>
      </c>
      <c r="G73" s="132">
        <f t="shared" si="19"/>
        <v>266260.87629225</v>
      </c>
      <c r="H73" s="202"/>
      <c r="J73" s="31">
        <f t="shared" si="20"/>
        <v>2012</v>
      </c>
      <c r="K73" s="32">
        <f t="shared" si="21"/>
        <v>72963.9375</v>
      </c>
      <c r="L73" s="118">
        <f t="shared" si="22"/>
        <v>503593.89947580022</v>
      </c>
    </row>
    <row r="74" spans="1:25" x14ac:dyDescent="0.25">
      <c r="A74" s="130">
        <v>2013</v>
      </c>
      <c r="B74" s="135">
        <f t="shared" si="23"/>
        <v>109445.90625</v>
      </c>
      <c r="C74" s="130">
        <v>2</v>
      </c>
      <c r="D74" s="127">
        <f t="shared" si="15"/>
        <v>0.54</v>
      </c>
      <c r="E74" s="127">
        <v>160.9</v>
      </c>
      <c r="F74" s="131">
        <f t="shared" si="18"/>
        <v>19018.634020875001</v>
      </c>
      <c r="G74" s="132">
        <f t="shared" si="19"/>
        <v>399391.314438375</v>
      </c>
      <c r="H74" s="202"/>
      <c r="J74" s="31">
        <f t="shared" si="20"/>
        <v>2013</v>
      </c>
      <c r="K74" s="32">
        <f t="shared" si="21"/>
        <v>109445.90625</v>
      </c>
      <c r="L74" s="118">
        <f t="shared" si="22"/>
        <v>755390.84921370039</v>
      </c>
    </row>
    <row r="75" spans="1:25" x14ac:dyDescent="0.25">
      <c r="A75" s="130">
        <v>2014</v>
      </c>
      <c r="B75" s="135">
        <f t="shared" si="23"/>
        <v>145927.875</v>
      </c>
      <c r="C75" s="130">
        <v>2</v>
      </c>
      <c r="D75" s="127">
        <f t="shared" si="15"/>
        <v>0.54</v>
      </c>
      <c r="E75" s="127">
        <v>160.9</v>
      </c>
      <c r="F75" s="131">
        <f t="shared" si="18"/>
        <v>25358.178694500002</v>
      </c>
      <c r="G75" s="132">
        <f t="shared" si="19"/>
        <v>532521.75258450001</v>
      </c>
      <c r="H75" s="202"/>
      <c r="J75" s="31">
        <f t="shared" si="20"/>
        <v>2014</v>
      </c>
      <c r="K75" s="32">
        <f t="shared" si="21"/>
        <v>145927.875</v>
      </c>
      <c r="L75" s="118">
        <f t="shared" si="22"/>
        <v>1007187.7989516004</v>
      </c>
    </row>
    <row r="76" spans="1:25" x14ac:dyDescent="0.25">
      <c r="A76" s="130">
        <v>2015</v>
      </c>
      <c r="B76" s="135">
        <f t="shared" si="23"/>
        <v>182409.84375</v>
      </c>
      <c r="C76" s="130">
        <v>2</v>
      </c>
      <c r="D76" s="127">
        <f t="shared" si="15"/>
        <v>0.54</v>
      </c>
      <c r="E76" s="127">
        <v>160.9</v>
      </c>
      <c r="F76" s="131">
        <f t="shared" si="18"/>
        <v>31697.723368125004</v>
      </c>
      <c r="G76" s="132">
        <f t="shared" si="19"/>
        <v>665652.19073062507</v>
      </c>
      <c r="H76" s="202"/>
      <c r="I76" s="123"/>
      <c r="J76" s="31">
        <f t="shared" si="20"/>
        <v>2015</v>
      </c>
      <c r="K76" s="32">
        <f t="shared" si="21"/>
        <v>182409.84375</v>
      </c>
      <c r="L76" s="118">
        <f t="shared" si="22"/>
        <v>1258984.7486895006</v>
      </c>
    </row>
    <row r="77" spans="1:25" x14ac:dyDescent="0.25">
      <c r="A77" s="130">
        <v>2016</v>
      </c>
      <c r="B77" s="135">
        <f>AVERAGE(B62:B69)</f>
        <v>218891.8125</v>
      </c>
      <c r="C77" s="130">
        <v>2</v>
      </c>
      <c r="D77" s="127">
        <f t="shared" si="15"/>
        <v>0.54</v>
      </c>
      <c r="E77" s="127">
        <v>160.9</v>
      </c>
      <c r="F77" s="131">
        <f t="shared" si="18"/>
        <v>38037.268041750001</v>
      </c>
      <c r="G77" s="132">
        <f t="shared" si="19"/>
        <v>798782.62887675001</v>
      </c>
      <c r="H77" s="202"/>
      <c r="I77" s="123"/>
      <c r="J77" s="31">
        <f t="shared" si="20"/>
        <v>2016</v>
      </c>
      <c r="K77" s="32">
        <f t="shared" si="21"/>
        <v>218891.8125</v>
      </c>
      <c r="L77" s="118">
        <f t="shared" si="22"/>
        <v>1510781.6984274008</v>
      </c>
    </row>
    <row r="78" spans="1:25" x14ac:dyDescent="0.25">
      <c r="A78" s="130">
        <v>2017</v>
      </c>
      <c r="B78" s="135">
        <f t="shared" ref="B78:B91" si="24">B77</f>
        <v>218891.8125</v>
      </c>
      <c r="C78" s="130">
        <v>2</v>
      </c>
      <c r="D78" s="127">
        <f t="shared" si="15"/>
        <v>0.54</v>
      </c>
      <c r="E78" s="127">
        <v>160.9</v>
      </c>
      <c r="F78" s="131">
        <f t="shared" si="18"/>
        <v>38037.268041750001</v>
      </c>
      <c r="G78" s="132">
        <f t="shared" si="19"/>
        <v>798782.62887675001</v>
      </c>
      <c r="H78" s="202"/>
      <c r="J78" s="31">
        <f t="shared" si="20"/>
        <v>2017</v>
      </c>
      <c r="K78" s="32">
        <f t="shared" si="21"/>
        <v>218891.8125</v>
      </c>
      <c r="L78" s="118">
        <f t="shared" si="22"/>
        <v>1510781.6984274008</v>
      </c>
    </row>
    <row r="79" spans="1:25" x14ac:dyDescent="0.25">
      <c r="A79" s="130">
        <v>2018</v>
      </c>
      <c r="B79" s="135">
        <f t="shared" si="24"/>
        <v>218891.8125</v>
      </c>
      <c r="C79" s="130">
        <v>2</v>
      </c>
      <c r="D79" s="127">
        <f t="shared" si="15"/>
        <v>0.54</v>
      </c>
      <c r="E79" s="127">
        <v>160.9</v>
      </c>
      <c r="F79" s="131">
        <f t="shared" si="18"/>
        <v>38037.268041750001</v>
      </c>
      <c r="G79" s="132">
        <f t="shared" si="19"/>
        <v>798782.62887675001</v>
      </c>
      <c r="H79" s="202"/>
      <c r="J79" s="31">
        <f t="shared" si="20"/>
        <v>2018</v>
      </c>
      <c r="K79" s="32">
        <f t="shared" si="21"/>
        <v>218891.8125</v>
      </c>
      <c r="L79" s="118">
        <f t="shared" si="22"/>
        <v>1510781.6984274008</v>
      </c>
    </row>
    <row r="80" spans="1:25" x14ac:dyDescent="0.25">
      <c r="A80" s="130">
        <v>2019</v>
      </c>
      <c r="B80" s="135">
        <f t="shared" si="24"/>
        <v>218891.8125</v>
      </c>
      <c r="C80" s="130">
        <v>2</v>
      </c>
      <c r="D80" s="127">
        <f t="shared" si="15"/>
        <v>0.54</v>
      </c>
      <c r="E80" s="127">
        <v>160.9</v>
      </c>
      <c r="F80" s="131">
        <f t="shared" si="18"/>
        <v>38037.268041750001</v>
      </c>
      <c r="G80" s="132">
        <f t="shared" si="19"/>
        <v>798782.62887675001</v>
      </c>
      <c r="H80" s="202"/>
      <c r="J80" s="31">
        <f t="shared" si="20"/>
        <v>2019</v>
      </c>
      <c r="K80" s="32">
        <f t="shared" si="21"/>
        <v>218891.8125</v>
      </c>
      <c r="L80" s="118">
        <f t="shared" si="22"/>
        <v>1510781.6984274008</v>
      </c>
    </row>
    <row r="81" spans="1:12" x14ac:dyDescent="0.25">
      <c r="A81" s="130">
        <v>2020</v>
      </c>
      <c r="B81" s="135">
        <f t="shared" si="24"/>
        <v>218891.8125</v>
      </c>
      <c r="C81" s="130">
        <v>2</v>
      </c>
      <c r="D81" s="127">
        <f t="shared" si="15"/>
        <v>0.54</v>
      </c>
      <c r="E81" s="127">
        <v>160.9</v>
      </c>
      <c r="F81" s="131">
        <f t="shared" si="18"/>
        <v>38037.268041750001</v>
      </c>
      <c r="G81" s="132">
        <f t="shared" si="19"/>
        <v>798782.62887675001</v>
      </c>
      <c r="H81" s="202"/>
      <c r="J81" s="31">
        <f t="shared" si="20"/>
        <v>2020</v>
      </c>
      <c r="K81" s="32">
        <f t="shared" si="21"/>
        <v>218891.8125</v>
      </c>
      <c r="L81" s="118">
        <f t="shared" si="22"/>
        <v>1510781.6984274008</v>
      </c>
    </row>
    <row r="82" spans="1:12" x14ac:dyDescent="0.25">
      <c r="A82" s="130">
        <v>2021</v>
      </c>
      <c r="B82" s="135">
        <f t="shared" si="24"/>
        <v>218891.8125</v>
      </c>
      <c r="C82" s="130">
        <v>2</v>
      </c>
      <c r="D82" s="127">
        <f t="shared" si="15"/>
        <v>0.54</v>
      </c>
      <c r="E82" s="127">
        <v>160.9</v>
      </c>
      <c r="F82" s="131">
        <f t="shared" si="18"/>
        <v>38037.268041750001</v>
      </c>
      <c r="G82" s="132">
        <f t="shared" si="19"/>
        <v>798782.62887675001</v>
      </c>
      <c r="H82" s="202"/>
      <c r="J82" s="31">
        <f t="shared" si="20"/>
        <v>2021</v>
      </c>
      <c r="K82" s="32">
        <f t="shared" si="21"/>
        <v>218891.8125</v>
      </c>
      <c r="L82" s="118">
        <f t="shared" si="22"/>
        <v>1510781.6984274008</v>
      </c>
    </row>
    <row r="83" spans="1:12" x14ac:dyDescent="0.25">
      <c r="A83" s="130">
        <v>2022</v>
      </c>
      <c r="B83" s="135">
        <f t="shared" si="24"/>
        <v>218891.8125</v>
      </c>
      <c r="C83" s="130">
        <v>2</v>
      </c>
      <c r="D83" s="127">
        <f t="shared" si="15"/>
        <v>0.54</v>
      </c>
      <c r="E83" s="127">
        <v>160.9</v>
      </c>
      <c r="F83" s="131">
        <f t="shared" si="18"/>
        <v>38037.268041750001</v>
      </c>
      <c r="G83" s="132">
        <f t="shared" si="19"/>
        <v>798782.62887675001</v>
      </c>
      <c r="H83" s="202"/>
      <c r="J83" s="31">
        <f t="shared" si="20"/>
        <v>2022</v>
      </c>
      <c r="K83" s="32">
        <f t="shared" si="21"/>
        <v>218891.8125</v>
      </c>
      <c r="L83" s="118">
        <f t="shared" si="22"/>
        <v>1510781.6984274008</v>
      </c>
    </row>
    <row r="84" spans="1:12" x14ac:dyDescent="0.25">
      <c r="A84" s="130">
        <v>2023</v>
      </c>
      <c r="B84" s="135">
        <f t="shared" si="24"/>
        <v>218891.8125</v>
      </c>
      <c r="C84" s="130">
        <v>2</v>
      </c>
      <c r="D84" s="127">
        <f t="shared" si="15"/>
        <v>0.54</v>
      </c>
      <c r="E84" s="127">
        <v>160.9</v>
      </c>
      <c r="F84" s="131">
        <f t="shared" si="18"/>
        <v>38037.268041750001</v>
      </c>
      <c r="G84" s="132">
        <f t="shared" si="19"/>
        <v>798782.62887675001</v>
      </c>
      <c r="H84" s="202"/>
      <c r="J84" s="31">
        <f t="shared" si="20"/>
        <v>2023</v>
      </c>
      <c r="K84" s="32">
        <f t="shared" si="21"/>
        <v>218891.8125</v>
      </c>
      <c r="L84" s="118">
        <f t="shared" si="22"/>
        <v>1510781.6984274008</v>
      </c>
    </row>
    <row r="85" spans="1:12" x14ac:dyDescent="0.25">
      <c r="A85" s="130">
        <v>2024</v>
      </c>
      <c r="B85" s="135">
        <f t="shared" si="24"/>
        <v>218891.8125</v>
      </c>
      <c r="C85" s="130">
        <v>2</v>
      </c>
      <c r="D85" s="127">
        <f t="shared" si="15"/>
        <v>0.54</v>
      </c>
      <c r="E85" s="127">
        <v>160.9</v>
      </c>
      <c r="F85" s="131">
        <f t="shared" si="18"/>
        <v>38037.268041750001</v>
      </c>
      <c r="G85" s="132">
        <f t="shared" si="19"/>
        <v>798782.62887675001</v>
      </c>
      <c r="H85" s="202"/>
      <c r="J85" s="31">
        <f t="shared" si="20"/>
        <v>2024</v>
      </c>
      <c r="K85" s="32">
        <f t="shared" si="21"/>
        <v>218891.8125</v>
      </c>
      <c r="L85" s="118">
        <f t="shared" si="22"/>
        <v>1510781.6984274008</v>
      </c>
    </row>
    <row r="86" spans="1:12" x14ac:dyDescent="0.25">
      <c r="A86" s="130">
        <v>2025</v>
      </c>
      <c r="B86" s="135">
        <f t="shared" si="24"/>
        <v>218891.8125</v>
      </c>
      <c r="C86" s="130">
        <v>2</v>
      </c>
      <c r="D86" s="127">
        <f t="shared" si="15"/>
        <v>0.54</v>
      </c>
      <c r="E86" s="127">
        <v>160.9</v>
      </c>
      <c r="F86" s="131">
        <f t="shared" si="18"/>
        <v>38037.268041750001</v>
      </c>
      <c r="G86" s="132">
        <f t="shared" si="19"/>
        <v>798782.62887675001</v>
      </c>
      <c r="H86" s="202"/>
      <c r="J86" s="31">
        <f t="shared" si="20"/>
        <v>2025</v>
      </c>
      <c r="K86" s="32">
        <f t="shared" si="21"/>
        <v>218891.8125</v>
      </c>
      <c r="L86" s="118">
        <f t="shared" si="22"/>
        <v>1510781.6984274008</v>
      </c>
    </row>
    <row r="87" spans="1:12" x14ac:dyDescent="0.25">
      <c r="A87" s="130">
        <v>2026</v>
      </c>
      <c r="B87" s="135">
        <f t="shared" si="24"/>
        <v>218891.8125</v>
      </c>
      <c r="C87" s="130">
        <v>2</v>
      </c>
      <c r="D87" s="127">
        <f t="shared" si="15"/>
        <v>0.54</v>
      </c>
      <c r="E87" s="127">
        <v>160.9</v>
      </c>
      <c r="F87" s="131">
        <f t="shared" si="18"/>
        <v>38037.268041750001</v>
      </c>
      <c r="G87" s="132">
        <f t="shared" si="19"/>
        <v>798782.62887675001</v>
      </c>
      <c r="H87" s="202"/>
      <c r="J87" s="31">
        <f t="shared" si="20"/>
        <v>2026</v>
      </c>
      <c r="K87" s="32">
        <f t="shared" si="21"/>
        <v>218891.8125</v>
      </c>
      <c r="L87" s="118">
        <f t="shared" si="22"/>
        <v>1510781.6984274008</v>
      </c>
    </row>
    <row r="88" spans="1:12" x14ac:dyDescent="0.25">
      <c r="A88" s="130">
        <v>2027</v>
      </c>
      <c r="B88" s="135">
        <f t="shared" si="24"/>
        <v>218891.8125</v>
      </c>
      <c r="C88" s="130">
        <v>2</v>
      </c>
      <c r="D88" s="127">
        <f t="shared" si="15"/>
        <v>0.54</v>
      </c>
      <c r="E88" s="127">
        <v>160.9</v>
      </c>
      <c r="F88" s="131">
        <f t="shared" si="18"/>
        <v>38037.268041750001</v>
      </c>
      <c r="G88" s="132">
        <f t="shared" si="19"/>
        <v>798782.62887675001</v>
      </c>
      <c r="H88" s="202"/>
      <c r="J88" s="31">
        <f t="shared" si="20"/>
        <v>2027</v>
      </c>
      <c r="K88" s="32">
        <f t="shared" si="21"/>
        <v>218891.8125</v>
      </c>
      <c r="L88" s="118">
        <f t="shared" si="22"/>
        <v>1510781.6984274008</v>
      </c>
    </row>
    <row r="89" spans="1:12" x14ac:dyDescent="0.25">
      <c r="A89" s="130">
        <v>2028</v>
      </c>
      <c r="B89" s="135">
        <f t="shared" si="24"/>
        <v>218891.8125</v>
      </c>
      <c r="C89" s="130">
        <v>2</v>
      </c>
      <c r="D89" s="127">
        <f t="shared" si="15"/>
        <v>0.54</v>
      </c>
      <c r="E89" s="127">
        <v>160.9</v>
      </c>
      <c r="F89" s="131">
        <f t="shared" si="18"/>
        <v>38037.268041750001</v>
      </c>
      <c r="G89" s="132">
        <f t="shared" si="19"/>
        <v>798782.62887675001</v>
      </c>
      <c r="H89" s="202"/>
      <c r="J89" s="31">
        <f t="shared" si="20"/>
        <v>2028</v>
      </c>
      <c r="K89" s="32">
        <f t="shared" si="21"/>
        <v>218891.8125</v>
      </c>
      <c r="L89" s="118">
        <f t="shared" si="22"/>
        <v>1510781.6984274008</v>
      </c>
    </row>
    <row r="90" spans="1:12" x14ac:dyDescent="0.25">
      <c r="A90" s="130">
        <v>2029</v>
      </c>
      <c r="B90" s="135">
        <f t="shared" si="24"/>
        <v>218891.8125</v>
      </c>
      <c r="C90" s="130">
        <v>2</v>
      </c>
      <c r="D90" s="127">
        <f t="shared" si="15"/>
        <v>0.54</v>
      </c>
      <c r="E90" s="127">
        <v>160.9</v>
      </c>
      <c r="F90" s="131">
        <f t="shared" si="18"/>
        <v>38037.268041750001</v>
      </c>
      <c r="G90" s="132">
        <f t="shared" si="19"/>
        <v>798782.62887675001</v>
      </c>
      <c r="H90" s="202"/>
      <c r="J90" s="31">
        <f t="shared" si="20"/>
        <v>2029</v>
      </c>
      <c r="K90" s="32">
        <f t="shared" si="21"/>
        <v>218891.8125</v>
      </c>
      <c r="L90" s="118">
        <f t="shared" si="22"/>
        <v>1510781.6984274008</v>
      </c>
    </row>
    <row r="91" spans="1:12" x14ac:dyDescent="0.25">
      <c r="A91" s="130">
        <v>2030</v>
      </c>
      <c r="B91" s="135">
        <f t="shared" si="24"/>
        <v>218891.8125</v>
      </c>
      <c r="C91" s="130">
        <v>2</v>
      </c>
      <c r="D91" s="127">
        <f t="shared" si="15"/>
        <v>0.54</v>
      </c>
      <c r="E91" s="127">
        <v>160.9</v>
      </c>
      <c r="F91" s="131">
        <f t="shared" si="18"/>
        <v>38037.268041750001</v>
      </c>
      <c r="G91" s="132">
        <f t="shared" si="19"/>
        <v>798782.62887675001</v>
      </c>
      <c r="H91" s="202"/>
      <c r="J91" s="31">
        <f t="shared" si="20"/>
        <v>2030</v>
      </c>
      <c r="K91" s="32">
        <f t="shared" si="21"/>
        <v>218891.8125</v>
      </c>
      <c r="L91" s="118">
        <f t="shared" si="22"/>
        <v>1510781.6984274008</v>
      </c>
    </row>
  </sheetData>
  <mergeCells count="15">
    <mergeCell ref="J13:L13"/>
    <mergeCell ref="H32:H52"/>
    <mergeCell ref="H71:H91"/>
    <mergeCell ref="A5:A11"/>
    <mergeCell ref="B5:B11"/>
    <mergeCell ref="B56:C56"/>
    <mergeCell ref="D56:E56"/>
    <mergeCell ref="F56:G56"/>
    <mergeCell ref="A56:A58"/>
    <mergeCell ref="A55:G55"/>
    <mergeCell ref="A16:G16"/>
    <mergeCell ref="F17:G18"/>
    <mergeCell ref="D17:E18"/>
    <mergeCell ref="B17:C18"/>
    <mergeCell ref="A17:A20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P138"/>
  <sheetViews>
    <sheetView topLeftCell="A42" workbookViewId="0">
      <selection activeCell="L44" sqref="L44:M60"/>
    </sheetView>
  </sheetViews>
  <sheetFormatPr defaultRowHeight="15" x14ac:dyDescent="0.25"/>
  <cols>
    <col min="1" max="1" width="9.140625" style="26"/>
    <col min="2" max="2" width="13.140625" style="26" customWidth="1"/>
    <col min="3" max="3" width="16.85546875" style="26" customWidth="1"/>
    <col min="4" max="4" width="12.28515625" style="26" customWidth="1"/>
    <col min="5" max="5" width="13.28515625" style="26" customWidth="1"/>
    <col min="6" max="6" width="12.5703125" style="26" bestFit="1" customWidth="1"/>
    <col min="7" max="7" width="9.140625" style="26"/>
    <col min="8" max="8" width="13.28515625" style="26" customWidth="1"/>
    <col min="9" max="9" width="15.42578125" style="26" customWidth="1"/>
    <col min="10" max="11" width="9.140625" style="26"/>
    <col min="12" max="12" width="15" style="26" customWidth="1"/>
    <col min="13" max="16384" width="9.140625" style="26"/>
  </cols>
  <sheetData>
    <row r="1" spans="1:16" ht="30" x14ac:dyDescent="0.25">
      <c r="A1" s="51" t="s">
        <v>1</v>
      </c>
      <c r="B1" s="51" t="s">
        <v>2</v>
      </c>
      <c r="C1" s="51" t="s">
        <v>3</v>
      </c>
      <c r="D1" s="52">
        <v>2005</v>
      </c>
      <c r="E1" s="52">
        <v>2006</v>
      </c>
      <c r="F1" s="52">
        <v>2007</v>
      </c>
      <c r="G1" s="52">
        <v>2008</v>
      </c>
      <c r="H1" s="52">
        <v>2009</v>
      </c>
      <c r="I1" s="52">
        <v>2010</v>
      </c>
      <c r="J1" s="52">
        <v>2011</v>
      </c>
      <c r="K1" s="52">
        <v>2012</v>
      </c>
      <c r="L1" s="52">
        <v>2013</v>
      </c>
      <c r="M1" s="52">
        <v>2014</v>
      </c>
      <c r="N1" s="52">
        <v>2015</v>
      </c>
      <c r="O1" s="52">
        <v>2016</v>
      </c>
      <c r="P1" s="52">
        <v>2017</v>
      </c>
    </row>
    <row r="2" spans="1:16" x14ac:dyDescent="0.25">
      <c r="A2" s="216" t="s">
        <v>15</v>
      </c>
      <c r="B2" s="213" t="s">
        <v>16</v>
      </c>
      <c r="C2" s="52" t="s">
        <v>17</v>
      </c>
      <c r="D2" s="52">
        <v>780533</v>
      </c>
      <c r="E2" s="52">
        <v>887610</v>
      </c>
      <c r="F2" s="52">
        <v>1096349</v>
      </c>
      <c r="G2" s="52">
        <v>1176088</v>
      </c>
      <c r="H2" s="52">
        <v>1005725</v>
      </c>
      <c r="I2" s="52">
        <v>1027539</v>
      </c>
      <c r="J2" s="52">
        <v>1254128</v>
      </c>
      <c r="K2" s="52">
        <v>1262570.1428571492</v>
      </c>
      <c r="L2" s="52">
        <v>518413.96</v>
      </c>
      <c r="M2" s="52">
        <v>510621.95899999997</v>
      </c>
      <c r="N2" s="52">
        <v>732535</v>
      </c>
      <c r="O2" s="52">
        <v>549928</v>
      </c>
      <c r="P2" s="52">
        <v>645641</v>
      </c>
    </row>
    <row r="3" spans="1:16" x14ac:dyDescent="0.25">
      <c r="A3" s="216"/>
      <c r="B3" s="214"/>
      <c r="C3" s="51" t="s">
        <v>18</v>
      </c>
      <c r="D3" s="51">
        <v>477293</v>
      </c>
      <c r="E3" s="51">
        <v>381370</v>
      </c>
      <c r="F3" s="51">
        <v>235142</v>
      </c>
      <c r="G3" s="51">
        <v>180953</v>
      </c>
      <c r="H3" s="51">
        <v>144708</v>
      </c>
      <c r="I3" s="51">
        <v>104524</v>
      </c>
      <c r="J3" s="51">
        <v>77342</v>
      </c>
      <c r="K3" s="51">
        <v>34664</v>
      </c>
      <c r="L3" s="51">
        <v>78025</v>
      </c>
      <c r="M3" s="51">
        <v>83702.353000000003</v>
      </c>
      <c r="N3" s="51">
        <v>176921.5</v>
      </c>
      <c r="O3" s="51">
        <v>135564</v>
      </c>
      <c r="P3" s="51">
        <v>174008</v>
      </c>
    </row>
    <row r="4" spans="1:16" x14ac:dyDescent="0.25">
      <c r="A4" s="216"/>
      <c r="B4" s="214"/>
      <c r="C4" s="51" t="s">
        <v>40</v>
      </c>
      <c r="D4" s="51">
        <v>471</v>
      </c>
      <c r="E4" s="51">
        <v>7288</v>
      </c>
      <c r="F4" s="51">
        <v>381</v>
      </c>
      <c r="G4" s="51">
        <v>98209</v>
      </c>
      <c r="H4" s="51">
        <v>29762</v>
      </c>
      <c r="I4" s="51">
        <v>24637</v>
      </c>
      <c r="J4" s="51">
        <v>20328</v>
      </c>
      <c r="K4" s="51">
        <v>43532.285714285448</v>
      </c>
      <c r="L4" s="51">
        <v>966</v>
      </c>
      <c r="M4" s="51">
        <v>6813</v>
      </c>
      <c r="N4" s="51">
        <v>0</v>
      </c>
      <c r="O4" s="51">
        <v>0</v>
      </c>
      <c r="P4" s="51">
        <v>0</v>
      </c>
    </row>
    <row r="5" spans="1:16" x14ac:dyDescent="0.25">
      <c r="A5" s="216"/>
      <c r="B5" s="214"/>
      <c r="C5" s="51" t="s">
        <v>42</v>
      </c>
      <c r="D5" s="51">
        <v>13930</v>
      </c>
      <c r="E5" s="51">
        <v>56583</v>
      </c>
      <c r="F5" s="51">
        <v>131037</v>
      </c>
      <c r="G5" s="51">
        <v>205055</v>
      </c>
      <c r="H5" s="51">
        <v>131732</v>
      </c>
      <c r="I5" s="51">
        <v>73326</v>
      </c>
      <c r="J5" s="51">
        <v>39132</v>
      </c>
      <c r="K5" s="51">
        <v>28655</v>
      </c>
      <c r="L5" s="51">
        <v>11155</v>
      </c>
      <c r="M5" s="51">
        <v>13126</v>
      </c>
      <c r="N5" s="51">
        <v>5065</v>
      </c>
      <c r="O5" s="51">
        <v>1618</v>
      </c>
      <c r="P5" s="51">
        <v>2073</v>
      </c>
    </row>
    <row r="6" spans="1:16" x14ac:dyDescent="0.25">
      <c r="A6" s="216"/>
      <c r="B6" s="214"/>
      <c r="C6" s="51" t="s">
        <v>19</v>
      </c>
      <c r="D6" s="51">
        <v>0</v>
      </c>
      <c r="E6" s="51">
        <v>1336</v>
      </c>
      <c r="F6" s="51">
        <v>22135</v>
      </c>
      <c r="G6" s="51">
        <v>51368</v>
      </c>
      <c r="H6" s="51">
        <v>109963</v>
      </c>
      <c r="I6" s="51">
        <v>147147</v>
      </c>
      <c r="J6" s="51">
        <v>236064</v>
      </c>
      <c r="K6" s="51">
        <v>236522.14285714924</v>
      </c>
      <c r="L6" s="51">
        <v>405568</v>
      </c>
      <c r="M6" s="51">
        <v>431350.31900000002</v>
      </c>
      <c r="N6" s="51">
        <v>487787</v>
      </c>
      <c r="O6" s="51">
        <v>435398</v>
      </c>
      <c r="P6" s="51">
        <v>418343</v>
      </c>
    </row>
    <row r="7" spans="1:16" x14ac:dyDescent="0.25">
      <c r="A7" s="216"/>
      <c r="B7" s="214"/>
      <c r="C7" s="51" t="s">
        <v>23</v>
      </c>
      <c r="D7" s="51">
        <v>12238</v>
      </c>
      <c r="E7" s="51">
        <v>19174</v>
      </c>
      <c r="F7" s="51">
        <v>14897</v>
      </c>
      <c r="G7" s="51">
        <v>7917</v>
      </c>
      <c r="H7" s="51">
        <v>18518</v>
      </c>
      <c r="I7" s="51">
        <v>3536</v>
      </c>
      <c r="J7" s="51">
        <v>144</v>
      </c>
      <c r="K7" s="51">
        <v>1783.8571428572759</v>
      </c>
      <c r="L7" s="51">
        <v>4041</v>
      </c>
      <c r="M7" s="51">
        <v>4108</v>
      </c>
      <c r="N7" s="51">
        <v>9766</v>
      </c>
      <c r="O7" s="51">
        <v>3171</v>
      </c>
      <c r="P7" s="51">
        <v>600</v>
      </c>
    </row>
    <row r="8" spans="1:16" x14ac:dyDescent="0.25">
      <c r="A8" s="216"/>
      <c r="B8" s="214"/>
      <c r="C8" s="52" t="s">
        <v>37</v>
      </c>
      <c r="D8" s="52">
        <v>83126</v>
      </c>
      <c r="E8" s="52">
        <v>39162</v>
      </c>
      <c r="F8" s="52">
        <v>23162</v>
      </c>
      <c r="G8" s="52">
        <v>11835</v>
      </c>
      <c r="H8" s="52">
        <v>9951</v>
      </c>
      <c r="I8" s="52">
        <v>8684</v>
      </c>
      <c r="J8" s="52">
        <v>8767</v>
      </c>
      <c r="K8" s="52">
        <v>16080</v>
      </c>
      <c r="L8" s="52">
        <v>17983</v>
      </c>
      <c r="M8" s="52">
        <v>13634</v>
      </c>
      <c r="N8" s="52">
        <v>7498</v>
      </c>
      <c r="O8" s="52">
        <v>3861</v>
      </c>
      <c r="P8" s="52">
        <v>2704</v>
      </c>
    </row>
    <row r="9" spans="1:16" x14ac:dyDescent="0.25">
      <c r="A9" s="216"/>
      <c r="B9" s="214"/>
      <c r="C9" s="52" t="s">
        <v>20</v>
      </c>
      <c r="D9" s="52">
        <v>3903</v>
      </c>
      <c r="E9" s="52">
        <v>4396</v>
      </c>
      <c r="F9" s="52">
        <v>6894</v>
      </c>
      <c r="G9" s="52">
        <v>10520</v>
      </c>
      <c r="H9" s="52">
        <v>12589</v>
      </c>
      <c r="I9" s="52">
        <v>16765</v>
      </c>
      <c r="J9" s="52">
        <v>17112</v>
      </c>
      <c r="K9" s="52">
        <v>20319.857142857276</v>
      </c>
      <c r="L9" s="52">
        <v>39840</v>
      </c>
      <c r="M9" s="52">
        <v>54009</v>
      </c>
      <c r="N9" s="52">
        <v>25398</v>
      </c>
      <c r="O9" s="52">
        <v>35435</v>
      </c>
      <c r="P9" s="52">
        <v>64678</v>
      </c>
    </row>
    <row r="10" spans="1:16" x14ac:dyDescent="0.25">
      <c r="A10" s="216"/>
      <c r="B10" s="214"/>
      <c r="C10" s="51" t="s">
        <v>21</v>
      </c>
      <c r="D10" s="51">
        <v>128641</v>
      </c>
      <c r="E10" s="51">
        <v>68317</v>
      </c>
      <c r="F10" s="51">
        <v>36980</v>
      </c>
      <c r="G10" s="51">
        <v>26851</v>
      </c>
      <c r="H10" s="51">
        <v>10214</v>
      </c>
      <c r="I10" s="51">
        <v>12056</v>
      </c>
      <c r="J10" s="51">
        <v>2946</v>
      </c>
      <c r="K10" s="51">
        <v>2910</v>
      </c>
      <c r="L10" s="51">
        <v>1733</v>
      </c>
      <c r="M10" s="51">
        <v>1982</v>
      </c>
      <c r="N10" s="51">
        <v>2697</v>
      </c>
      <c r="O10" s="51">
        <v>773</v>
      </c>
      <c r="P10" s="51">
        <v>884</v>
      </c>
    </row>
    <row r="11" spans="1:16" x14ac:dyDescent="0.25">
      <c r="A11" s="216"/>
      <c r="B11" s="214"/>
      <c r="C11" s="51" t="s">
        <v>22</v>
      </c>
      <c r="D11" s="51">
        <v>7584</v>
      </c>
      <c r="E11" s="51">
        <v>8660</v>
      </c>
      <c r="F11" s="51">
        <v>7094</v>
      </c>
      <c r="G11" s="51">
        <v>10824</v>
      </c>
      <c r="H11" s="51">
        <v>9160</v>
      </c>
      <c r="I11" s="51">
        <v>11522</v>
      </c>
      <c r="J11" s="51">
        <v>3309</v>
      </c>
      <c r="K11" s="51">
        <v>7588.285714285681</v>
      </c>
      <c r="L11" s="51">
        <v>1807</v>
      </c>
      <c r="M11" s="51">
        <v>4249</v>
      </c>
      <c r="N11" s="51">
        <v>7404</v>
      </c>
      <c r="O11" s="51">
        <v>6468</v>
      </c>
      <c r="P11" s="51">
        <v>23012</v>
      </c>
    </row>
    <row r="12" spans="1:16" x14ac:dyDescent="0.25">
      <c r="A12" s="216"/>
      <c r="B12" s="214"/>
      <c r="C12" s="52" t="s">
        <v>24</v>
      </c>
      <c r="D12" s="52">
        <v>11432</v>
      </c>
      <c r="E12" s="52">
        <v>9345</v>
      </c>
      <c r="F12" s="52">
        <v>5697</v>
      </c>
      <c r="G12" s="52">
        <v>2963</v>
      </c>
      <c r="H12" s="52">
        <v>2520</v>
      </c>
      <c r="I12" s="52">
        <v>1794</v>
      </c>
      <c r="J12" s="52">
        <v>2232</v>
      </c>
      <c r="K12" s="52">
        <v>1414</v>
      </c>
      <c r="L12" s="52">
        <v>1117</v>
      </c>
      <c r="M12" s="52">
        <v>285</v>
      </c>
      <c r="N12" s="52">
        <v>782</v>
      </c>
      <c r="O12" s="52">
        <v>420</v>
      </c>
      <c r="P12" s="52">
        <v>444</v>
      </c>
    </row>
    <row r="13" spans="1:16" x14ac:dyDescent="0.25">
      <c r="A13" s="216"/>
      <c r="B13" s="214"/>
      <c r="C13" s="51" t="s">
        <v>25</v>
      </c>
      <c r="D13" s="51">
        <v>27270</v>
      </c>
      <c r="E13" s="51">
        <v>9433</v>
      </c>
      <c r="F13" s="51">
        <v>4417</v>
      </c>
      <c r="G13" s="51">
        <v>2943</v>
      </c>
      <c r="H13" s="51">
        <v>3121</v>
      </c>
      <c r="I13" s="51">
        <v>10558</v>
      </c>
      <c r="J13" s="51">
        <v>286</v>
      </c>
      <c r="K13" s="51">
        <v>0</v>
      </c>
      <c r="L13" s="51">
        <v>0</v>
      </c>
      <c r="M13" s="51">
        <v>228</v>
      </c>
      <c r="N13" s="51">
        <v>1316</v>
      </c>
      <c r="O13" s="51">
        <v>784</v>
      </c>
      <c r="P13" s="51">
        <v>931</v>
      </c>
    </row>
    <row r="14" spans="1:16" x14ac:dyDescent="0.25">
      <c r="A14" s="216"/>
      <c r="B14" s="214"/>
      <c r="C14" s="51" t="s">
        <v>26</v>
      </c>
      <c r="D14" s="51">
        <v>6140</v>
      </c>
      <c r="E14" s="51">
        <v>6448</v>
      </c>
      <c r="F14" s="51">
        <v>814</v>
      </c>
      <c r="G14" s="51">
        <v>4022</v>
      </c>
      <c r="H14" s="51">
        <v>2065</v>
      </c>
      <c r="I14" s="51">
        <v>4303</v>
      </c>
      <c r="J14" s="51">
        <v>3958</v>
      </c>
      <c r="K14" s="51">
        <v>2595</v>
      </c>
      <c r="L14" s="51">
        <v>750</v>
      </c>
      <c r="M14" s="51">
        <v>0</v>
      </c>
      <c r="N14" s="51">
        <v>0</v>
      </c>
      <c r="O14" s="51">
        <v>0</v>
      </c>
      <c r="P14" s="51">
        <v>0</v>
      </c>
    </row>
    <row r="15" spans="1:16" x14ac:dyDescent="0.25">
      <c r="A15" s="216"/>
      <c r="B15" s="214"/>
      <c r="C15" s="51" t="s">
        <v>27</v>
      </c>
      <c r="D15" s="51">
        <v>4169</v>
      </c>
      <c r="E15" s="51">
        <v>17532</v>
      </c>
      <c r="F15" s="51">
        <v>20233</v>
      </c>
      <c r="G15" s="51">
        <v>27755</v>
      </c>
      <c r="H15" s="51">
        <v>15465</v>
      </c>
      <c r="I15" s="51">
        <v>4394</v>
      </c>
      <c r="J15" s="51">
        <v>2055</v>
      </c>
      <c r="K15" s="51">
        <v>7745.2857142854482</v>
      </c>
      <c r="L15" s="51">
        <v>661</v>
      </c>
      <c r="M15" s="51">
        <v>41</v>
      </c>
      <c r="N15" s="51">
        <v>100</v>
      </c>
      <c r="O15" s="51">
        <v>0</v>
      </c>
      <c r="P15" s="51">
        <v>0</v>
      </c>
    </row>
    <row r="16" spans="1:16" x14ac:dyDescent="0.25">
      <c r="A16" s="216"/>
      <c r="B16" s="214"/>
      <c r="C16" s="51" t="s">
        <v>28</v>
      </c>
      <c r="D16" s="51">
        <v>2463</v>
      </c>
      <c r="E16" s="51">
        <v>1648</v>
      </c>
      <c r="F16" s="51">
        <v>1665</v>
      </c>
      <c r="G16" s="51">
        <v>1434</v>
      </c>
      <c r="H16" s="51">
        <v>528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</row>
    <row r="17" spans="1:16" x14ac:dyDescent="0.25">
      <c r="A17" s="216"/>
      <c r="B17" s="214"/>
      <c r="C17" s="51" t="s">
        <v>29</v>
      </c>
      <c r="D17" s="51">
        <v>5451</v>
      </c>
      <c r="E17" s="51">
        <v>6014</v>
      </c>
      <c r="F17" s="51">
        <v>2592</v>
      </c>
      <c r="G17" s="51">
        <v>1093</v>
      </c>
      <c r="H17" s="51">
        <v>5260</v>
      </c>
      <c r="I17" s="51">
        <v>3008</v>
      </c>
      <c r="J17" s="51">
        <v>3869</v>
      </c>
      <c r="K17" s="51">
        <v>2742.4285714285215</v>
      </c>
      <c r="L17" s="51">
        <v>1518</v>
      </c>
      <c r="M17" s="51">
        <v>0</v>
      </c>
      <c r="N17" s="51">
        <v>148</v>
      </c>
      <c r="O17" s="51">
        <v>9</v>
      </c>
      <c r="P17" s="51">
        <v>0</v>
      </c>
    </row>
    <row r="18" spans="1:16" x14ac:dyDescent="0.25">
      <c r="A18" s="216"/>
      <c r="B18" s="214"/>
      <c r="C18" s="51" t="s">
        <v>38</v>
      </c>
      <c r="D18" s="51">
        <v>4193</v>
      </c>
      <c r="E18" s="51">
        <v>14530</v>
      </c>
      <c r="F18" s="51">
        <v>52604</v>
      </c>
      <c r="G18" s="51">
        <v>83764</v>
      </c>
      <c r="H18" s="51">
        <v>115197</v>
      </c>
      <c r="I18" s="51">
        <v>101242</v>
      </c>
      <c r="J18" s="51">
        <v>90426</v>
      </c>
      <c r="K18" s="51">
        <v>86667</v>
      </c>
      <c r="L18" s="51">
        <v>52600</v>
      </c>
      <c r="M18" s="51">
        <v>41132.175000000003</v>
      </c>
      <c r="N18" s="51">
        <v>71147</v>
      </c>
      <c r="O18" s="51">
        <v>71541</v>
      </c>
      <c r="P18" s="51">
        <v>114194</v>
      </c>
    </row>
    <row r="19" spans="1:16" x14ac:dyDescent="0.25">
      <c r="A19" s="216"/>
      <c r="B19" s="214"/>
      <c r="C19" s="51" t="s">
        <v>50</v>
      </c>
      <c r="D19" s="51">
        <v>0</v>
      </c>
      <c r="E19" s="51">
        <v>0</v>
      </c>
      <c r="F19" s="51">
        <v>0</v>
      </c>
      <c r="G19" s="51">
        <v>608</v>
      </c>
      <c r="H19" s="51">
        <v>622</v>
      </c>
      <c r="I19" s="51">
        <v>302</v>
      </c>
      <c r="J19" s="51">
        <v>724</v>
      </c>
      <c r="K19" s="51">
        <v>67</v>
      </c>
      <c r="L19" s="51">
        <v>0</v>
      </c>
      <c r="M19" s="51">
        <v>0</v>
      </c>
      <c r="N19" s="51">
        <v>4047</v>
      </c>
      <c r="O19" s="51">
        <v>1362</v>
      </c>
      <c r="P19" s="51">
        <v>1874</v>
      </c>
    </row>
    <row r="20" spans="1:16" x14ac:dyDescent="0.25">
      <c r="A20" s="216"/>
      <c r="B20" s="214"/>
      <c r="C20" s="51" t="s">
        <v>43</v>
      </c>
      <c r="D20" s="51">
        <v>0</v>
      </c>
      <c r="E20" s="51">
        <v>433</v>
      </c>
      <c r="F20" s="51">
        <v>4672</v>
      </c>
      <c r="G20" s="51">
        <v>3726</v>
      </c>
      <c r="H20" s="51">
        <v>3399</v>
      </c>
      <c r="I20" s="51">
        <v>3830</v>
      </c>
      <c r="J20" s="51">
        <v>670</v>
      </c>
      <c r="K20" s="51">
        <v>3465.8571428571595</v>
      </c>
      <c r="L20" s="51">
        <v>158</v>
      </c>
      <c r="M20" s="51">
        <v>0</v>
      </c>
      <c r="N20" s="51">
        <v>297</v>
      </c>
      <c r="O20" s="51">
        <v>90</v>
      </c>
      <c r="P20" s="51">
        <v>0</v>
      </c>
    </row>
    <row r="21" spans="1:16" x14ac:dyDescent="0.25">
      <c r="A21" s="216"/>
      <c r="B21" s="214"/>
      <c r="C21" s="51" t="s">
        <v>46</v>
      </c>
      <c r="D21" s="51">
        <v>100</v>
      </c>
      <c r="E21" s="51">
        <v>0</v>
      </c>
      <c r="F21" s="51">
        <v>23</v>
      </c>
      <c r="G21" s="51">
        <v>222</v>
      </c>
      <c r="H21" s="51">
        <v>502</v>
      </c>
      <c r="I21" s="51">
        <v>64906</v>
      </c>
      <c r="J21" s="51">
        <v>107</v>
      </c>
      <c r="K21" s="51">
        <v>802</v>
      </c>
      <c r="L21" s="51">
        <v>0</v>
      </c>
      <c r="M21" s="51">
        <v>0</v>
      </c>
      <c r="N21" s="51">
        <v>0</v>
      </c>
      <c r="O21" s="51">
        <v>0</v>
      </c>
      <c r="P21" s="51">
        <v>0</v>
      </c>
    </row>
    <row r="22" spans="1:16" x14ac:dyDescent="0.25">
      <c r="A22" s="216"/>
      <c r="B22" s="214"/>
      <c r="C22" s="51" t="s">
        <v>41</v>
      </c>
      <c r="D22" s="51">
        <v>2021</v>
      </c>
      <c r="E22" s="51">
        <v>3625</v>
      </c>
      <c r="F22" s="51">
        <v>2320</v>
      </c>
      <c r="G22" s="51">
        <v>1662</v>
      </c>
      <c r="H22" s="51">
        <v>1440</v>
      </c>
      <c r="I22" s="51">
        <v>2603</v>
      </c>
      <c r="J22" s="51">
        <v>2117</v>
      </c>
      <c r="K22" s="51">
        <v>1878.8571428571595</v>
      </c>
      <c r="L22" s="51">
        <v>1776</v>
      </c>
      <c r="M22" s="51">
        <v>697.21</v>
      </c>
      <c r="N22" s="51">
        <v>434</v>
      </c>
      <c r="O22" s="51">
        <v>847</v>
      </c>
      <c r="P22" s="51">
        <v>508</v>
      </c>
    </row>
    <row r="23" spans="1:16" x14ac:dyDescent="0.25">
      <c r="A23" s="216"/>
      <c r="B23" s="214"/>
      <c r="C23" s="51" t="s">
        <v>44</v>
      </c>
      <c r="D23" s="51">
        <v>55</v>
      </c>
      <c r="E23" s="51">
        <v>325</v>
      </c>
      <c r="F23" s="51">
        <v>887</v>
      </c>
      <c r="G23" s="51">
        <v>3111</v>
      </c>
      <c r="H23" s="51">
        <v>1307</v>
      </c>
      <c r="I23" s="51">
        <v>1218</v>
      </c>
      <c r="J23" s="51">
        <v>8030</v>
      </c>
      <c r="K23" s="51">
        <v>5866.285714285681</v>
      </c>
      <c r="L23" s="51">
        <v>515</v>
      </c>
      <c r="M23" s="51">
        <v>0</v>
      </c>
      <c r="N23" s="51">
        <v>0</v>
      </c>
      <c r="O23" s="51">
        <v>0</v>
      </c>
      <c r="P23" s="51">
        <v>0</v>
      </c>
    </row>
    <row r="24" spans="1:16" x14ac:dyDescent="0.25">
      <c r="A24" s="216"/>
      <c r="B24" s="214"/>
      <c r="C24" s="51" t="s">
        <v>45</v>
      </c>
      <c r="D24" s="51">
        <v>492</v>
      </c>
      <c r="E24" s="51">
        <v>5093</v>
      </c>
      <c r="F24" s="51">
        <v>2205</v>
      </c>
      <c r="G24" s="51">
        <v>3098</v>
      </c>
      <c r="H24" s="51">
        <v>466</v>
      </c>
      <c r="I24" s="51">
        <v>1999</v>
      </c>
      <c r="J24" s="51">
        <v>644</v>
      </c>
      <c r="K24" s="51">
        <v>932.28571428579744</v>
      </c>
      <c r="L24" s="51">
        <v>2383</v>
      </c>
      <c r="M24" s="51">
        <v>540</v>
      </c>
      <c r="N24" s="51">
        <v>0</v>
      </c>
      <c r="O24" s="51">
        <v>0</v>
      </c>
      <c r="P24" s="51">
        <v>0</v>
      </c>
    </row>
    <row r="25" spans="1:16" x14ac:dyDescent="0.25">
      <c r="A25" s="216"/>
      <c r="B25" s="214"/>
      <c r="C25" s="51" t="s">
        <v>47</v>
      </c>
      <c r="D25" s="51">
        <v>0</v>
      </c>
      <c r="E25" s="51">
        <v>0</v>
      </c>
      <c r="F25" s="51">
        <v>0</v>
      </c>
      <c r="G25" s="51">
        <v>0</v>
      </c>
      <c r="H25" s="51">
        <v>8348</v>
      </c>
      <c r="I25" s="51">
        <v>20618</v>
      </c>
      <c r="J25" s="51">
        <v>41551</v>
      </c>
      <c r="K25" s="51">
        <v>42963</v>
      </c>
      <c r="L25" s="51">
        <v>51772</v>
      </c>
      <c r="M25" s="51">
        <v>10116</v>
      </c>
      <c r="N25" s="51">
        <v>35546</v>
      </c>
      <c r="O25" s="51">
        <v>27670</v>
      </c>
      <c r="P25" s="51">
        <v>28356</v>
      </c>
    </row>
    <row r="26" spans="1:16" x14ac:dyDescent="0.25">
      <c r="A26" s="216"/>
      <c r="B26" s="214"/>
      <c r="C26" s="51" t="s">
        <v>53</v>
      </c>
      <c r="D26" s="51">
        <v>0</v>
      </c>
      <c r="E26" s="51">
        <v>0</v>
      </c>
      <c r="F26" s="51">
        <v>0</v>
      </c>
      <c r="G26" s="51">
        <v>5701</v>
      </c>
      <c r="H26" s="51">
        <v>21160</v>
      </c>
      <c r="I26" s="51">
        <v>35806</v>
      </c>
      <c r="J26" s="51">
        <v>9472</v>
      </c>
      <c r="K26" s="51">
        <v>2971</v>
      </c>
      <c r="L26" s="51">
        <v>10621.668346091999</v>
      </c>
      <c r="M26" s="51">
        <v>2738</v>
      </c>
      <c r="N26" s="51">
        <v>8194</v>
      </c>
      <c r="O26" s="51">
        <v>4236</v>
      </c>
      <c r="P26" s="51">
        <v>4915</v>
      </c>
    </row>
    <row r="27" spans="1:16" x14ac:dyDescent="0.25">
      <c r="A27" s="216"/>
      <c r="B27" s="214"/>
      <c r="C27" s="51" t="s">
        <v>51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29944</v>
      </c>
      <c r="J27" s="51">
        <v>71396.5</v>
      </c>
      <c r="K27" s="51">
        <v>53631.142857141793</v>
      </c>
      <c r="L27" s="51">
        <v>38495</v>
      </c>
      <c r="M27" s="51">
        <v>38554</v>
      </c>
      <c r="N27" s="51">
        <v>111666</v>
      </c>
      <c r="O27" s="51">
        <v>52494</v>
      </c>
      <c r="P27" s="51">
        <v>86064</v>
      </c>
    </row>
    <row r="28" spans="1:16" x14ac:dyDescent="0.25">
      <c r="A28" s="216"/>
      <c r="B28" s="215"/>
      <c r="C28" s="51" t="s">
        <v>52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20</v>
      </c>
      <c r="L28" s="51">
        <v>634</v>
      </c>
      <c r="M28" s="51">
        <v>18030</v>
      </c>
      <c r="N28" s="51">
        <v>2323</v>
      </c>
      <c r="O28" s="51">
        <v>0</v>
      </c>
      <c r="P28" s="51"/>
    </row>
    <row r="29" spans="1:16" x14ac:dyDescent="0.25">
      <c r="A29" s="51"/>
      <c r="B29" s="51"/>
      <c r="C29" s="52" t="s">
        <v>30</v>
      </c>
      <c r="D29" s="52">
        <v>64819</v>
      </c>
      <c r="E29" s="52">
        <v>65676</v>
      </c>
      <c r="F29" s="52">
        <v>76685</v>
      </c>
      <c r="G29" s="52">
        <v>48319</v>
      </c>
      <c r="H29" s="52">
        <v>28565</v>
      </c>
      <c r="I29" s="52">
        <v>29065</v>
      </c>
      <c r="J29" s="52">
        <v>1090</v>
      </c>
      <c r="K29" s="52">
        <v>241.42857142910361</v>
      </c>
      <c r="L29" s="52">
        <v>8645</v>
      </c>
      <c r="M29" s="52">
        <v>126921</v>
      </c>
      <c r="N29" s="52">
        <v>63020</v>
      </c>
      <c r="O29" s="52">
        <v>45882</v>
      </c>
      <c r="P29" s="52">
        <v>26681</v>
      </c>
    </row>
    <row r="30" spans="1:16" x14ac:dyDescent="0.25">
      <c r="A30" s="51"/>
      <c r="B30" s="51"/>
      <c r="C30" s="52" t="s">
        <v>39</v>
      </c>
      <c r="D30" s="52">
        <v>175760</v>
      </c>
      <c r="E30" s="52">
        <v>129013</v>
      </c>
      <c r="F30" s="52">
        <v>104659.5</v>
      </c>
      <c r="G30" s="52">
        <v>122208</v>
      </c>
      <c r="H30" s="52">
        <v>102216</v>
      </c>
      <c r="I30" s="52">
        <v>115129</v>
      </c>
      <c r="J30" s="52">
        <v>213896.5</v>
      </c>
      <c r="K30" s="52">
        <v>149582.85714285728</v>
      </c>
      <c r="L30" s="52">
        <v>789085</v>
      </c>
      <c r="M30" s="52">
        <v>676482</v>
      </c>
      <c r="N30" s="52">
        <v>158852</v>
      </c>
      <c r="O30" s="52">
        <v>721637</v>
      </c>
      <c r="P30" s="52">
        <v>483132</v>
      </c>
    </row>
    <row r="31" spans="1:16" x14ac:dyDescent="0.25">
      <c r="A31" s="51"/>
      <c r="B31" s="51"/>
      <c r="C31" s="52" t="s">
        <v>36</v>
      </c>
      <c r="D31" s="52">
        <v>1812084</v>
      </c>
      <c r="E31" s="52">
        <v>1743011</v>
      </c>
      <c r="F31" s="52">
        <v>1853544.5</v>
      </c>
      <c r="G31" s="52">
        <v>2092249</v>
      </c>
      <c r="H31" s="52">
        <v>1794503</v>
      </c>
      <c r="I31" s="52">
        <v>1860455</v>
      </c>
      <c r="J31" s="52">
        <v>2111796</v>
      </c>
      <c r="K31" s="52">
        <v>2018211.0000000121</v>
      </c>
      <c r="L31" s="52">
        <v>2040262.6283460921</v>
      </c>
      <c r="M31" s="52">
        <v>2039360.0160000001</v>
      </c>
      <c r="N31" s="52">
        <v>1912943.5</v>
      </c>
      <c r="O31" s="52">
        <v>2099188</v>
      </c>
      <c r="P31" s="52">
        <v>2079042</v>
      </c>
    </row>
    <row r="33" spans="1:16" x14ac:dyDescent="0.25">
      <c r="A33" s="220" t="s">
        <v>73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 ht="30" x14ac:dyDescent="0.25">
      <c r="A34" s="51" t="s">
        <v>1</v>
      </c>
      <c r="B34" s="51" t="s">
        <v>2</v>
      </c>
      <c r="C34" s="51" t="s">
        <v>3</v>
      </c>
      <c r="D34" s="52">
        <v>2005</v>
      </c>
      <c r="E34" s="52">
        <v>2006</v>
      </c>
      <c r="F34" s="52">
        <v>2007</v>
      </c>
      <c r="G34" s="52">
        <v>2008</v>
      </c>
      <c r="H34" s="52">
        <v>2009</v>
      </c>
      <c r="I34" s="52">
        <v>2010</v>
      </c>
      <c r="J34" s="52">
        <v>2011</v>
      </c>
      <c r="K34" s="52">
        <v>2012</v>
      </c>
      <c r="L34" s="52">
        <v>2013</v>
      </c>
      <c r="M34" s="52">
        <v>2014</v>
      </c>
      <c r="N34" s="52">
        <v>2015</v>
      </c>
      <c r="O34" s="52">
        <v>2016</v>
      </c>
      <c r="P34" s="52">
        <v>2017</v>
      </c>
    </row>
    <row r="35" spans="1:16" x14ac:dyDescent="0.25">
      <c r="A35" s="216" t="s">
        <v>15</v>
      </c>
      <c r="B35" s="216" t="s">
        <v>16</v>
      </c>
      <c r="C35" s="52" t="s">
        <v>17</v>
      </c>
      <c r="D35" s="51">
        <v>780533</v>
      </c>
      <c r="E35" s="51">
        <v>887610</v>
      </c>
      <c r="F35" s="51">
        <v>1096349</v>
      </c>
      <c r="G35" s="51">
        <v>1176088</v>
      </c>
      <c r="H35" s="51">
        <v>1005725</v>
      </c>
      <c r="I35" s="51">
        <v>1027539</v>
      </c>
      <c r="J35" s="51">
        <v>1254128</v>
      </c>
      <c r="K35" s="51">
        <v>1262570.1428571492</v>
      </c>
      <c r="L35" s="51">
        <v>518413.96</v>
      </c>
      <c r="M35" s="51">
        <v>510621.95899999997</v>
      </c>
      <c r="N35" s="51">
        <v>732535</v>
      </c>
      <c r="O35" s="51">
        <v>549928</v>
      </c>
      <c r="P35" s="51">
        <v>645641</v>
      </c>
    </row>
    <row r="36" spans="1:16" x14ac:dyDescent="0.25">
      <c r="A36" s="216"/>
      <c r="B36" s="216"/>
      <c r="C36" s="52" t="s">
        <v>37</v>
      </c>
      <c r="D36" s="51">
        <v>83126</v>
      </c>
      <c r="E36" s="51">
        <v>39162</v>
      </c>
      <c r="F36" s="51">
        <v>23162</v>
      </c>
      <c r="G36" s="51">
        <v>11835</v>
      </c>
      <c r="H36" s="51">
        <v>9951</v>
      </c>
      <c r="I36" s="51">
        <v>8684</v>
      </c>
      <c r="J36" s="51">
        <v>8767</v>
      </c>
      <c r="K36" s="51">
        <v>16080</v>
      </c>
      <c r="L36" s="51">
        <v>17983</v>
      </c>
      <c r="M36" s="51">
        <v>13634</v>
      </c>
      <c r="N36" s="51">
        <v>7498</v>
      </c>
      <c r="O36" s="51">
        <v>3861</v>
      </c>
      <c r="P36" s="51">
        <v>2704</v>
      </c>
    </row>
    <row r="37" spans="1:16" x14ac:dyDescent="0.25">
      <c r="A37" s="216"/>
      <c r="B37" s="216"/>
      <c r="C37" s="52" t="s">
        <v>20</v>
      </c>
      <c r="D37" s="51">
        <v>3903</v>
      </c>
      <c r="E37" s="51">
        <v>4396</v>
      </c>
      <c r="F37" s="51">
        <v>6894</v>
      </c>
      <c r="G37" s="51">
        <v>10520</v>
      </c>
      <c r="H37" s="51">
        <v>12589</v>
      </c>
      <c r="I37" s="51">
        <v>16765</v>
      </c>
      <c r="J37" s="51">
        <v>17112</v>
      </c>
      <c r="K37" s="51">
        <v>20319.857142857276</v>
      </c>
      <c r="L37" s="51">
        <v>39840</v>
      </c>
      <c r="M37" s="51">
        <v>54009</v>
      </c>
      <c r="N37" s="51">
        <v>25398</v>
      </c>
      <c r="O37" s="51">
        <v>35435</v>
      </c>
      <c r="P37" s="51">
        <v>64678</v>
      </c>
    </row>
    <row r="38" spans="1:16" x14ac:dyDescent="0.25">
      <c r="A38" s="216"/>
      <c r="B38" s="216"/>
      <c r="C38" s="52" t="s">
        <v>24</v>
      </c>
      <c r="D38" s="51">
        <v>11432</v>
      </c>
      <c r="E38" s="51">
        <v>9345</v>
      </c>
      <c r="F38" s="51">
        <v>5697</v>
      </c>
      <c r="G38" s="51">
        <v>2963</v>
      </c>
      <c r="H38" s="51">
        <v>2520</v>
      </c>
      <c r="I38" s="51">
        <v>1794</v>
      </c>
      <c r="J38" s="51">
        <v>2232</v>
      </c>
      <c r="K38" s="51">
        <v>1414</v>
      </c>
      <c r="L38" s="51">
        <v>1117</v>
      </c>
      <c r="M38" s="51">
        <v>285</v>
      </c>
      <c r="N38" s="51">
        <v>782</v>
      </c>
      <c r="O38" s="51">
        <v>420</v>
      </c>
      <c r="P38" s="51">
        <v>444</v>
      </c>
    </row>
    <row r="39" spans="1:16" x14ac:dyDescent="0.25">
      <c r="A39" s="221" t="s">
        <v>110</v>
      </c>
      <c r="B39" s="222"/>
      <c r="C39" s="223"/>
      <c r="D39" s="74">
        <f>SUM(D35:D38)</f>
        <v>878994</v>
      </c>
      <c r="E39" s="74">
        <f t="shared" ref="E39:P39" si="0">SUM(E35:E38)</f>
        <v>940513</v>
      </c>
      <c r="F39" s="74">
        <f t="shared" si="0"/>
        <v>1132102</v>
      </c>
      <c r="G39" s="74">
        <f t="shared" si="0"/>
        <v>1201406</v>
      </c>
      <c r="H39" s="74">
        <f t="shared" si="0"/>
        <v>1030785</v>
      </c>
      <c r="I39" s="74">
        <f t="shared" si="0"/>
        <v>1054782</v>
      </c>
      <c r="J39" s="74">
        <f t="shared" si="0"/>
        <v>1282239</v>
      </c>
      <c r="K39" s="74">
        <f t="shared" si="0"/>
        <v>1300384.0000000065</v>
      </c>
      <c r="L39" s="74">
        <f t="shared" si="0"/>
        <v>577353.96</v>
      </c>
      <c r="M39" s="74">
        <f t="shared" si="0"/>
        <v>578549.95900000003</v>
      </c>
      <c r="N39" s="74">
        <f t="shared" si="0"/>
        <v>766213</v>
      </c>
      <c r="O39" s="74">
        <f t="shared" si="0"/>
        <v>589644</v>
      </c>
      <c r="P39" s="74">
        <f t="shared" si="0"/>
        <v>713467</v>
      </c>
    </row>
    <row r="41" spans="1:16" ht="30" customHeight="1" x14ac:dyDescent="0.25">
      <c r="A41" s="224" t="s">
        <v>84</v>
      </c>
      <c r="B41" s="225"/>
      <c r="C41" s="225"/>
      <c r="D41" s="225"/>
      <c r="E41" s="225"/>
      <c r="F41" s="225"/>
      <c r="G41" s="225"/>
      <c r="H41" s="225"/>
      <c r="I41" s="226"/>
    </row>
    <row r="42" spans="1:16" x14ac:dyDescent="0.25">
      <c r="A42" s="163" t="s">
        <v>68</v>
      </c>
      <c r="B42" s="217" t="s">
        <v>69</v>
      </c>
      <c r="C42" s="217"/>
      <c r="D42" s="217"/>
      <c r="E42" s="218" t="s">
        <v>74</v>
      </c>
      <c r="F42" s="218"/>
      <c r="G42" s="218"/>
      <c r="H42" s="219" t="s">
        <v>55</v>
      </c>
      <c r="I42" s="219"/>
    </row>
    <row r="43" spans="1:16" x14ac:dyDescent="0.25">
      <c r="A43" s="163"/>
      <c r="B43" s="217"/>
      <c r="C43" s="217"/>
      <c r="D43" s="217"/>
      <c r="E43" s="218"/>
      <c r="F43" s="218"/>
      <c r="G43" s="218"/>
      <c r="H43" s="219"/>
      <c r="I43" s="219"/>
    </row>
    <row r="44" spans="1:16" ht="90" x14ac:dyDescent="0.25">
      <c r="A44" s="163"/>
      <c r="B44" s="58" t="s">
        <v>75</v>
      </c>
      <c r="C44" s="58" t="s">
        <v>76</v>
      </c>
      <c r="D44" s="58" t="s">
        <v>77</v>
      </c>
      <c r="E44" s="59" t="s">
        <v>58</v>
      </c>
      <c r="F44" s="58" t="s">
        <v>78</v>
      </c>
      <c r="G44" s="60" t="s">
        <v>79</v>
      </c>
      <c r="H44" s="61" t="s">
        <v>80</v>
      </c>
      <c r="I44" s="61" t="s">
        <v>81</v>
      </c>
      <c r="L44" s="57" t="s">
        <v>85</v>
      </c>
      <c r="M44" s="57" t="s">
        <v>86</v>
      </c>
    </row>
    <row r="45" spans="1:16" x14ac:dyDescent="0.25">
      <c r="A45" s="163"/>
      <c r="B45" s="58" t="s">
        <v>62</v>
      </c>
      <c r="C45" s="58" t="s">
        <v>63</v>
      </c>
      <c r="D45" s="58" t="s">
        <v>82</v>
      </c>
      <c r="E45" s="59" t="s">
        <v>64</v>
      </c>
      <c r="F45" s="58" t="s">
        <v>65</v>
      </c>
      <c r="G45" s="59" t="s">
        <v>83</v>
      </c>
      <c r="H45" s="61" t="s">
        <v>66</v>
      </c>
      <c r="I45" s="61" t="s">
        <v>67</v>
      </c>
      <c r="L45" s="56" t="s">
        <v>87</v>
      </c>
      <c r="M45" s="55">
        <v>0.93</v>
      </c>
    </row>
    <row r="46" spans="1:16" x14ac:dyDescent="0.25">
      <c r="A46" s="51">
        <v>2005</v>
      </c>
      <c r="B46" s="67">
        <f>D35</f>
        <v>780533</v>
      </c>
      <c r="C46" s="62" t="s">
        <v>17</v>
      </c>
      <c r="D46" s="62">
        <v>125</v>
      </c>
      <c r="E46" s="62">
        <v>1</v>
      </c>
      <c r="F46" s="62">
        <f>1-$M$55</f>
        <v>0.43000000000000005</v>
      </c>
      <c r="G46" s="62">
        <v>1.61</v>
      </c>
      <c r="H46" s="63">
        <f>B46*D46*E46*F46*G46*10^-3</f>
        <v>67545.374487500012</v>
      </c>
      <c r="I46" s="66">
        <f>H46*21</f>
        <v>1418452.8642375004</v>
      </c>
      <c r="L46" s="54" t="s">
        <v>88</v>
      </c>
      <c r="M46" s="53">
        <v>0.78</v>
      </c>
    </row>
    <row r="47" spans="1:16" x14ac:dyDescent="0.25">
      <c r="A47" s="51">
        <v>2006</v>
      </c>
      <c r="B47" s="68">
        <f>E35</f>
        <v>887610</v>
      </c>
      <c r="C47" s="62" t="s">
        <v>17</v>
      </c>
      <c r="D47" s="62">
        <v>125</v>
      </c>
      <c r="E47" s="62">
        <v>1</v>
      </c>
      <c r="F47" s="62">
        <f t="shared" ref="F47:F58" si="1">1-$M$55</f>
        <v>0.43000000000000005</v>
      </c>
      <c r="G47" s="62">
        <v>1.61</v>
      </c>
      <c r="H47" s="63">
        <f t="shared" ref="H47:H58" si="2">B47*D47*E47*F47*G47*10^-3</f>
        <v>76811.550375000021</v>
      </c>
      <c r="I47" s="66">
        <f t="shared" ref="I47:I58" si="3">H47*21</f>
        <v>1613042.5578750004</v>
      </c>
      <c r="L47" s="54" t="s">
        <v>89</v>
      </c>
      <c r="M47" s="53">
        <v>0.76</v>
      </c>
    </row>
    <row r="48" spans="1:16" x14ac:dyDescent="0.25">
      <c r="A48" s="51">
        <v>2007</v>
      </c>
      <c r="B48" s="68">
        <f>F35</f>
        <v>1096349</v>
      </c>
      <c r="C48" s="62" t="s">
        <v>17</v>
      </c>
      <c r="D48" s="62">
        <v>125</v>
      </c>
      <c r="E48" s="62">
        <v>1</v>
      </c>
      <c r="F48" s="62">
        <f t="shared" si="1"/>
        <v>0.43000000000000005</v>
      </c>
      <c r="G48" s="62">
        <v>1.61</v>
      </c>
      <c r="H48" s="63">
        <f t="shared" si="2"/>
        <v>94875.301587500027</v>
      </c>
      <c r="I48" s="66">
        <f t="shared" si="3"/>
        <v>1992381.3333375007</v>
      </c>
      <c r="L48" s="54" t="s">
        <v>90</v>
      </c>
      <c r="M48" s="53">
        <v>0.73</v>
      </c>
    </row>
    <row r="49" spans="1:13" x14ac:dyDescent="0.25">
      <c r="A49" s="51">
        <v>2008</v>
      </c>
      <c r="B49" s="68">
        <f>G35</f>
        <v>1176088</v>
      </c>
      <c r="C49" s="62" t="s">
        <v>17</v>
      </c>
      <c r="D49" s="62">
        <v>125</v>
      </c>
      <c r="E49" s="62">
        <v>1</v>
      </c>
      <c r="F49" s="62">
        <f t="shared" si="1"/>
        <v>0.43000000000000005</v>
      </c>
      <c r="G49" s="62">
        <v>1.61</v>
      </c>
      <c r="H49" s="63">
        <f t="shared" si="2"/>
        <v>101775.71530000001</v>
      </c>
      <c r="I49" s="66">
        <f t="shared" si="3"/>
        <v>2137290.0213000001</v>
      </c>
      <c r="L49" s="54" t="s">
        <v>91</v>
      </c>
      <c r="M49" s="53">
        <v>0.72</v>
      </c>
    </row>
    <row r="50" spans="1:13" x14ac:dyDescent="0.25">
      <c r="A50" s="51">
        <v>2009</v>
      </c>
      <c r="B50" s="68">
        <f>H35</f>
        <v>1005725</v>
      </c>
      <c r="C50" s="62" t="s">
        <v>17</v>
      </c>
      <c r="D50" s="62">
        <v>125</v>
      </c>
      <c r="E50" s="62">
        <v>1</v>
      </c>
      <c r="F50" s="62">
        <f t="shared" si="1"/>
        <v>0.43000000000000005</v>
      </c>
      <c r="G50" s="62">
        <v>1.61</v>
      </c>
      <c r="H50" s="63">
        <f t="shared" si="2"/>
        <v>87032.927187500012</v>
      </c>
      <c r="I50" s="66">
        <f t="shared" si="3"/>
        <v>1827691.4709375002</v>
      </c>
      <c r="L50" s="54" t="s">
        <v>92</v>
      </c>
      <c r="M50" s="53">
        <v>0.72</v>
      </c>
    </row>
    <row r="51" spans="1:13" x14ac:dyDescent="0.25">
      <c r="A51" s="51">
        <v>2010</v>
      </c>
      <c r="B51" s="68">
        <f>I35</f>
        <v>1027539</v>
      </c>
      <c r="C51" s="62" t="s">
        <v>17</v>
      </c>
      <c r="D51" s="62">
        <v>125</v>
      </c>
      <c r="E51" s="62">
        <v>1</v>
      </c>
      <c r="F51" s="62">
        <f t="shared" si="1"/>
        <v>0.43000000000000005</v>
      </c>
      <c r="G51" s="62">
        <v>1.61</v>
      </c>
      <c r="H51" s="63">
        <f t="shared" si="2"/>
        <v>88920.65621250002</v>
      </c>
      <c r="I51" s="66">
        <f t="shared" si="3"/>
        <v>1867333.7804625004</v>
      </c>
      <c r="L51" s="54" t="s">
        <v>93</v>
      </c>
      <c r="M51" s="53">
        <v>0.72</v>
      </c>
    </row>
    <row r="52" spans="1:13" x14ac:dyDescent="0.25">
      <c r="A52" s="51">
        <v>2011</v>
      </c>
      <c r="B52" s="68">
        <f>J35</f>
        <v>1254128</v>
      </c>
      <c r="C52" s="62" t="s">
        <v>17</v>
      </c>
      <c r="D52" s="62">
        <v>125</v>
      </c>
      <c r="E52" s="62">
        <v>1</v>
      </c>
      <c r="F52" s="62">
        <f t="shared" si="1"/>
        <v>0.43000000000000005</v>
      </c>
      <c r="G52" s="62">
        <v>1.61</v>
      </c>
      <c r="H52" s="63">
        <f t="shared" si="2"/>
        <v>108529.10180000003</v>
      </c>
      <c r="I52" s="66">
        <f t="shared" si="3"/>
        <v>2279111.1378000006</v>
      </c>
      <c r="L52" s="54" t="s">
        <v>94</v>
      </c>
      <c r="M52" s="53">
        <v>0.63</v>
      </c>
    </row>
    <row r="53" spans="1:13" x14ac:dyDescent="0.25">
      <c r="A53" s="51">
        <v>2012</v>
      </c>
      <c r="B53" s="68">
        <f>K35</f>
        <v>1262570.1428571492</v>
      </c>
      <c r="C53" s="62" t="s">
        <v>17</v>
      </c>
      <c r="D53" s="62">
        <v>125</v>
      </c>
      <c r="E53" s="62">
        <v>1</v>
      </c>
      <c r="F53" s="62">
        <f t="shared" si="1"/>
        <v>0.43000000000000005</v>
      </c>
      <c r="G53" s="62">
        <v>1.61</v>
      </c>
      <c r="H53" s="63">
        <f t="shared" si="2"/>
        <v>109259.66373750057</v>
      </c>
      <c r="I53" s="66">
        <f t="shared" si="3"/>
        <v>2294452.9384875121</v>
      </c>
      <c r="L53" s="54" t="s">
        <v>95</v>
      </c>
      <c r="M53" s="53">
        <v>0.56999999999999995</v>
      </c>
    </row>
    <row r="54" spans="1:13" x14ac:dyDescent="0.25">
      <c r="A54" s="51">
        <v>2013</v>
      </c>
      <c r="B54" s="68">
        <f>L35</f>
        <v>518413.96</v>
      </c>
      <c r="C54" s="62" t="s">
        <v>17</v>
      </c>
      <c r="D54" s="62">
        <v>125</v>
      </c>
      <c r="E54" s="62">
        <v>1</v>
      </c>
      <c r="F54" s="62">
        <f t="shared" si="1"/>
        <v>0.43000000000000005</v>
      </c>
      <c r="G54" s="62">
        <v>1.61</v>
      </c>
      <c r="H54" s="63">
        <f t="shared" si="2"/>
        <v>44862.248063500003</v>
      </c>
      <c r="I54" s="66">
        <f t="shared" si="3"/>
        <v>942107.20933350001</v>
      </c>
      <c r="L54" s="54" t="s">
        <v>96</v>
      </c>
      <c r="M54" s="53">
        <v>0.56999999999999995</v>
      </c>
    </row>
    <row r="55" spans="1:13" x14ac:dyDescent="0.25">
      <c r="A55" s="51">
        <v>2014</v>
      </c>
      <c r="B55" s="68">
        <f>M35</f>
        <v>510621.95899999997</v>
      </c>
      <c r="C55" s="62" t="s">
        <v>17</v>
      </c>
      <c r="D55" s="62">
        <v>125</v>
      </c>
      <c r="E55" s="62">
        <v>1</v>
      </c>
      <c r="F55" s="62">
        <f t="shared" si="1"/>
        <v>0.43000000000000005</v>
      </c>
      <c r="G55" s="62">
        <v>1.61</v>
      </c>
      <c r="H55" s="63">
        <f t="shared" si="2"/>
        <v>44187.947776962515</v>
      </c>
      <c r="I55" s="66">
        <f t="shared" si="3"/>
        <v>927946.90331621282</v>
      </c>
      <c r="L55" s="54" t="s">
        <v>17</v>
      </c>
      <c r="M55" s="53">
        <v>0.56999999999999995</v>
      </c>
    </row>
    <row r="56" spans="1:13" x14ac:dyDescent="0.25">
      <c r="A56" s="51">
        <v>2015</v>
      </c>
      <c r="B56" s="68">
        <f>N35</f>
        <v>732535</v>
      </c>
      <c r="C56" s="62" t="s">
        <v>17</v>
      </c>
      <c r="D56" s="62">
        <v>125</v>
      </c>
      <c r="E56" s="62">
        <v>1</v>
      </c>
      <c r="F56" s="62">
        <f t="shared" si="1"/>
        <v>0.43000000000000005</v>
      </c>
      <c r="G56" s="62">
        <v>1.61</v>
      </c>
      <c r="H56" s="63">
        <f t="shared" si="2"/>
        <v>63391.747562500015</v>
      </c>
      <c r="I56" s="66">
        <f t="shared" si="3"/>
        <v>1331226.6988125003</v>
      </c>
      <c r="L56" s="54" t="s">
        <v>97</v>
      </c>
      <c r="M56" s="53">
        <v>0.49</v>
      </c>
    </row>
    <row r="57" spans="1:13" x14ac:dyDescent="0.25">
      <c r="A57" s="51">
        <v>2016</v>
      </c>
      <c r="B57" s="68">
        <f>O35</f>
        <v>549928</v>
      </c>
      <c r="C57" s="62" t="s">
        <v>17</v>
      </c>
      <c r="D57" s="62">
        <v>125</v>
      </c>
      <c r="E57" s="62">
        <v>1</v>
      </c>
      <c r="F57" s="62">
        <f t="shared" si="1"/>
        <v>0.43000000000000005</v>
      </c>
      <c r="G57" s="62">
        <v>1.61</v>
      </c>
      <c r="H57" s="63">
        <f t="shared" si="2"/>
        <v>47589.394300000014</v>
      </c>
      <c r="I57" s="66">
        <f t="shared" si="3"/>
        <v>999377.28030000033</v>
      </c>
      <c r="L57" s="54" t="s">
        <v>98</v>
      </c>
      <c r="M57" s="53">
        <v>0.45</v>
      </c>
    </row>
    <row r="58" spans="1:13" x14ac:dyDescent="0.25">
      <c r="A58" s="51">
        <v>2017</v>
      </c>
      <c r="B58" s="68">
        <f>P35</f>
        <v>645641</v>
      </c>
      <c r="C58" s="62" t="s">
        <v>17</v>
      </c>
      <c r="D58" s="62">
        <v>125</v>
      </c>
      <c r="E58" s="62">
        <v>1</v>
      </c>
      <c r="F58" s="62">
        <f t="shared" si="1"/>
        <v>0.43000000000000005</v>
      </c>
      <c r="G58" s="62">
        <v>1.61</v>
      </c>
      <c r="H58" s="63">
        <f t="shared" si="2"/>
        <v>55872.158037500019</v>
      </c>
      <c r="I58" s="66">
        <f t="shared" si="3"/>
        <v>1173315.3187875005</v>
      </c>
      <c r="L58" s="54" t="s">
        <v>99</v>
      </c>
      <c r="M58" s="53">
        <v>0.37</v>
      </c>
    </row>
    <row r="59" spans="1:13" x14ac:dyDescent="0.25">
      <c r="A59" s="69"/>
      <c r="B59" s="70"/>
      <c r="C59" s="71"/>
      <c r="D59" s="71"/>
      <c r="E59" s="71"/>
      <c r="F59" s="71"/>
      <c r="G59" s="71"/>
      <c r="H59" s="72"/>
      <c r="I59" s="73"/>
      <c r="L59" s="54" t="s">
        <v>100</v>
      </c>
      <c r="M59" s="53">
        <v>0.97</v>
      </c>
    </row>
    <row r="60" spans="1:13" x14ac:dyDescent="0.25">
      <c r="L60" s="64" t="s">
        <v>101</v>
      </c>
      <c r="M60" s="65">
        <v>0.98</v>
      </c>
    </row>
    <row r="63" spans="1:13" ht="23.25" x14ac:dyDescent="0.25">
      <c r="A63" s="224" t="s">
        <v>37</v>
      </c>
      <c r="B63" s="225"/>
      <c r="C63" s="225"/>
      <c r="D63" s="225"/>
      <c r="E63" s="225"/>
      <c r="F63" s="225"/>
      <c r="G63" s="225"/>
      <c r="H63" s="225"/>
      <c r="I63" s="226"/>
    </row>
    <row r="64" spans="1:13" x14ac:dyDescent="0.25">
      <c r="A64" s="163" t="s">
        <v>68</v>
      </c>
      <c r="B64" s="217" t="s">
        <v>69</v>
      </c>
      <c r="C64" s="217"/>
      <c r="D64" s="217"/>
      <c r="E64" s="218" t="s">
        <v>74</v>
      </c>
      <c r="F64" s="218"/>
      <c r="G64" s="218"/>
      <c r="H64" s="219" t="s">
        <v>55</v>
      </c>
      <c r="I64" s="219"/>
    </row>
    <row r="65" spans="1:9" x14ac:dyDescent="0.25">
      <c r="A65" s="163"/>
      <c r="B65" s="217"/>
      <c r="C65" s="217"/>
      <c r="D65" s="217"/>
      <c r="E65" s="218"/>
      <c r="F65" s="218"/>
      <c r="G65" s="218"/>
      <c r="H65" s="219"/>
      <c r="I65" s="219"/>
    </row>
    <row r="66" spans="1:9" ht="90" x14ac:dyDescent="0.25">
      <c r="A66" s="163"/>
      <c r="B66" s="58" t="s">
        <v>75</v>
      </c>
      <c r="C66" s="58" t="s">
        <v>76</v>
      </c>
      <c r="D66" s="58" t="s">
        <v>77</v>
      </c>
      <c r="E66" s="59" t="s">
        <v>58</v>
      </c>
      <c r="F66" s="58" t="s">
        <v>78</v>
      </c>
      <c r="G66" s="60" t="s">
        <v>79</v>
      </c>
      <c r="H66" s="61" t="s">
        <v>80</v>
      </c>
      <c r="I66" s="61" t="s">
        <v>81</v>
      </c>
    </row>
    <row r="67" spans="1:9" x14ac:dyDescent="0.25">
      <c r="A67" s="163"/>
      <c r="B67" s="58" t="s">
        <v>62</v>
      </c>
      <c r="C67" s="58" t="s">
        <v>63</v>
      </c>
      <c r="D67" s="58" t="s">
        <v>82</v>
      </c>
      <c r="E67" s="59" t="s">
        <v>64</v>
      </c>
      <c r="F67" s="58" t="s">
        <v>65</v>
      </c>
      <c r="G67" s="59" t="s">
        <v>83</v>
      </c>
      <c r="H67" s="61" t="s">
        <v>66</v>
      </c>
      <c r="I67" s="61" t="s">
        <v>67</v>
      </c>
    </row>
    <row r="68" spans="1:9" x14ac:dyDescent="0.25">
      <c r="A68" s="51">
        <v>2005</v>
      </c>
      <c r="B68" s="67">
        <f>D36</f>
        <v>83126</v>
      </c>
      <c r="C68" s="62" t="s">
        <v>37</v>
      </c>
      <c r="D68" s="62">
        <v>115</v>
      </c>
      <c r="E68" s="62">
        <v>1</v>
      </c>
      <c r="F68" s="62">
        <f>1-$M$51</f>
        <v>0.28000000000000003</v>
      </c>
      <c r="G68" s="62">
        <v>1.61</v>
      </c>
      <c r="H68" s="63">
        <f>B68*D68*E68*F68*G68*10^-3</f>
        <v>4309.4180919999999</v>
      </c>
      <c r="I68" s="66">
        <f>H68*21</f>
        <v>90497.779932000005</v>
      </c>
    </row>
    <row r="69" spans="1:9" x14ac:dyDescent="0.25">
      <c r="A69" s="51">
        <v>2006</v>
      </c>
      <c r="B69" s="68">
        <f>E36</f>
        <v>39162</v>
      </c>
      <c r="C69" s="62" t="s">
        <v>37</v>
      </c>
      <c r="D69" s="62">
        <v>115</v>
      </c>
      <c r="E69" s="62">
        <v>1</v>
      </c>
      <c r="F69" s="62">
        <f t="shared" ref="F69:F80" si="4">1-$M$51</f>
        <v>0.28000000000000003</v>
      </c>
      <c r="G69" s="62">
        <v>1.61</v>
      </c>
      <c r="H69" s="63">
        <f t="shared" ref="H69:H80" si="5">B69*D69*E69*F69*G69*10^-3</f>
        <v>2030.2364040000004</v>
      </c>
      <c r="I69" s="66">
        <f t="shared" ref="I69:I80" si="6">H69*21</f>
        <v>42634.964484000011</v>
      </c>
    </row>
    <row r="70" spans="1:9" x14ac:dyDescent="0.25">
      <c r="A70" s="51">
        <v>2007</v>
      </c>
      <c r="B70" s="68">
        <f>F36</f>
        <v>23162</v>
      </c>
      <c r="C70" s="62" t="s">
        <v>37</v>
      </c>
      <c r="D70" s="62">
        <v>115</v>
      </c>
      <c r="E70" s="62">
        <v>1</v>
      </c>
      <c r="F70" s="62">
        <f t="shared" si="4"/>
        <v>0.28000000000000003</v>
      </c>
      <c r="G70" s="62">
        <v>1.61</v>
      </c>
      <c r="H70" s="63">
        <f t="shared" si="5"/>
        <v>1200.764404</v>
      </c>
      <c r="I70" s="66">
        <f t="shared" si="6"/>
        <v>25216.052484</v>
      </c>
    </row>
    <row r="71" spans="1:9" x14ac:dyDescent="0.25">
      <c r="A71" s="51">
        <v>2008</v>
      </c>
      <c r="B71" s="68">
        <f>G36</f>
        <v>11835</v>
      </c>
      <c r="C71" s="62" t="s">
        <v>37</v>
      </c>
      <c r="D71" s="62">
        <v>115</v>
      </c>
      <c r="E71" s="62">
        <v>1</v>
      </c>
      <c r="F71" s="62">
        <f t="shared" si="4"/>
        <v>0.28000000000000003</v>
      </c>
      <c r="G71" s="62">
        <v>1.61</v>
      </c>
      <c r="H71" s="63">
        <f t="shared" si="5"/>
        <v>613.55007000000023</v>
      </c>
      <c r="I71" s="66">
        <f t="shared" si="6"/>
        <v>12884.551470000006</v>
      </c>
    </row>
    <row r="72" spans="1:9" x14ac:dyDescent="0.25">
      <c r="A72" s="51">
        <v>2009</v>
      </c>
      <c r="B72" s="68">
        <f>H36</f>
        <v>9951</v>
      </c>
      <c r="C72" s="62" t="s">
        <v>37</v>
      </c>
      <c r="D72" s="62">
        <v>115</v>
      </c>
      <c r="E72" s="62">
        <v>1</v>
      </c>
      <c r="F72" s="62">
        <f t="shared" si="4"/>
        <v>0.28000000000000003</v>
      </c>
      <c r="G72" s="62">
        <v>1.61</v>
      </c>
      <c r="H72" s="63">
        <f t="shared" si="5"/>
        <v>515.87974200000008</v>
      </c>
      <c r="I72" s="66">
        <f t="shared" si="6"/>
        <v>10833.474582000003</v>
      </c>
    </row>
    <row r="73" spans="1:9" x14ac:dyDescent="0.25">
      <c r="A73" s="51">
        <v>2010</v>
      </c>
      <c r="B73" s="68">
        <f>I36</f>
        <v>8684</v>
      </c>
      <c r="C73" s="62" t="s">
        <v>37</v>
      </c>
      <c r="D73" s="62">
        <v>115</v>
      </c>
      <c r="E73" s="62">
        <v>1</v>
      </c>
      <c r="F73" s="62">
        <f t="shared" si="4"/>
        <v>0.28000000000000003</v>
      </c>
      <c r="G73" s="62">
        <v>1.61</v>
      </c>
      <c r="H73" s="63">
        <f t="shared" si="5"/>
        <v>450.19592800000015</v>
      </c>
      <c r="I73" s="66">
        <f t="shared" si="6"/>
        <v>9454.1144880000029</v>
      </c>
    </row>
    <row r="74" spans="1:9" x14ac:dyDescent="0.25">
      <c r="A74" s="51">
        <v>2011</v>
      </c>
      <c r="B74" s="68">
        <f>J36</f>
        <v>8767</v>
      </c>
      <c r="C74" s="62" t="s">
        <v>37</v>
      </c>
      <c r="D74" s="62">
        <v>115</v>
      </c>
      <c r="E74" s="62">
        <v>1</v>
      </c>
      <c r="F74" s="62">
        <f t="shared" si="4"/>
        <v>0.28000000000000003</v>
      </c>
      <c r="G74" s="62">
        <v>1.61</v>
      </c>
      <c r="H74" s="63">
        <f t="shared" si="5"/>
        <v>454.4988140000001</v>
      </c>
      <c r="I74" s="66">
        <f t="shared" si="6"/>
        <v>9544.4750940000013</v>
      </c>
    </row>
    <row r="75" spans="1:9" x14ac:dyDescent="0.25">
      <c r="A75" s="51">
        <v>2012</v>
      </c>
      <c r="B75" s="68">
        <f>K36</f>
        <v>16080</v>
      </c>
      <c r="C75" s="62" t="s">
        <v>37</v>
      </c>
      <c r="D75" s="62">
        <v>115</v>
      </c>
      <c r="E75" s="62">
        <v>1</v>
      </c>
      <c r="F75" s="62">
        <f t="shared" si="4"/>
        <v>0.28000000000000003</v>
      </c>
      <c r="G75" s="62">
        <v>1.61</v>
      </c>
      <c r="H75" s="63">
        <f t="shared" si="5"/>
        <v>833.61936000000014</v>
      </c>
      <c r="I75" s="66">
        <f t="shared" si="6"/>
        <v>17506.006560000002</v>
      </c>
    </row>
    <row r="76" spans="1:9" x14ac:dyDescent="0.25">
      <c r="A76" s="51">
        <v>2013</v>
      </c>
      <c r="B76" s="68">
        <f>L36</f>
        <v>17983</v>
      </c>
      <c r="C76" s="62" t="s">
        <v>37</v>
      </c>
      <c r="D76" s="62">
        <v>115</v>
      </c>
      <c r="E76" s="62">
        <v>1</v>
      </c>
      <c r="F76" s="62">
        <f t="shared" si="4"/>
        <v>0.28000000000000003</v>
      </c>
      <c r="G76" s="62">
        <v>1.61</v>
      </c>
      <c r="H76" s="63">
        <f t="shared" si="5"/>
        <v>932.2746860000002</v>
      </c>
      <c r="I76" s="66">
        <f t="shared" si="6"/>
        <v>19577.768406000003</v>
      </c>
    </row>
    <row r="77" spans="1:9" x14ac:dyDescent="0.25">
      <c r="A77" s="51">
        <v>2014</v>
      </c>
      <c r="B77" s="68">
        <f>M36</f>
        <v>13634</v>
      </c>
      <c r="C77" s="62" t="s">
        <v>37</v>
      </c>
      <c r="D77" s="62">
        <v>115</v>
      </c>
      <c r="E77" s="62">
        <v>1</v>
      </c>
      <c r="F77" s="62">
        <f t="shared" si="4"/>
        <v>0.28000000000000003</v>
      </c>
      <c r="G77" s="62">
        <v>1.61</v>
      </c>
      <c r="H77" s="63">
        <f t="shared" si="5"/>
        <v>706.81382800000006</v>
      </c>
      <c r="I77" s="66">
        <f t="shared" si="6"/>
        <v>14843.090388000001</v>
      </c>
    </row>
    <row r="78" spans="1:9" x14ac:dyDescent="0.25">
      <c r="A78" s="51">
        <v>2015</v>
      </c>
      <c r="B78" s="68">
        <f>N36</f>
        <v>7498</v>
      </c>
      <c r="C78" s="62" t="s">
        <v>37</v>
      </c>
      <c r="D78" s="62">
        <v>115</v>
      </c>
      <c r="E78" s="62">
        <v>1</v>
      </c>
      <c r="F78" s="62">
        <f t="shared" si="4"/>
        <v>0.28000000000000003</v>
      </c>
      <c r="G78" s="62">
        <v>1.61</v>
      </c>
      <c r="H78" s="63">
        <f t="shared" si="5"/>
        <v>388.71131600000012</v>
      </c>
      <c r="I78" s="66">
        <f t="shared" si="6"/>
        <v>8162.9376360000024</v>
      </c>
    </row>
    <row r="79" spans="1:9" x14ac:dyDescent="0.25">
      <c r="A79" s="51">
        <v>2016</v>
      </c>
      <c r="B79" s="68">
        <f>O36</f>
        <v>3861</v>
      </c>
      <c r="C79" s="62" t="s">
        <v>37</v>
      </c>
      <c r="D79" s="62">
        <v>115</v>
      </c>
      <c r="E79" s="62">
        <v>1</v>
      </c>
      <c r="F79" s="62">
        <f t="shared" si="4"/>
        <v>0.28000000000000003</v>
      </c>
      <c r="G79" s="62">
        <v>1.61</v>
      </c>
      <c r="H79" s="63">
        <f t="shared" si="5"/>
        <v>200.16196200000005</v>
      </c>
      <c r="I79" s="66">
        <f t="shared" si="6"/>
        <v>4203.4012020000009</v>
      </c>
    </row>
    <row r="80" spans="1:9" x14ac:dyDescent="0.25">
      <c r="A80" s="51">
        <v>2017</v>
      </c>
      <c r="B80" s="68">
        <f>P36</f>
        <v>2704</v>
      </c>
      <c r="C80" s="62" t="s">
        <v>37</v>
      </c>
      <c r="D80" s="62">
        <v>115</v>
      </c>
      <c r="E80" s="62">
        <v>1</v>
      </c>
      <c r="F80" s="62">
        <f t="shared" si="4"/>
        <v>0.28000000000000003</v>
      </c>
      <c r="G80" s="62">
        <v>1.61</v>
      </c>
      <c r="H80" s="63">
        <f t="shared" si="5"/>
        <v>140.180768</v>
      </c>
      <c r="I80" s="66">
        <f t="shared" si="6"/>
        <v>2943.796128</v>
      </c>
    </row>
    <row r="83" spans="1:9" ht="23.25" x14ac:dyDescent="0.25">
      <c r="A83" s="224" t="s">
        <v>20</v>
      </c>
      <c r="B83" s="225"/>
      <c r="C83" s="225"/>
      <c r="D83" s="225"/>
      <c r="E83" s="225"/>
      <c r="F83" s="225"/>
      <c r="G83" s="225"/>
      <c r="H83" s="225"/>
      <c r="I83" s="226"/>
    </row>
    <row r="84" spans="1:9" x14ac:dyDescent="0.25">
      <c r="A84" s="163" t="s">
        <v>68</v>
      </c>
      <c r="B84" s="217" t="s">
        <v>69</v>
      </c>
      <c r="C84" s="217"/>
      <c r="D84" s="217"/>
      <c r="E84" s="218" t="s">
        <v>74</v>
      </c>
      <c r="F84" s="218"/>
      <c r="G84" s="218"/>
      <c r="H84" s="219" t="s">
        <v>55</v>
      </c>
      <c r="I84" s="219"/>
    </row>
    <row r="85" spans="1:9" x14ac:dyDescent="0.25">
      <c r="A85" s="163"/>
      <c r="B85" s="217"/>
      <c r="C85" s="217"/>
      <c r="D85" s="217"/>
      <c r="E85" s="218"/>
      <c r="F85" s="218"/>
      <c r="G85" s="218"/>
      <c r="H85" s="219"/>
      <c r="I85" s="219"/>
    </row>
    <row r="86" spans="1:9" ht="90" x14ac:dyDescent="0.25">
      <c r="A86" s="163"/>
      <c r="B86" s="58" t="s">
        <v>75</v>
      </c>
      <c r="C86" s="58" t="s">
        <v>76</v>
      </c>
      <c r="D86" s="58" t="s">
        <v>77</v>
      </c>
      <c r="E86" s="59" t="s">
        <v>58</v>
      </c>
      <c r="F86" s="58" t="s">
        <v>78</v>
      </c>
      <c r="G86" s="60" t="s">
        <v>79</v>
      </c>
      <c r="H86" s="61" t="s">
        <v>80</v>
      </c>
      <c r="I86" s="61" t="s">
        <v>81</v>
      </c>
    </row>
    <row r="87" spans="1:9" x14ac:dyDescent="0.25">
      <c r="A87" s="163"/>
      <c r="B87" s="58" t="s">
        <v>62</v>
      </c>
      <c r="C87" s="58" t="s">
        <v>63</v>
      </c>
      <c r="D87" s="58" t="s">
        <v>82</v>
      </c>
      <c r="E87" s="59" t="s">
        <v>64</v>
      </c>
      <c r="F87" s="58" t="s">
        <v>65</v>
      </c>
      <c r="G87" s="59" t="s">
        <v>83</v>
      </c>
      <c r="H87" s="61" t="s">
        <v>66</v>
      </c>
      <c r="I87" s="61" t="s">
        <v>67</v>
      </c>
    </row>
    <row r="88" spans="1:9" x14ac:dyDescent="0.25">
      <c r="A88" s="51">
        <v>2005</v>
      </c>
      <c r="B88" s="67">
        <f>D37</f>
        <v>3903</v>
      </c>
      <c r="C88" s="62" t="s">
        <v>20</v>
      </c>
      <c r="D88" s="62">
        <v>130</v>
      </c>
      <c r="E88" s="62">
        <v>1</v>
      </c>
      <c r="F88" s="62">
        <f>1-$M$52</f>
        <v>0.37</v>
      </c>
      <c r="G88" s="62">
        <v>1.61</v>
      </c>
      <c r="H88" s="63">
        <f>B88*D88*E88*F88*G88*10^-3</f>
        <v>302.25222300000001</v>
      </c>
      <c r="I88" s="66">
        <f>H88*21</f>
        <v>6347.2966830000005</v>
      </c>
    </row>
    <row r="89" spans="1:9" x14ac:dyDescent="0.25">
      <c r="A89" s="51">
        <v>2006</v>
      </c>
      <c r="B89" s="68">
        <f>E37</f>
        <v>4396</v>
      </c>
      <c r="C89" s="62" t="s">
        <v>20</v>
      </c>
      <c r="D89" s="62">
        <v>130</v>
      </c>
      <c r="E89" s="62">
        <v>1</v>
      </c>
      <c r="F89" s="62">
        <f t="shared" ref="F89:F100" si="7">1-$M$52</f>
        <v>0.37</v>
      </c>
      <c r="G89" s="62">
        <v>1.61</v>
      </c>
      <c r="H89" s="63">
        <f t="shared" ref="H89:H100" si="8">B89*D89*E89*F89*G89*10^-3</f>
        <v>340.43063600000005</v>
      </c>
      <c r="I89" s="66">
        <f t="shared" ref="I89:I100" si="9">H89*21</f>
        <v>7149.043356000001</v>
      </c>
    </row>
    <row r="90" spans="1:9" x14ac:dyDescent="0.25">
      <c r="A90" s="51">
        <v>2007</v>
      </c>
      <c r="B90" s="68">
        <f>F37</f>
        <v>6894</v>
      </c>
      <c r="C90" s="62" t="s">
        <v>20</v>
      </c>
      <c r="D90" s="62">
        <v>130</v>
      </c>
      <c r="E90" s="62">
        <v>1</v>
      </c>
      <c r="F90" s="62">
        <f t="shared" si="7"/>
        <v>0.37</v>
      </c>
      <c r="G90" s="62">
        <v>1.61</v>
      </c>
      <c r="H90" s="63">
        <f t="shared" si="8"/>
        <v>533.87825400000008</v>
      </c>
      <c r="I90" s="66">
        <f t="shared" si="9"/>
        <v>11211.443334000001</v>
      </c>
    </row>
    <row r="91" spans="1:9" x14ac:dyDescent="0.25">
      <c r="A91" s="51">
        <v>2008</v>
      </c>
      <c r="B91" s="68">
        <f>G37</f>
        <v>10520</v>
      </c>
      <c r="C91" s="62" t="s">
        <v>20</v>
      </c>
      <c r="D91" s="62">
        <v>130</v>
      </c>
      <c r="E91" s="62">
        <v>1</v>
      </c>
      <c r="F91" s="62">
        <f t="shared" si="7"/>
        <v>0.37</v>
      </c>
      <c r="G91" s="62">
        <v>1.61</v>
      </c>
      <c r="H91" s="63">
        <f t="shared" si="8"/>
        <v>814.67932000000008</v>
      </c>
      <c r="I91" s="66">
        <f t="shared" si="9"/>
        <v>17108.265720000003</v>
      </c>
    </row>
    <row r="92" spans="1:9" x14ac:dyDescent="0.25">
      <c r="A92" s="51">
        <v>2009</v>
      </c>
      <c r="B92" s="68">
        <f>H37</f>
        <v>12589</v>
      </c>
      <c r="C92" s="62" t="s">
        <v>20</v>
      </c>
      <c r="D92" s="62">
        <v>130</v>
      </c>
      <c r="E92" s="62">
        <v>1</v>
      </c>
      <c r="F92" s="62">
        <f t="shared" si="7"/>
        <v>0.37</v>
      </c>
      <c r="G92" s="62">
        <v>1.61</v>
      </c>
      <c r="H92" s="63">
        <f t="shared" si="8"/>
        <v>974.90474900000004</v>
      </c>
      <c r="I92" s="66">
        <f t="shared" si="9"/>
        <v>20472.999728999999</v>
      </c>
    </row>
    <row r="93" spans="1:9" x14ac:dyDescent="0.25">
      <c r="A93" s="51">
        <v>2010</v>
      </c>
      <c r="B93" s="68">
        <f>I37</f>
        <v>16765</v>
      </c>
      <c r="C93" s="62" t="s">
        <v>20</v>
      </c>
      <c r="D93" s="62">
        <v>130</v>
      </c>
      <c r="E93" s="62">
        <v>1</v>
      </c>
      <c r="F93" s="62">
        <f t="shared" si="7"/>
        <v>0.37</v>
      </c>
      <c r="G93" s="62">
        <v>1.61</v>
      </c>
      <c r="H93" s="63">
        <f t="shared" si="8"/>
        <v>1298.2983650000001</v>
      </c>
      <c r="I93" s="66">
        <f t="shared" si="9"/>
        <v>27264.265665000003</v>
      </c>
    </row>
    <row r="94" spans="1:9" x14ac:dyDescent="0.25">
      <c r="A94" s="51">
        <v>2011</v>
      </c>
      <c r="B94" s="68">
        <f>J37</f>
        <v>17112</v>
      </c>
      <c r="C94" s="62" t="s">
        <v>20</v>
      </c>
      <c r="D94" s="62">
        <v>130</v>
      </c>
      <c r="E94" s="62">
        <v>1</v>
      </c>
      <c r="F94" s="62">
        <f t="shared" si="7"/>
        <v>0.37</v>
      </c>
      <c r="G94" s="62">
        <v>1.61</v>
      </c>
      <c r="H94" s="63">
        <f t="shared" si="8"/>
        <v>1325.170392</v>
      </c>
      <c r="I94" s="66">
        <f t="shared" si="9"/>
        <v>27828.578232</v>
      </c>
    </row>
    <row r="95" spans="1:9" x14ac:dyDescent="0.25">
      <c r="A95" s="51">
        <v>2012</v>
      </c>
      <c r="B95" s="68">
        <f>K37</f>
        <v>20319.857142857276</v>
      </c>
      <c r="C95" s="62" t="s">
        <v>20</v>
      </c>
      <c r="D95" s="62">
        <v>130</v>
      </c>
      <c r="E95" s="62">
        <v>1</v>
      </c>
      <c r="F95" s="62">
        <f t="shared" si="7"/>
        <v>0.37</v>
      </c>
      <c r="G95" s="62">
        <v>1.61</v>
      </c>
      <c r="H95" s="63">
        <f t="shared" si="8"/>
        <v>1573.5900570000106</v>
      </c>
      <c r="I95" s="66">
        <f t="shared" si="9"/>
        <v>33045.391197000223</v>
      </c>
    </row>
    <row r="96" spans="1:9" x14ac:dyDescent="0.25">
      <c r="A96" s="51">
        <v>2013</v>
      </c>
      <c r="B96" s="68">
        <f>L37</f>
        <v>39840</v>
      </c>
      <c r="C96" s="62" t="s">
        <v>20</v>
      </c>
      <c r="D96" s="62">
        <v>130</v>
      </c>
      <c r="E96" s="62">
        <v>1</v>
      </c>
      <c r="F96" s="62">
        <f t="shared" si="7"/>
        <v>0.37</v>
      </c>
      <c r="G96" s="62">
        <v>1.61</v>
      </c>
      <c r="H96" s="63">
        <f t="shared" si="8"/>
        <v>3085.2494400000005</v>
      </c>
      <c r="I96" s="66">
        <f t="shared" si="9"/>
        <v>64790.238240000013</v>
      </c>
    </row>
    <row r="97" spans="1:9" x14ac:dyDescent="0.25">
      <c r="A97" s="51">
        <v>2014</v>
      </c>
      <c r="B97" s="68">
        <f>M37</f>
        <v>54009</v>
      </c>
      <c r="C97" s="62" t="s">
        <v>20</v>
      </c>
      <c r="D97" s="62">
        <v>130</v>
      </c>
      <c r="E97" s="62">
        <v>1</v>
      </c>
      <c r="F97" s="62">
        <f t="shared" si="7"/>
        <v>0.37</v>
      </c>
      <c r="G97" s="62">
        <v>1.61</v>
      </c>
      <c r="H97" s="63">
        <f t="shared" si="8"/>
        <v>4182.5109689999999</v>
      </c>
      <c r="I97" s="66">
        <f t="shared" si="9"/>
        <v>87832.730349000005</v>
      </c>
    </row>
    <row r="98" spans="1:9" x14ac:dyDescent="0.25">
      <c r="A98" s="51">
        <v>2015</v>
      </c>
      <c r="B98" s="68">
        <f>N37</f>
        <v>25398</v>
      </c>
      <c r="C98" s="62" t="s">
        <v>20</v>
      </c>
      <c r="D98" s="62">
        <v>130</v>
      </c>
      <c r="E98" s="62">
        <v>1</v>
      </c>
      <c r="F98" s="62">
        <f t="shared" si="7"/>
        <v>0.37</v>
      </c>
      <c r="G98" s="62">
        <v>1.61</v>
      </c>
      <c r="H98" s="63">
        <f t="shared" si="8"/>
        <v>1966.8465180000003</v>
      </c>
      <c r="I98" s="66">
        <f t="shared" si="9"/>
        <v>41303.776878000004</v>
      </c>
    </row>
    <row r="99" spans="1:9" x14ac:dyDescent="0.25">
      <c r="A99" s="51">
        <v>2016</v>
      </c>
      <c r="B99" s="68">
        <f>O37</f>
        <v>35435</v>
      </c>
      <c r="C99" s="62" t="s">
        <v>20</v>
      </c>
      <c r="D99" s="62">
        <v>130</v>
      </c>
      <c r="E99" s="62">
        <v>1</v>
      </c>
      <c r="F99" s="62">
        <f t="shared" si="7"/>
        <v>0.37</v>
      </c>
      <c r="G99" s="62">
        <v>1.61</v>
      </c>
      <c r="H99" s="63">
        <f t="shared" si="8"/>
        <v>2744.1218349999999</v>
      </c>
      <c r="I99" s="66">
        <f t="shared" si="9"/>
        <v>57626.558534999996</v>
      </c>
    </row>
    <row r="100" spans="1:9" x14ac:dyDescent="0.25">
      <c r="A100" s="51">
        <v>2017</v>
      </c>
      <c r="B100" s="68">
        <f>P37</f>
        <v>64678</v>
      </c>
      <c r="C100" s="62" t="s">
        <v>20</v>
      </c>
      <c r="D100" s="62">
        <v>130</v>
      </c>
      <c r="E100" s="62">
        <v>1</v>
      </c>
      <c r="F100" s="62">
        <f t="shared" si="7"/>
        <v>0.37</v>
      </c>
      <c r="G100" s="62">
        <v>1.61</v>
      </c>
      <c r="H100" s="63">
        <f t="shared" si="8"/>
        <v>5008.7289979999996</v>
      </c>
      <c r="I100" s="66">
        <f t="shared" si="9"/>
        <v>105183.30895799999</v>
      </c>
    </row>
    <row r="103" spans="1:9" ht="23.25" x14ac:dyDescent="0.25">
      <c r="A103" s="224" t="s">
        <v>24</v>
      </c>
      <c r="B103" s="225"/>
      <c r="C103" s="225"/>
      <c r="D103" s="225"/>
      <c r="E103" s="225"/>
      <c r="F103" s="225"/>
      <c r="G103" s="225"/>
      <c r="H103" s="225"/>
      <c r="I103" s="226"/>
    </row>
    <row r="104" spans="1:9" x14ac:dyDescent="0.25">
      <c r="A104" s="163" t="s">
        <v>68</v>
      </c>
      <c r="B104" s="217" t="s">
        <v>69</v>
      </c>
      <c r="C104" s="217"/>
      <c r="D104" s="217"/>
      <c r="E104" s="218" t="s">
        <v>74</v>
      </c>
      <c r="F104" s="218"/>
      <c r="G104" s="218"/>
      <c r="H104" s="219" t="s">
        <v>55</v>
      </c>
      <c r="I104" s="219"/>
    </row>
    <row r="105" spans="1:9" x14ac:dyDescent="0.25">
      <c r="A105" s="163"/>
      <c r="B105" s="217"/>
      <c r="C105" s="217"/>
      <c r="D105" s="217"/>
      <c r="E105" s="218"/>
      <c r="F105" s="218"/>
      <c r="G105" s="218"/>
      <c r="H105" s="219"/>
      <c r="I105" s="219"/>
    </row>
    <row r="106" spans="1:9" ht="90" x14ac:dyDescent="0.25">
      <c r="A106" s="163"/>
      <c r="B106" s="58" t="s">
        <v>75</v>
      </c>
      <c r="C106" s="58" t="s">
        <v>76</v>
      </c>
      <c r="D106" s="58" t="s">
        <v>77</v>
      </c>
      <c r="E106" s="59" t="s">
        <v>58</v>
      </c>
      <c r="F106" s="58" t="s">
        <v>78</v>
      </c>
      <c r="G106" s="60" t="s">
        <v>79</v>
      </c>
      <c r="H106" s="61" t="s">
        <v>80</v>
      </c>
      <c r="I106" s="61" t="s">
        <v>81</v>
      </c>
    </row>
    <row r="107" spans="1:9" x14ac:dyDescent="0.25">
      <c r="A107" s="163"/>
      <c r="B107" s="58" t="s">
        <v>62</v>
      </c>
      <c r="C107" s="58" t="s">
        <v>63</v>
      </c>
      <c r="D107" s="58" t="s">
        <v>82</v>
      </c>
      <c r="E107" s="59" t="s">
        <v>64</v>
      </c>
      <c r="F107" s="58" t="s">
        <v>65</v>
      </c>
      <c r="G107" s="59" t="s">
        <v>83</v>
      </c>
      <c r="H107" s="61" t="s">
        <v>66</v>
      </c>
      <c r="I107" s="61" t="s">
        <v>67</v>
      </c>
    </row>
    <row r="108" spans="1:9" x14ac:dyDescent="0.25">
      <c r="A108" s="51">
        <v>2005</v>
      </c>
      <c r="B108" s="67">
        <f>D38</f>
        <v>11432</v>
      </c>
      <c r="C108" s="62" t="s">
        <v>24</v>
      </c>
      <c r="D108" s="62">
        <v>120</v>
      </c>
      <c r="E108" s="62">
        <v>1</v>
      </c>
      <c r="F108" s="62">
        <f>1-$M$49</f>
        <v>0.28000000000000003</v>
      </c>
      <c r="G108" s="62">
        <v>1.61</v>
      </c>
      <c r="H108" s="63">
        <f>B108*D108*E108*F108*G108*10^-3</f>
        <v>618.42547200000013</v>
      </c>
      <c r="I108" s="66">
        <f>H108*21</f>
        <v>12986.934912000002</v>
      </c>
    </row>
    <row r="109" spans="1:9" x14ac:dyDescent="0.25">
      <c r="A109" s="51">
        <v>2006</v>
      </c>
      <c r="B109" s="68">
        <f>E38</f>
        <v>9345</v>
      </c>
      <c r="C109" s="62" t="s">
        <v>24</v>
      </c>
      <c r="D109" s="62">
        <v>120</v>
      </c>
      <c r="E109" s="62">
        <v>1</v>
      </c>
      <c r="F109" s="62">
        <f t="shared" ref="F109:F120" si="10">1-$M$49</f>
        <v>0.28000000000000003</v>
      </c>
      <c r="G109" s="62">
        <v>1.61</v>
      </c>
      <c r="H109" s="63">
        <f t="shared" ref="H109:H120" si="11">B109*D109*E109*F109*G109*10^-3</f>
        <v>505.52712000000014</v>
      </c>
      <c r="I109" s="66">
        <f t="shared" ref="I109:I120" si="12">H109*21</f>
        <v>10616.069520000003</v>
      </c>
    </row>
    <row r="110" spans="1:9" x14ac:dyDescent="0.25">
      <c r="A110" s="51">
        <v>2007</v>
      </c>
      <c r="B110" s="68">
        <f>F38</f>
        <v>5697</v>
      </c>
      <c r="C110" s="62" t="s">
        <v>24</v>
      </c>
      <c r="D110" s="62">
        <v>120</v>
      </c>
      <c r="E110" s="62">
        <v>1</v>
      </c>
      <c r="F110" s="62">
        <f t="shared" si="10"/>
        <v>0.28000000000000003</v>
      </c>
      <c r="G110" s="62">
        <v>1.61</v>
      </c>
      <c r="H110" s="63">
        <f t="shared" si="11"/>
        <v>308.184912</v>
      </c>
      <c r="I110" s="66">
        <f t="shared" si="12"/>
        <v>6471.8831520000003</v>
      </c>
    </row>
    <row r="111" spans="1:9" x14ac:dyDescent="0.25">
      <c r="A111" s="51">
        <v>2008</v>
      </c>
      <c r="B111" s="68">
        <f>G38</f>
        <v>2963</v>
      </c>
      <c r="C111" s="62" t="s">
        <v>24</v>
      </c>
      <c r="D111" s="62">
        <v>120</v>
      </c>
      <c r="E111" s="62">
        <v>1</v>
      </c>
      <c r="F111" s="62">
        <f t="shared" si="10"/>
        <v>0.28000000000000003</v>
      </c>
      <c r="G111" s="62">
        <v>1.61</v>
      </c>
      <c r="H111" s="63">
        <f t="shared" si="11"/>
        <v>160.28644800000001</v>
      </c>
      <c r="I111" s="66">
        <f t="shared" si="12"/>
        <v>3366.0154080000002</v>
      </c>
    </row>
    <row r="112" spans="1:9" x14ac:dyDescent="0.25">
      <c r="A112" s="51">
        <v>2009</v>
      </c>
      <c r="B112" s="68">
        <f>H38</f>
        <v>2520</v>
      </c>
      <c r="C112" s="62" t="s">
        <v>24</v>
      </c>
      <c r="D112" s="62">
        <v>120</v>
      </c>
      <c r="E112" s="62">
        <v>1</v>
      </c>
      <c r="F112" s="62">
        <f t="shared" si="10"/>
        <v>0.28000000000000003</v>
      </c>
      <c r="G112" s="62">
        <v>1.61</v>
      </c>
      <c r="H112" s="63">
        <f t="shared" si="11"/>
        <v>136.32192000000003</v>
      </c>
      <c r="I112" s="66">
        <f t="shared" si="12"/>
        <v>2862.7603200000008</v>
      </c>
    </row>
    <row r="113" spans="1:9" x14ac:dyDescent="0.25">
      <c r="A113" s="51">
        <v>2010</v>
      </c>
      <c r="B113" s="68">
        <f>I38</f>
        <v>1794</v>
      </c>
      <c r="C113" s="62" t="s">
        <v>24</v>
      </c>
      <c r="D113" s="62">
        <v>120</v>
      </c>
      <c r="E113" s="62">
        <v>1</v>
      </c>
      <c r="F113" s="62">
        <f t="shared" si="10"/>
        <v>0.28000000000000003</v>
      </c>
      <c r="G113" s="62">
        <v>1.61</v>
      </c>
      <c r="H113" s="63">
        <f t="shared" si="11"/>
        <v>97.048224000000019</v>
      </c>
      <c r="I113" s="66">
        <f t="shared" si="12"/>
        <v>2038.0127040000004</v>
      </c>
    </row>
    <row r="114" spans="1:9" x14ac:dyDescent="0.25">
      <c r="A114" s="51">
        <v>2011</v>
      </c>
      <c r="B114" s="68">
        <f>J38</f>
        <v>2232</v>
      </c>
      <c r="C114" s="62" t="s">
        <v>24</v>
      </c>
      <c r="D114" s="62">
        <v>120</v>
      </c>
      <c r="E114" s="62">
        <v>1</v>
      </c>
      <c r="F114" s="62">
        <f t="shared" si="10"/>
        <v>0.28000000000000003</v>
      </c>
      <c r="G114" s="62">
        <v>1.61</v>
      </c>
      <c r="H114" s="63">
        <f t="shared" si="11"/>
        <v>120.74227200000003</v>
      </c>
      <c r="I114" s="66">
        <f t="shared" si="12"/>
        <v>2535.5877120000005</v>
      </c>
    </row>
    <row r="115" spans="1:9" x14ac:dyDescent="0.25">
      <c r="A115" s="51">
        <v>2012</v>
      </c>
      <c r="B115" s="68">
        <f>K38</f>
        <v>1414</v>
      </c>
      <c r="C115" s="62" t="s">
        <v>24</v>
      </c>
      <c r="D115" s="62">
        <v>120</v>
      </c>
      <c r="E115" s="62">
        <v>1</v>
      </c>
      <c r="F115" s="62">
        <f t="shared" si="10"/>
        <v>0.28000000000000003</v>
      </c>
      <c r="G115" s="62">
        <v>1.61</v>
      </c>
      <c r="H115" s="63">
        <f t="shared" si="11"/>
        <v>76.491744000000011</v>
      </c>
      <c r="I115" s="66">
        <f t="shared" si="12"/>
        <v>1606.3266240000003</v>
      </c>
    </row>
    <row r="116" spans="1:9" x14ac:dyDescent="0.25">
      <c r="A116" s="51">
        <v>2013</v>
      </c>
      <c r="B116" s="68">
        <f>L38</f>
        <v>1117</v>
      </c>
      <c r="C116" s="62" t="s">
        <v>24</v>
      </c>
      <c r="D116" s="62">
        <v>120</v>
      </c>
      <c r="E116" s="62">
        <v>1</v>
      </c>
      <c r="F116" s="62">
        <f t="shared" si="10"/>
        <v>0.28000000000000003</v>
      </c>
      <c r="G116" s="62">
        <v>1.61</v>
      </c>
      <c r="H116" s="63">
        <f t="shared" si="11"/>
        <v>60.425232000000015</v>
      </c>
      <c r="I116" s="66">
        <f t="shared" si="12"/>
        <v>1268.9298720000004</v>
      </c>
    </row>
    <row r="117" spans="1:9" x14ac:dyDescent="0.25">
      <c r="A117" s="51">
        <v>2014</v>
      </c>
      <c r="B117" s="68">
        <f>M38</f>
        <v>285</v>
      </c>
      <c r="C117" s="62" t="s">
        <v>24</v>
      </c>
      <c r="D117" s="62">
        <v>120</v>
      </c>
      <c r="E117" s="62">
        <v>1</v>
      </c>
      <c r="F117" s="62">
        <f t="shared" si="10"/>
        <v>0.28000000000000003</v>
      </c>
      <c r="G117" s="62">
        <v>1.61</v>
      </c>
      <c r="H117" s="63">
        <f t="shared" si="11"/>
        <v>15.417360000000004</v>
      </c>
      <c r="I117" s="66">
        <f t="shared" si="12"/>
        <v>323.76456000000007</v>
      </c>
    </row>
    <row r="118" spans="1:9" x14ac:dyDescent="0.25">
      <c r="A118" s="51">
        <v>2015</v>
      </c>
      <c r="B118" s="68">
        <f>N38</f>
        <v>782</v>
      </c>
      <c r="C118" s="62" t="s">
        <v>24</v>
      </c>
      <c r="D118" s="62">
        <v>120</v>
      </c>
      <c r="E118" s="62">
        <v>1</v>
      </c>
      <c r="F118" s="62">
        <f t="shared" si="10"/>
        <v>0.28000000000000003</v>
      </c>
      <c r="G118" s="62">
        <v>1.61</v>
      </c>
      <c r="H118" s="63">
        <f t="shared" si="11"/>
        <v>42.303072</v>
      </c>
      <c r="I118" s="66">
        <f t="shared" si="12"/>
        <v>888.36451199999999</v>
      </c>
    </row>
    <row r="119" spans="1:9" x14ac:dyDescent="0.25">
      <c r="A119" s="51">
        <v>2016</v>
      </c>
      <c r="B119" s="68">
        <f>O38</f>
        <v>420</v>
      </c>
      <c r="C119" s="62" t="s">
        <v>24</v>
      </c>
      <c r="D119" s="62">
        <v>120</v>
      </c>
      <c r="E119" s="62">
        <v>1</v>
      </c>
      <c r="F119" s="62">
        <f t="shared" si="10"/>
        <v>0.28000000000000003</v>
      </c>
      <c r="G119" s="62">
        <v>1.61</v>
      </c>
      <c r="H119" s="63">
        <f t="shared" si="11"/>
        <v>22.720320000000005</v>
      </c>
      <c r="I119" s="66">
        <f t="shared" si="12"/>
        <v>477.12672000000009</v>
      </c>
    </row>
    <row r="120" spans="1:9" x14ac:dyDescent="0.25">
      <c r="A120" s="51">
        <v>2017</v>
      </c>
      <c r="B120" s="68">
        <f>P38</f>
        <v>444</v>
      </c>
      <c r="C120" s="62" t="s">
        <v>24</v>
      </c>
      <c r="D120" s="62">
        <v>120</v>
      </c>
      <c r="E120" s="62">
        <v>1</v>
      </c>
      <c r="F120" s="62">
        <f t="shared" si="10"/>
        <v>0.28000000000000003</v>
      </c>
      <c r="G120" s="62">
        <v>1.61</v>
      </c>
      <c r="H120" s="63">
        <f t="shared" si="11"/>
        <v>24.018624000000003</v>
      </c>
      <c r="I120" s="66">
        <f t="shared" si="12"/>
        <v>504.39110400000004</v>
      </c>
    </row>
    <row r="123" spans="1:9" ht="26.25" x14ac:dyDescent="0.25">
      <c r="A123" s="228" t="s">
        <v>111</v>
      </c>
      <c r="B123" s="229"/>
      <c r="C123" s="229"/>
      <c r="D123" s="229"/>
      <c r="E123" s="229"/>
      <c r="F123" s="230"/>
    </row>
    <row r="124" spans="1:9" x14ac:dyDescent="0.25">
      <c r="A124" s="163" t="s">
        <v>68</v>
      </c>
      <c r="B124" s="227" t="s">
        <v>113</v>
      </c>
      <c r="C124" s="227"/>
      <c r="D124" s="227"/>
      <c r="E124" s="227"/>
      <c r="F124" s="227"/>
    </row>
    <row r="125" spans="1:9" ht="30" x14ac:dyDescent="0.25">
      <c r="A125" s="163"/>
      <c r="B125" s="52" t="s">
        <v>17</v>
      </c>
      <c r="C125" s="52" t="s">
        <v>37</v>
      </c>
      <c r="D125" s="52" t="s">
        <v>20</v>
      </c>
      <c r="E125" s="52" t="s">
        <v>24</v>
      </c>
      <c r="F125" s="52" t="s">
        <v>112</v>
      </c>
    </row>
    <row r="126" spans="1:9" x14ac:dyDescent="0.25">
      <c r="A126" s="51">
        <v>2005</v>
      </c>
      <c r="B126" s="75">
        <f>I46</f>
        <v>1418452.8642375004</v>
      </c>
      <c r="C126" s="75">
        <f>I68</f>
        <v>90497.779932000005</v>
      </c>
      <c r="D126" s="75">
        <f>I88</f>
        <v>6347.2966830000005</v>
      </c>
      <c r="E126" s="75">
        <f>I108</f>
        <v>12986.934912000002</v>
      </c>
      <c r="F126" s="76">
        <f>SUM(B126:E126)</f>
        <v>1528284.8757645003</v>
      </c>
    </row>
    <row r="127" spans="1:9" x14ac:dyDescent="0.25">
      <c r="A127" s="51">
        <v>2006</v>
      </c>
      <c r="B127" s="75">
        <f t="shared" ref="B127:B138" si="13">I47</f>
        <v>1613042.5578750004</v>
      </c>
      <c r="C127" s="75">
        <f t="shared" ref="C127:C138" si="14">I69</f>
        <v>42634.964484000011</v>
      </c>
      <c r="D127" s="75">
        <f t="shared" ref="D127:D138" si="15">I89</f>
        <v>7149.043356000001</v>
      </c>
      <c r="E127" s="75">
        <f t="shared" ref="E127:E138" si="16">I109</f>
        <v>10616.069520000003</v>
      </c>
      <c r="F127" s="76">
        <f t="shared" ref="F127:F138" si="17">SUM(B127:E127)</f>
        <v>1673442.6352350004</v>
      </c>
    </row>
    <row r="128" spans="1:9" x14ac:dyDescent="0.25">
      <c r="A128" s="51">
        <v>2007</v>
      </c>
      <c r="B128" s="75">
        <f t="shared" si="13"/>
        <v>1992381.3333375007</v>
      </c>
      <c r="C128" s="75">
        <f t="shared" si="14"/>
        <v>25216.052484</v>
      </c>
      <c r="D128" s="75">
        <f t="shared" si="15"/>
        <v>11211.443334000001</v>
      </c>
      <c r="E128" s="75">
        <f t="shared" si="16"/>
        <v>6471.8831520000003</v>
      </c>
      <c r="F128" s="76">
        <f t="shared" si="17"/>
        <v>2035280.7123075007</v>
      </c>
    </row>
    <row r="129" spans="1:6" x14ac:dyDescent="0.25">
      <c r="A129" s="51">
        <v>2008</v>
      </c>
      <c r="B129" s="75">
        <f t="shared" si="13"/>
        <v>2137290.0213000001</v>
      </c>
      <c r="C129" s="75">
        <f t="shared" si="14"/>
        <v>12884.551470000006</v>
      </c>
      <c r="D129" s="75">
        <f t="shared" si="15"/>
        <v>17108.265720000003</v>
      </c>
      <c r="E129" s="75">
        <f t="shared" si="16"/>
        <v>3366.0154080000002</v>
      </c>
      <c r="F129" s="76">
        <f t="shared" si="17"/>
        <v>2170648.853898</v>
      </c>
    </row>
    <row r="130" spans="1:6" x14ac:dyDescent="0.25">
      <c r="A130" s="51">
        <v>2009</v>
      </c>
      <c r="B130" s="75">
        <f t="shared" si="13"/>
        <v>1827691.4709375002</v>
      </c>
      <c r="C130" s="75">
        <f t="shared" si="14"/>
        <v>10833.474582000003</v>
      </c>
      <c r="D130" s="75">
        <f t="shared" si="15"/>
        <v>20472.999728999999</v>
      </c>
      <c r="E130" s="75">
        <f t="shared" si="16"/>
        <v>2862.7603200000008</v>
      </c>
      <c r="F130" s="76">
        <f t="shared" si="17"/>
        <v>1861860.7055685001</v>
      </c>
    </row>
    <row r="131" spans="1:6" x14ac:dyDescent="0.25">
      <c r="A131" s="51">
        <v>2010</v>
      </c>
      <c r="B131" s="75">
        <f t="shared" si="13"/>
        <v>1867333.7804625004</v>
      </c>
      <c r="C131" s="75">
        <f t="shared" si="14"/>
        <v>9454.1144880000029</v>
      </c>
      <c r="D131" s="75">
        <f t="shared" si="15"/>
        <v>27264.265665000003</v>
      </c>
      <c r="E131" s="75">
        <f t="shared" si="16"/>
        <v>2038.0127040000004</v>
      </c>
      <c r="F131" s="76">
        <f t="shared" si="17"/>
        <v>1906090.1733195006</v>
      </c>
    </row>
    <row r="132" spans="1:6" x14ac:dyDescent="0.25">
      <c r="A132" s="51">
        <v>2011</v>
      </c>
      <c r="B132" s="75">
        <f t="shared" si="13"/>
        <v>2279111.1378000006</v>
      </c>
      <c r="C132" s="75">
        <f t="shared" si="14"/>
        <v>9544.4750940000013</v>
      </c>
      <c r="D132" s="75">
        <f t="shared" si="15"/>
        <v>27828.578232</v>
      </c>
      <c r="E132" s="75">
        <f t="shared" si="16"/>
        <v>2535.5877120000005</v>
      </c>
      <c r="F132" s="76">
        <f t="shared" si="17"/>
        <v>2319019.7788380007</v>
      </c>
    </row>
    <row r="133" spans="1:6" x14ac:dyDescent="0.25">
      <c r="A133" s="51">
        <v>2012</v>
      </c>
      <c r="B133" s="75">
        <f t="shared" si="13"/>
        <v>2294452.9384875121</v>
      </c>
      <c r="C133" s="75">
        <f t="shared" si="14"/>
        <v>17506.006560000002</v>
      </c>
      <c r="D133" s="75">
        <f t="shared" si="15"/>
        <v>33045.391197000223</v>
      </c>
      <c r="E133" s="75">
        <f t="shared" si="16"/>
        <v>1606.3266240000003</v>
      </c>
      <c r="F133" s="76">
        <f t="shared" si="17"/>
        <v>2346610.6628685123</v>
      </c>
    </row>
    <row r="134" spans="1:6" x14ac:dyDescent="0.25">
      <c r="A134" s="51">
        <v>2013</v>
      </c>
      <c r="B134" s="75">
        <f t="shared" si="13"/>
        <v>942107.20933350001</v>
      </c>
      <c r="C134" s="75">
        <f t="shared" si="14"/>
        <v>19577.768406000003</v>
      </c>
      <c r="D134" s="75">
        <f t="shared" si="15"/>
        <v>64790.238240000013</v>
      </c>
      <c r="E134" s="75">
        <f t="shared" si="16"/>
        <v>1268.9298720000004</v>
      </c>
      <c r="F134" s="76">
        <f t="shared" si="17"/>
        <v>1027744.1458515</v>
      </c>
    </row>
    <row r="135" spans="1:6" x14ac:dyDescent="0.25">
      <c r="A135" s="51">
        <v>2014</v>
      </c>
      <c r="B135" s="75">
        <f t="shared" si="13"/>
        <v>927946.90331621282</v>
      </c>
      <c r="C135" s="75">
        <f t="shared" si="14"/>
        <v>14843.090388000001</v>
      </c>
      <c r="D135" s="75">
        <f t="shared" si="15"/>
        <v>87832.730349000005</v>
      </c>
      <c r="E135" s="75">
        <f t="shared" si="16"/>
        <v>323.76456000000007</v>
      </c>
      <c r="F135" s="76">
        <f t="shared" si="17"/>
        <v>1030946.4886132128</v>
      </c>
    </row>
    <row r="136" spans="1:6" x14ac:dyDescent="0.25">
      <c r="A136" s="51">
        <v>2015</v>
      </c>
      <c r="B136" s="75">
        <f t="shared" si="13"/>
        <v>1331226.6988125003</v>
      </c>
      <c r="C136" s="75">
        <f t="shared" si="14"/>
        <v>8162.9376360000024</v>
      </c>
      <c r="D136" s="75">
        <f t="shared" si="15"/>
        <v>41303.776878000004</v>
      </c>
      <c r="E136" s="75">
        <f t="shared" si="16"/>
        <v>888.36451199999999</v>
      </c>
      <c r="F136" s="76">
        <f t="shared" si="17"/>
        <v>1381581.7778385004</v>
      </c>
    </row>
    <row r="137" spans="1:6" x14ac:dyDescent="0.25">
      <c r="A137" s="51">
        <v>2016</v>
      </c>
      <c r="B137" s="75">
        <f t="shared" si="13"/>
        <v>999377.28030000033</v>
      </c>
      <c r="C137" s="75">
        <f t="shared" si="14"/>
        <v>4203.4012020000009</v>
      </c>
      <c r="D137" s="75">
        <f t="shared" si="15"/>
        <v>57626.558534999996</v>
      </c>
      <c r="E137" s="75">
        <f t="shared" si="16"/>
        <v>477.12672000000009</v>
      </c>
      <c r="F137" s="76">
        <f t="shared" si="17"/>
        <v>1061684.3667570003</v>
      </c>
    </row>
    <row r="138" spans="1:6" x14ac:dyDescent="0.25">
      <c r="A138" s="51">
        <v>2017</v>
      </c>
      <c r="B138" s="75">
        <f t="shared" si="13"/>
        <v>1173315.3187875005</v>
      </c>
      <c r="C138" s="75">
        <f t="shared" si="14"/>
        <v>2943.796128</v>
      </c>
      <c r="D138" s="75">
        <f t="shared" si="15"/>
        <v>105183.30895799999</v>
      </c>
      <c r="E138" s="75">
        <f t="shared" si="16"/>
        <v>504.39110400000004</v>
      </c>
      <c r="F138" s="76">
        <f t="shared" si="17"/>
        <v>1281946.8149775004</v>
      </c>
    </row>
  </sheetData>
  <mergeCells count="29">
    <mergeCell ref="A124:A125"/>
    <mergeCell ref="B124:F124"/>
    <mergeCell ref="A123:F123"/>
    <mergeCell ref="A103:I103"/>
    <mergeCell ref="A104:A107"/>
    <mergeCell ref="B104:D105"/>
    <mergeCell ref="E104:G105"/>
    <mergeCell ref="H104:I105"/>
    <mergeCell ref="A84:A87"/>
    <mergeCell ref="B84:D85"/>
    <mergeCell ref="E84:G85"/>
    <mergeCell ref="H84:I85"/>
    <mergeCell ref="A33:P33"/>
    <mergeCell ref="A39:C39"/>
    <mergeCell ref="A64:A67"/>
    <mergeCell ref="B64:D65"/>
    <mergeCell ref="E64:G65"/>
    <mergeCell ref="H64:I65"/>
    <mergeCell ref="A83:I83"/>
    <mergeCell ref="H42:I43"/>
    <mergeCell ref="E42:G43"/>
    <mergeCell ref="A42:A45"/>
    <mergeCell ref="A41:I41"/>
    <mergeCell ref="A63:I63"/>
    <mergeCell ref="B2:B28"/>
    <mergeCell ref="A2:A28"/>
    <mergeCell ref="A35:A38"/>
    <mergeCell ref="B35:B38"/>
    <mergeCell ref="B42:D43"/>
  </mergeCells>
  <pageMargins left="0.7" right="0.7" top="0.75" bottom="0.75" header="0.3" footer="0.3"/>
  <ignoredErrors>
    <ignoredError sqref="D39:P39" formulaRange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I31"/>
  <sheetViews>
    <sheetView topLeftCell="A7" zoomScale="85" zoomScaleNormal="85" workbookViewId="0">
      <selection activeCell="H16" sqref="H16"/>
    </sheetView>
  </sheetViews>
  <sheetFormatPr defaultRowHeight="15" x14ac:dyDescent="0.25"/>
  <cols>
    <col min="2" max="2" width="13.42578125" customWidth="1"/>
    <col min="3" max="3" width="12.28515625" customWidth="1"/>
    <col min="4" max="4" width="10.140625" bestFit="1" customWidth="1"/>
    <col min="5" max="6" width="14.85546875" customWidth="1"/>
    <col min="7" max="7" width="11.42578125" customWidth="1"/>
    <col min="8" max="8" width="16.7109375" customWidth="1"/>
  </cols>
  <sheetData>
    <row r="2" spans="1:8" ht="30" x14ac:dyDescent="0.25">
      <c r="A2" s="47" t="s">
        <v>68</v>
      </c>
      <c r="B2" s="97" t="s">
        <v>178</v>
      </c>
      <c r="C2" s="47" t="s">
        <v>110</v>
      </c>
      <c r="D2" s="47" t="s">
        <v>179</v>
      </c>
    </row>
    <row r="3" spans="1:8" x14ac:dyDescent="0.25">
      <c r="A3" s="31">
        <v>2017</v>
      </c>
      <c r="B3" s="31" t="s">
        <v>180</v>
      </c>
      <c r="C3" s="32">
        <f>'DATA UPPO'!C37</f>
        <v>196</v>
      </c>
      <c r="D3" s="32">
        <f>'DATA UPPO'!D37</f>
        <v>34300000</v>
      </c>
    </row>
    <row r="4" spans="1:8" x14ac:dyDescent="0.25">
      <c r="A4" s="31">
        <v>2018</v>
      </c>
      <c r="B4" s="31" t="s">
        <v>180</v>
      </c>
      <c r="C4" s="32">
        <f>'DATA UPPO'!C38</f>
        <v>85</v>
      </c>
      <c r="D4" s="32">
        <f>'DATA UPPO'!D38</f>
        <v>17000000</v>
      </c>
    </row>
    <row r="6" spans="1:8" x14ac:dyDescent="0.25">
      <c r="A6" s="165" t="s">
        <v>68</v>
      </c>
      <c r="B6" s="232" t="s">
        <v>183</v>
      </c>
      <c r="C6" s="232"/>
      <c r="D6" s="232"/>
      <c r="E6" s="232"/>
      <c r="F6" s="232"/>
      <c r="G6" s="233" t="s">
        <v>184</v>
      </c>
      <c r="H6" s="231" t="s">
        <v>185</v>
      </c>
    </row>
    <row r="7" spans="1:8" x14ac:dyDescent="0.25">
      <c r="A7" s="165"/>
      <c r="B7" s="232"/>
      <c r="C7" s="232"/>
      <c r="D7" s="232"/>
      <c r="E7" s="232"/>
      <c r="F7" s="232"/>
      <c r="G7" s="233"/>
      <c r="H7" s="231"/>
    </row>
    <row r="8" spans="1:8" ht="75" x14ac:dyDescent="0.25">
      <c r="A8" s="165"/>
      <c r="B8" s="102" t="s">
        <v>186</v>
      </c>
      <c r="C8" s="102" t="s">
        <v>187</v>
      </c>
      <c r="D8" s="103" t="s">
        <v>188</v>
      </c>
      <c r="E8" s="150" t="s">
        <v>189</v>
      </c>
      <c r="F8" s="104" t="s">
        <v>190</v>
      </c>
      <c r="G8" s="150" t="s">
        <v>191</v>
      </c>
      <c r="H8" s="231"/>
    </row>
    <row r="9" spans="1:8" x14ac:dyDescent="0.25">
      <c r="A9" s="165"/>
      <c r="B9" s="102" t="s">
        <v>192</v>
      </c>
      <c r="C9" s="102" t="s">
        <v>193</v>
      </c>
      <c r="D9" s="102" t="s">
        <v>194</v>
      </c>
      <c r="E9" s="150" t="s">
        <v>195</v>
      </c>
      <c r="F9" s="104" t="s">
        <v>196</v>
      </c>
      <c r="G9" s="150">
        <v>9</v>
      </c>
      <c r="H9" s="149" t="s">
        <v>197</v>
      </c>
    </row>
    <row r="10" spans="1:8" s="48" customFormat="1" x14ac:dyDescent="0.25">
      <c r="A10" s="156">
        <v>2010</v>
      </c>
      <c r="B10" s="151">
        <v>0</v>
      </c>
      <c r="C10" s="151">
        <f t="shared" ref="C10:C12" si="0">B10</f>
        <v>0</v>
      </c>
      <c r="D10" s="151">
        <f t="shared" ref="D10:D12" si="1">C10*10</f>
        <v>0</v>
      </c>
      <c r="E10" s="101">
        <v>14.9</v>
      </c>
      <c r="F10" s="105">
        <f t="shared" ref="F10:F14" si="2">E10*D10*365</f>
        <v>0</v>
      </c>
      <c r="G10" s="106">
        <v>0.16000000000000003</v>
      </c>
      <c r="H10" s="99">
        <f t="shared" ref="H10:H13" si="3">G10*F10*44/12/1000</f>
        <v>0</v>
      </c>
    </row>
    <row r="11" spans="1:8" s="48" customFormat="1" x14ac:dyDescent="0.25">
      <c r="A11" s="156">
        <v>2011</v>
      </c>
      <c r="B11" s="151">
        <v>0</v>
      </c>
      <c r="C11" s="151">
        <f t="shared" si="0"/>
        <v>0</v>
      </c>
      <c r="D11" s="151">
        <f t="shared" si="1"/>
        <v>0</v>
      </c>
      <c r="E11" s="101">
        <v>14.9</v>
      </c>
      <c r="F11" s="105">
        <f t="shared" si="2"/>
        <v>0</v>
      </c>
      <c r="G11" s="106">
        <v>0.16000000000000003</v>
      </c>
      <c r="H11" s="99">
        <f t="shared" si="3"/>
        <v>0</v>
      </c>
    </row>
    <row r="12" spans="1:8" s="48" customFormat="1" x14ac:dyDescent="0.25">
      <c r="A12" s="156">
        <v>2012</v>
      </c>
      <c r="B12" s="151">
        <v>0</v>
      </c>
      <c r="C12" s="151">
        <f t="shared" si="0"/>
        <v>0</v>
      </c>
      <c r="D12" s="151">
        <f t="shared" si="1"/>
        <v>0</v>
      </c>
      <c r="E12" s="101">
        <v>14.9</v>
      </c>
      <c r="F12" s="105">
        <f t="shared" si="2"/>
        <v>0</v>
      </c>
      <c r="G12" s="106">
        <v>0.16000000000000003</v>
      </c>
      <c r="H12" s="99">
        <f t="shared" si="3"/>
        <v>0</v>
      </c>
    </row>
    <row r="13" spans="1:8" s="48" customFormat="1" x14ac:dyDescent="0.25">
      <c r="A13" s="156">
        <v>2013</v>
      </c>
      <c r="B13" s="151">
        <v>0</v>
      </c>
      <c r="C13" s="151">
        <f>B13</f>
        <v>0</v>
      </c>
      <c r="D13" s="151">
        <f>C13*10</f>
        <v>0</v>
      </c>
      <c r="E13" s="101">
        <v>14.9</v>
      </c>
      <c r="F13" s="105">
        <f t="shared" si="2"/>
        <v>0</v>
      </c>
      <c r="G13" s="106">
        <v>0.16000000000000003</v>
      </c>
      <c r="H13" s="99">
        <f t="shared" si="3"/>
        <v>0</v>
      </c>
    </row>
    <row r="14" spans="1:8" s="108" customFormat="1" x14ac:dyDescent="0.25">
      <c r="A14" s="153">
        <v>2014</v>
      </c>
      <c r="B14" s="152">
        <v>51</v>
      </c>
      <c r="C14" s="151">
        <f>B14</f>
        <v>51</v>
      </c>
      <c r="D14" s="151">
        <f>C14*10</f>
        <v>510</v>
      </c>
      <c r="E14" s="101">
        <v>14.9</v>
      </c>
      <c r="F14" s="105">
        <f t="shared" si="2"/>
        <v>2773635</v>
      </c>
      <c r="G14" s="106">
        <v>0.16000000000000003</v>
      </c>
      <c r="H14" s="99">
        <f t="shared" ref="H14:H16" si="4">G14*F14*44/12/1000</f>
        <v>1627.1992000000005</v>
      </c>
    </row>
    <row r="15" spans="1:8" s="108" customFormat="1" x14ac:dyDescent="0.25">
      <c r="A15" s="153">
        <v>2015</v>
      </c>
      <c r="B15" s="152">
        <v>48</v>
      </c>
      <c r="C15" s="151">
        <f t="shared" ref="C15:C16" si="5">B15</f>
        <v>48</v>
      </c>
      <c r="D15" s="151">
        <f t="shared" ref="D15:D16" si="6">C15*10</f>
        <v>480</v>
      </c>
      <c r="E15" s="101">
        <v>14.9</v>
      </c>
      <c r="F15" s="105">
        <f t="shared" ref="F15:F16" si="7">E15*D15*365</f>
        <v>2610480</v>
      </c>
      <c r="G15" s="106">
        <v>0.16000000000000003</v>
      </c>
      <c r="H15" s="99">
        <f t="shared" si="4"/>
        <v>1531.4816000000003</v>
      </c>
    </row>
    <row r="16" spans="1:8" s="108" customFormat="1" x14ac:dyDescent="0.25">
      <c r="A16" s="153">
        <v>2016</v>
      </c>
      <c r="B16" s="152">
        <v>50</v>
      </c>
      <c r="C16" s="151">
        <f t="shared" si="5"/>
        <v>50</v>
      </c>
      <c r="D16" s="151">
        <f t="shared" si="6"/>
        <v>500</v>
      </c>
      <c r="E16" s="101">
        <v>14.9</v>
      </c>
      <c r="F16" s="105">
        <f t="shared" si="7"/>
        <v>2719250</v>
      </c>
      <c r="G16" s="106">
        <v>0.16000000000000003</v>
      </c>
      <c r="H16" s="99">
        <f t="shared" si="4"/>
        <v>1595.2933333333337</v>
      </c>
    </row>
    <row r="17" spans="1:9" x14ac:dyDescent="0.25">
      <c r="A17" s="31">
        <v>2017</v>
      </c>
      <c r="B17" s="98">
        <v>86</v>
      </c>
      <c r="C17" s="98">
        <f>B17</f>
        <v>86</v>
      </c>
      <c r="D17" s="101">
        <f>C17*10</f>
        <v>860</v>
      </c>
      <c r="E17" s="101">
        <v>14.9</v>
      </c>
      <c r="F17" s="105">
        <f>E17*D17*365</f>
        <v>4677110</v>
      </c>
      <c r="G17" s="106">
        <v>0.16000000000000003</v>
      </c>
      <c r="H17" s="99">
        <f>G17*F17*44/12/1000</f>
        <v>2743.9045333333338</v>
      </c>
    </row>
    <row r="18" spans="1:9" x14ac:dyDescent="0.25">
      <c r="A18" s="31">
        <v>2018</v>
      </c>
      <c r="B18" s="32">
        <v>86</v>
      </c>
      <c r="C18" s="98">
        <f t="shared" ref="C18:C30" si="8">B18</f>
        <v>86</v>
      </c>
      <c r="D18" s="101">
        <f>C18*10</f>
        <v>860</v>
      </c>
      <c r="E18" s="101">
        <v>14.9</v>
      </c>
      <c r="F18" s="105">
        <f>E18*D18*365</f>
        <v>4677110</v>
      </c>
      <c r="G18" s="106">
        <v>0.16000000000000003</v>
      </c>
      <c r="H18" s="99">
        <f>G18*F18*44/12/1000</f>
        <v>2743.9045333333338</v>
      </c>
      <c r="I18" s="123"/>
    </row>
    <row r="19" spans="1:9" x14ac:dyDescent="0.25">
      <c r="A19" s="31">
        <v>2019</v>
      </c>
      <c r="B19" s="32">
        <v>86</v>
      </c>
      <c r="C19" s="98">
        <f t="shared" si="8"/>
        <v>86</v>
      </c>
      <c r="D19" s="101">
        <f t="shared" ref="D19:D30" si="9">C19*10</f>
        <v>860</v>
      </c>
      <c r="E19" s="101">
        <v>14.9</v>
      </c>
      <c r="F19" s="105">
        <f t="shared" ref="F19:F30" si="10">E19*D19*365</f>
        <v>4677110</v>
      </c>
      <c r="G19" s="106">
        <v>0.16000000000000003</v>
      </c>
      <c r="H19" s="99">
        <f t="shared" ref="H19:H30" si="11">G19*F19*44/12/1000</f>
        <v>2743.9045333333338</v>
      </c>
    </row>
    <row r="20" spans="1:9" x14ac:dyDescent="0.25">
      <c r="A20" s="31">
        <v>2020</v>
      </c>
      <c r="B20" s="32">
        <f>B19</f>
        <v>86</v>
      </c>
      <c r="C20" s="98">
        <f t="shared" si="8"/>
        <v>86</v>
      </c>
      <c r="D20" s="101">
        <f t="shared" si="9"/>
        <v>860</v>
      </c>
      <c r="E20" s="101">
        <v>14.9</v>
      </c>
      <c r="F20" s="105">
        <f t="shared" si="10"/>
        <v>4677110</v>
      </c>
      <c r="G20" s="106">
        <v>0.16000000000000003</v>
      </c>
      <c r="H20" s="99">
        <f t="shared" si="11"/>
        <v>2743.9045333333338</v>
      </c>
    </row>
    <row r="21" spans="1:9" x14ac:dyDescent="0.25">
      <c r="A21" s="31">
        <v>2021</v>
      </c>
      <c r="B21" s="32">
        <f t="shared" ref="B21:B30" si="12">B20</f>
        <v>86</v>
      </c>
      <c r="C21" s="98">
        <f t="shared" si="8"/>
        <v>86</v>
      </c>
      <c r="D21" s="101">
        <f t="shared" si="9"/>
        <v>860</v>
      </c>
      <c r="E21" s="101">
        <v>14.9</v>
      </c>
      <c r="F21" s="105">
        <f t="shared" si="10"/>
        <v>4677110</v>
      </c>
      <c r="G21" s="106">
        <v>0.16000000000000003</v>
      </c>
      <c r="H21" s="99">
        <f t="shared" si="11"/>
        <v>2743.9045333333338</v>
      </c>
    </row>
    <row r="22" spans="1:9" x14ac:dyDescent="0.25">
      <c r="A22" s="31">
        <v>2022</v>
      </c>
      <c r="B22" s="32">
        <f t="shared" si="12"/>
        <v>86</v>
      </c>
      <c r="C22" s="98">
        <f t="shared" si="8"/>
        <v>86</v>
      </c>
      <c r="D22" s="101">
        <f t="shared" si="9"/>
        <v>860</v>
      </c>
      <c r="E22" s="101">
        <v>14.9</v>
      </c>
      <c r="F22" s="105">
        <f t="shared" si="10"/>
        <v>4677110</v>
      </c>
      <c r="G22" s="106">
        <v>0.16000000000000003</v>
      </c>
      <c r="H22" s="99">
        <f t="shared" si="11"/>
        <v>2743.9045333333338</v>
      </c>
    </row>
    <row r="23" spans="1:9" x14ac:dyDescent="0.25">
      <c r="A23" s="31">
        <v>2023</v>
      </c>
      <c r="B23" s="32">
        <f t="shared" si="12"/>
        <v>86</v>
      </c>
      <c r="C23" s="98">
        <f t="shared" si="8"/>
        <v>86</v>
      </c>
      <c r="D23" s="101">
        <f t="shared" si="9"/>
        <v>860</v>
      </c>
      <c r="E23" s="101">
        <v>14.9</v>
      </c>
      <c r="F23" s="105">
        <f t="shared" si="10"/>
        <v>4677110</v>
      </c>
      <c r="G23" s="106">
        <v>0.16000000000000003</v>
      </c>
      <c r="H23" s="99">
        <f t="shared" si="11"/>
        <v>2743.9045333333338</v>
      </c>
    </row>
    <row r="24" spans="1:9" x14ac:dyDescent="0.25">
      <c r="A24" s="31">
        <v>2024</v>
      </c>
      <c r="B24" s="32">
        <f t="shared" si="12"/>
        <v>86</v>
      </c>
      <c r="C24" s="98">
        <f t="shared" si="8"/>
        <v>86</v>
      </c>
      <c r="D24" s="101">
        <f t="shared" si="9"/>
        <v>860</v>
      </c>
      <c r="E24" s="101">
        <v>14.9</v>
      </c>
      <c r="F24" s="105">
        <f t="shared" si="10"/>
        <v>4677110</v>
      </c>
      <c r="G24" s="106">
        <v>0.16000000000000003</v>
      </c>
      <c r="H24" s="99">
        <f t="shared" si="11"/>
        <v>2743.9045333333338</v>
      </c>
    </row>
    <row r="25" spans="1:9" x14ac:dyDescent="0.25">
      <c r="A25" s="31">
        <v>2025</v>
      </c>
      <c r="B25" s="32">
        <f t="shared" si="12"/>
        <v>86</v>
      </c>
      <c r="C25" s="98">
        <f t="shared" si="8"/>
        <v>86</v>
      </c>
      <c r="D25" s="101">
        <f t="shared" si="9"/>
        <v>860</v>
      </c>
      <c r="E25" s="101">
        <v>14.9</v>
      </c>
      <c r="F25" s="105">
        <f t="shared" si="10"/>
        <v>4677110</v>
      </c>
      <c r="G25" s="106">
        <v>0.16000000000000003</v>
      </c>
      <c r="H25" s="99">
        <f t="shared" si="11"/>
        <v>2743.9045333333338</v>
      </c>
    </row>
    <row r="26" spans="1:9" x14ac:dyDescent="0.25">
      <c r="A26" s="31">
        <v>2026</v>
      </c>
      <c r="B26" s="32">
        <f t="shared" si="12"/>
        <v>86</v>
      </c>
      <c r="C26" s="98">
        <f t="shared" si="8"/>
        <v>86</v>
      </c>
      <c r="D26" s="101">
        <f t="shared" si="9"/>
        <v>860</v>
      </c>
      <c r="E26" s="101">
        <v>14.9</v>
      </c>
      <c r="F26" s="105">
        <f t="shared" si="10"/>
        <v>4677110</v>
      </c>
      <c r="G26" s="106">
        <v>0.16000000000000003</v>
      </c>
      <c r="H26" s="99">
        <f t="shared" si="11"/>
        <v>2743.9045333333338</v>
      </c>
    </row>
    <row r="27" spans="1:9" x14ac:dyDescent="0.25">
      <c r="A27" s="31">
        <v>2027</v>
      </c>
      <c r="B27" s="32">
        <f t="shared" si="12"/>
        <v>86</v>
      </c>
      <c r="C27" s="98">
        <f t="shared" si="8"/>
        <v>86</v>
      </c>
      <c r="D27" s="101">
        <f t="shared" si="9"/>
        <v>860</v>
      </c>
      <c r="E27" s="101">
        <v>14.9</v>
      </c>
      <c r="F27" s="105">
        <f t="shared" si="10"/>
        <v>4677110</v>
      </c>
      <c r="G27" s="106">
        <v>0.16000000000000003</v>
      </c>
      <c r="H27" s="99">
        <f t="shared" si="11"/>
        <v>2743.9045333333338</v>
      </c>
    </row>
    <row r="28" spans="1:9" x14ac:dyDescent="0.25">
      <c r="A28" s="31">
        <v>2028</v>
      </c>
      <c r="B28" s="32">
        <f t="shared" si="12"/>
        <v>86</v>
      </c>
      <c r="C28" s="98">
        <f t="shared" si="8"/>
        <v>86</v>
      </c>
      <c r="D28" s="101">
        <f t="shared" si="9"/>
        <v>860</v>
      </c>
      <c r="E28" s="101">
        <v>14.9</v>
      </c>
      <c r="F28" s="105">
        <f t="shared" si="10"/>
        <v>4677110</v>
      </c>
      <c r="G28" s="106">
        <v>0.16000000000000003</v>
      </c>
      <c r="H28" s="99">
        <f t="shared" si="11"/>
        <v>2743.9045333333338</v>
      </c>
    </row>
    <row r="29" spans="1:9" x14ac:dyDescent="0.25">
      <c r="A29" s="31">
        <v>2029</v>
      </c>
      <c r="B29" s="32">
        <f t="shared" si="12"/>
        <v>86</v>
      </c>
      <c r="C29" s="98">
        <f t="shared" si="8"/>
        <v>86</v>
      </c>
      <c r="D29" s="101">
        <f t="shared" si="9"/>
        <v>860</v>
      </c>
      <c r="E29" s="101">
        <v>14.9</v>
      </c>
      <c r="F29" s="105">
        <f t="shared" si="10"/>
        <v>4677110</v>
      </c>
      <c r="G29" s="106">
        <v>0.16000000000000003</v>
      </c>
      <c r="H29" s="99">
        <f t="shared" si="11"/>
        <v>2743.9045333333338</v>
      </c>
    </row>
    <row r="30" spans="1:9" x14ac:dyDescent="0.25">
      <c r="A30" s="31">
        <v>2030</v>
      </c>
      <c r="B30" s="32">
        <f t="shared" si="12"/>
        <v>86</v>
      </c>
      <c r="C30" s="98">
        <f t="shared" si="8"/>
        <v>86</v>
      </c>
      <c r="D30" s="101">
        <f t="shared" si="9"/>
        <v>860</v>
      </c>
      <c r="E30" s="101">
        <v>14.9</v>
      </c>
      <c r="F30" s="105">
        <f t="shared" si="10"/>
        <v>4677110</v>
      </c>
      <c r="G30" s="106">
        <v>0.16000000000000003</v>
      </c>
      <c r="H30" s="99">
        <f t="shared" si="11"/>
        <v>2743.9045333333338</v>
      </c>
    </row>
    <row r="31" spans="1:9" x14ac:dyDescent="0.25">
      <c r="B31" s="123"/>
    </row>
  </sheetData>
  <mergeCells count="4">
    <mergeCell ref="H6:H8"/>
    <mergeCell ref="B6:F7"/>
    <mergeCell ref="G6:G7"/>
    <mergeCell ref="A6:A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REKAP PENURUNAN EMISI</vt:lpstr>
      <vt:lpstr>DATA 2005-2017</vt:lpstr>
      <vt:lpstr>DATA UPPO</vt:lpstr>
      <vt:lpstr>PTT DAN SRI</vt:lpstr>
      <vt:lpstr>VARIETAS</vt:lpstr>
      <vt:lpstr>UPPO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Yayat</dc:creator>
  <cp:lastModifiedBy>Cici</cp:lastModifiedBy>
  <cp:lastPrinted>2018-10-15T08:10:30Z</cp:lastPrinted>
  <dcterms:created xsi:type="dcterms:W3CDTF">2013-06-26T16:27:13Z</dcterms:created>
  <dcterms:modified xsi:type="dcterms:W3CDTF">2018-10-29T11:00:29Z</dcterms:modified>
</cp:coreProperties>
</file>