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emf" ContentType="image/x-emf"/>
  <Override PartName="/xl/charts/chart3.xml" ContentType="application/vnd.openxmlformats-officedocument.drawingml.chart+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015" yWindow="90" windowWidth="12270" windowHeight="9510" tabRatio="906" firstSheet="6" activeTab="13"/>
  </bookViews>
  <sheets>
    <sheet name="Horti dominan sayur buah" sheetId="16" r:id="rId1"/>
    <sheet name="data" sheetId="14" r:id="rId2"/>
    <sheet name="EF peternakan" sheetId="6" r:id="rId3"/>
    <sheet name="Peternakan-CH4" sheetId="1" r:id="rId4"/>
    <sheet name="Peternakan-N2O" sheetId="7" r:id="rId5"/>
    <sheet name="REKAP PETERNAKAN" sheetId="18" r:id="rId6"/>
    <sheet name="EF&amp;SF lahan sawah" sheetId="8" r:id="rId7"/>
    <sheet name="proses bau baseline pertanian" sheetId="15" r:id="rId8"/>
    <sheet name="Lahan sawah" sheetId="2" r:id="rId9"/>
    <sheet name="EF pupuk-kapur" sheetId="10" r:id="rId10"/>
    <sheet name="Kapur pertanian-CO2" sheetId="9" r:id="rId11"/>
    <sheet name="Pupuk Urea-CO2" sheetId="5" r:id="rId12"/>
    <sheet name="Direct N2O" sheetId="13" r:id="rId13"/>
    <sheet name="Perhitungan ke CO2-eq" sheetId="12" r:id="rId14"/>
    <sheet name="Sheet2" sheetId="17" r:id="rId15"/>
  </sheets>
  <calcPr calcId="124519"/>
</workbook>
</file>

<file path=xl/calcChain.xml><?xml version="1.0" encoding="utf-8"?>
<calcChain xmlns="http://schemas.openxmlformats.org/spreadsheetml/2006/main">
  <c r="D28" i="12"/>
  <c r="E28"/>
  <c r="F28"/>
  <c r="G28"/>
  <c r="H28"/>
  <c r="I28"/>
  <c r="J28"/>
  <c r="K28"/>
  <c r="L28"/>
  <c r="M28"/>
  <c r="N28"/>
  <c r="O28"/>
  <c r="P28"/>
  <c r="Q28"/>
  <c r="R28"/>
  <c r="S28"/>
  <c r="T28"/>
  <c r="U28"/>
  <c r="V28"/>
  <c r="W28"/>
  <c r="X28"/>
  <c r="Y28"/>
  <c r="Z28"/>
  <c r="AA28"/>
  <c r="C28"/>
  <c r="G28" i="18"/>
  <c r="G27"/>
  <c r="G26"/>
  <c r="G25"/>
  <c r="G24"/>
  <c r="G23"/>
  <c r="G22"/>
  <c r="G21"/>
  <c r="G20"/>
  <c r="G19"/>
  <c r="G18"/>
  <c r="G17"/>
  <c r="G16"/>
  <c r="G15"/>
  <c r="G14"/>
  <c r="G13"/>
  <c r="G12"/>
  <c r="G11"/>
  <c r="G10"/>
  <c r="G9"/>
  <c r="G8"/>
  <c r="G7"/>
  <c r="G6"/>
  <c r="G5"/>
  <c r="G4"/>
  <c r="N65" i="13"/>
  <c r="O65"/>
  <c r="N66"/>
  <c r="O66"/>
  <c r="N67"/>
  <c r="O67"/>
  <c r="N68"/>
  <c r="O68"/>
  <c r="N69"/>
  <c r="O69"/>
  <c r="N70"/>
  <c r="O70"/>
  <c r="N71"/>
  <c r="O71"/>
  <c r="N72"/>
  <c r="O72"/>
  <c r="N73"/>
  <c r="O73"/>
  <c r="N74"/>
  <c r="O74"/>
  <c r="N75"/>
  <c r="O75"/>
  <c r="N76"/>
  <c r="O76"/>
  <c r="N77"/>
  <c r="O77"/>
  <c r="N78"/>
  <c r="O78"/>
  <c r="N79"/>
  <c r="O79"/>
  <c r="N80"/>
  <c r="O80"/>
  <c r="N81"/>
  <c r="O81"/>
  <c r="N82"/>
  <c r="O82"/>
  <c r="N83"/>
  <c r="O83"/>
  <c r="N84"/>
  <c r="O84"/>
  <c r="N85"/>
  <c r="O85"/>
  <c r="N86"/>
  <c r="O86"/>
  <c r="N87"/>
  <c r="O87"/>
  <c r="N88"/>
  <c r="O88"/>
  <c r="N89"/>
  <c r="O89"/>
  <c r="L66"/>
  <c r="M66"/>
  <c r="L67"/>
  <c r="M67"/>
  <c r="L68"/>
  <c r="M68"/>
  <c r="L69"/>
  <c r="M69"/>
  <c r="L70"/>
  <c r="M70"/>
  <c r="L71"/>
  <c r="M71"/>
  <c r="L72"/>
  <c r="M72"/>
  <c r="L73"/>
  <c r="M73"/>
  <c r="L74"/>
  <c r="M74"/>
  <c r="L75"/>
  <c r="M75"/>
  <c r="L76"/>
  <c r="M76"/>
  <c r="L77"/>
  <c r="M77"/>
  <c r="L78"/>
  <c r="M78"/>
  <c r="L79"/>
  <c r="M79"/>
  <c r="L80"/>
  <c r="M80"/>
  <c r="L81"/>
  <c r="M81"/>
  <c r="L82"/>
  <c r="M82"/>
  <c r="L83"/>
  <c r="M83"/>
  <c r="L84"/>
  <c r="M84"/>
  <c r="L85"/>
  <c r="M85"/>
  <c r="L86"/>
  <c r="M86"/>
  <c r="L87"/>
  <c r="M87"/>
  <c r="L88"/>
  <c r="M88"/>
  <c r="L89"/>
  <c r="M89"/>
  <c r="M65"/>
  <c r="L65"/>
  <c r="K66"/>
  <c r="K67"/>
  <c r="K68"/>
  <c r="K69"/>
  <c r="K70"/>
  <c r="K71"/>
  <c r="K72"/>
  <c r="K73"/>
  <c r="K74"/>
  <c r="K75"/>
  <c r="K76"/>
  <c r="K77"/>
  <c r="K78"/>
  <c r="K79"/>
  <c r="K80"/>
  <c r="K81"/>
  <c r="K82"/>
  <c r="K83"/>
  <c r="K84"/>
  <c r="K85"/>
  <c r="K86"/>
  <c r="K87"/>
  <c r="K88"/>
  <c r="K89"/>
  <c r="K65"/>
  <c r="M64"/>
  <c r="L64"/>
  <c r="G42" i="5"/>
  <c r="G47"/>
  <c r="G46"/>
  <c r="G45"/>
  <c r="G44"/>
  <c r="I89" i="13"/>
  <c r="I88"/>
  <c r="I87"/>
  <c r="I86"/>
  <c r="I85"/>
  <c r="I84"/>
  <c r="I83"/>
  <c r="I82"/>
  <c r="I81"/>
  <c r="I80"/>
  <c r="I79"/>
  <c r="I78"/>
  <c r="I77"/>
  <c r="I76"/>
  <c r="I75"/>
  <c r="I74"/>
  <c r="I73"/>
  <c r="I72"/>
  <c r="I71"/>
  <c r="I70"/>
  <c r="I69"/>
  <c r="I68"/>
  <c r="I67"/>
  <c r="I66"/>
  <c r="I65"/>
  <c r="I63"/>
  <c r="I62"/>
  <c r="I61"/>
  <c r="I60"/>
  <c r="I59"/>
  <c r="I58"/>
  <c r="I57"/>
  <c r="I56"/>
  <c r="I55"/>
  <c r="I54"/>
  <c r="I53"/>
  <c r="I52"/>
  <c r="I51"/>
  <c r="I50"/>
  <c r="I49"/>
  <c r="I48"/>
  <c r="I47"/>
  <c r="I46"/>
  <c r="I45"/>
  <c r="I44"/>
  <c r="I43"/>
  <c r="I42"/>
  <c r="I41"/>
  <c r="I16"/>
  <c r="I17"/>
  <c r="I18"/>
  <c r="I19"/>
  <c r="I20"/>
  <c r="I21"/>
  <c r="I22"/>
  <c r="I23"/>
  <c r="I24"/>
  <c r="I25"/>
  <c r="I26"/>
  <c r="I27"/>
  <c r="I28"/>
  <c r="I29"/>
  <c r="I30"/>
  <c r="I31"/>
  <c r="I32"/>
  <c r="I33"/>
  <c r="I34"/>
  <c r="I35"/>
  <c r="I36"/>
  <c r="I37"/>
  <c r="I38"/>
  <c r="I39"/>
  <c r="I15"/>
  <c r="L19"/>
  <c r="L15"/>
  <c r="D27" i="12" l="1"/>
  <c r="H27"/>
  <c r="L27"/>
  <c r="D26"/>
  <c r="E26"/>
  <c r="F26"/>
  <c r="G26"/>
  <c r="H26"/>
  <c r="I26"/>
  <c r="J26"/>
  <c r="K26"/>
  <c r="L26"/>
  <c r="M26"/>
  <c r="N26"/>
  <c r="O26"/>
  <c r="P26"/>
  <c r="Q26"/>
  <c r="R26"/>
  <c r="S26"/>
  <c r="T26"/>
  <c r="U26"/>
  <c r="V26"/>
  <c r="W26"/>
  <c r="X26"/>
  <c r="Y26"/>
  <c r="Z26"/>
  <c r="AA26"/>
  <c r="D24"/>
  <c r="E24"/>
  <c r="F24"/>
  <c r="G24"/>
  <c r="H24"/>
  <c r="I24"/>
  <c r="J24"/>
  <c r="K24"/>
  <c r="L24"/>
  <c r="M24"/>
  <c r="N24"/>
  <c r="O24"/>
  <c r="P24"/>
  <c r="Q24"/>
  <c r="R24"/>
  <c r="S24"/>
  <c r="T24"/>
  <c r="U24"/>
  <c r="V24"/>
  <c r="W24"/>
  <c r="X24"/>
  <c r="Y24"/>
  <c r="Z24"/>
  <c r="AA24"/>
  <c r="D23"/>
  <c r="E23"/>
  <c r="F23"/>
  <c r="G23"/>
  <c r="H23"/>
  <c r="I23"/>
  <c r="J23"/>
  <c r="K23"/>
  <c r="L23"/>
  <c r="M23"/>
  <c r="N23"/>
  <c r="O23"/>
  <c r="P23"/>
  <c r="Q23"/>
  <c r="R23"/>
  <c r="S23"/>
  <c r="T23"/>
  <c r="U23"/>
  <c r="V23"/>
  <c r="W23"/>
  <c r="X23"/>
  <c r="Y23"/>
  <c r="Z23"/>
  <c r="AA23"/>
  <c r="D21"/>
  <c r="E21"/>
  <c r="F21"/>
  <c r="G21"/>
  <c r="H21"/>
  <c r="I21"/>
  <c r="J21"/>
  <c r="K21"/>
  <c r="L21"/>
  <c r="M21"/>
  <c r="N21"/>
  <c r="O21"/>
  <c r="P21"/>
  <c r="Q21"/>
  <c r="R21"/>
  <c r="S21"/>
  <c r="T21"/>
  <c r="U21"/>
  <c r="V21"/>
  <c r="W21"/>
  <c r="X21"/>
  <c r="Y21"/>
  <c r="Z21"/>
  <c r="AA21"/>
  <c r="D20"/>
  <c r="E20"/>
  <c r="F20"/>
  <c r="G20"/>
  <c r="H20"/>
  <c r="I20"/>
  <c r="J20"/>
  <c r="K20"/>
  <c r="L20"/>
  <c r="M20"/>
  <c r="N20"/>
  <c r="O20"/>
  <c r="P20"/>
  <c r="Q20"/>
  <c r="R20"/>
  <c r="S20"/>
  <c r="T20"/>
  <c r="U20"/>
  <c r="V20"/>
  <c r="W20"/>
  <c r="X20"/>
  <c r="Y20"/>
  <c r="Z20"/>
  <c r="AA20"/>
  <c r="D19"/>
  <c r="E19"/>
  <c r="F19"/>
  <c r="G19"/>
  <c r="H19"/>
  <c r="I19"/>
  <c r="J19"/>
  <c r="K19"/>
  <c r="L19"/>
  <c r="M19"/>
  <c r="N19"/>
  <c r="O19"/>
  <c r="P19"/>
  <c r="Q19"/>
  <c r="R19"/>
  <c r="S19"/>
  <c r="T19"/>
  <c r="U19"/>
  <c r="V19"/>
  <c r="W19"/>
  <c r="X19"/>
  <c r="Y19"/>
  <c r="Z19"/>
  <c r="AA19"/>
  <c r="D18"/>
  <c r="E18"/>
  <c r="E27" s="1"/>
  <c r="F18"/>
  <c r="F27" s="1"/>
  <c r="G18"/>
  <c r="G27" s="1"/>
  <c r="H18"/>
  <c r="I18"/>
  <c r="I27" s="1"/>
  <c r="J18"/>
  <c r="J27" s="1"/>
  <c r="K18"/>
  <c r="K27" s="1"/>
  <c r="L18"/>
  <c r="M18"/>
  <c r="M27" s="1"/>
  <c r="N18"/>
  <c r="O18"/>
  <c r="O27" s="1"/>
  <c r="P18"/>
  <c r="P27" s="1"/>
  <c r="Q18"/>
  <c r="Q27" s="1"/>
  <c r="R18"/>
  <c r="R27" s="1"/>
  <c r="S18"/>
  <c r="S27" s="1"/>
  <c r="T18"/>
  <c r="T27" s="1"/>
  <c r="U18"/>
  <c r="U27" s="1"/>
  <c r="V18"/>
  <c r="V27" s="1"/>
  <c r="W18"/>
  <c r="W27" s="1"/>
  <c r="X18"/>
  <c r="X27" s="1"/>
  <c r="Y18"/>
  <c r="Y27" s="1"/>
  <c r="Z18"/>
  <c r="Z27" s="1"/>
  <c r="AA18"/>
  <c r="AA27" s="1"/>
  <c r="C26"/>
  <c r="C24"/>
  <c r="C23"/>
  <c r="C19"/>
  <c r="C18"/>
  <c r="E14"/>
  <c r="F14"/>
  <c r="G14"/>
  <c r="H14"/>
  <c r="I14"/>
  <c r="J14"/>
  <c r="K14"/>
  <c r="L14"/>
  <c r="M14"/>
  <c r="N14"/>
  <c r="O14"/>
  <c r="P14"/>
  <c r="Q14"/>
  <c r="R14"/>
  <c r="S14"/>
  <c r="T14"/>
  <c r="U14"/>
  <c r="V14"/>
  <c r="W14"/>
  <c r="X14"/>
  <c r="Y14"/>
  <c r="Z14"/>
  <c r="AA14"/>
  <c r="C14"/>
  <c r="G91" i="13"/>
  <c r="H92"/>
  <c r="L16"/>
  <c r="L17"/>
  <c r="L18"/>
  <c r="L20"/>
  <c r="L21"/>
  <c r="L22"/>
  <c r="L23"/>
  <c r="L24"/>
  <c r="L25"/>
  <c r="L26"/>
  <c r="L27"/>
  <c r="L28"/>
  <c r="L29"/>
  <c r="L30"/>
  <c r="L31"/>
  <c r="L32"/>
  <c r="L33"/>
  <c r="L34"/>
  <c r="L35"/>
  <c r="L36"/>
  <c r="L37"/>
  <c r="L38"/>
  <c r="L39"/>
  <c r="H42"/>
  <c r="H43"/>
  <c r="H44"/>
  <c r="H45"/>
  <c r="H46"/>
  <c r="H47"/>
  <c r="H48"/>
  <c r="H49"/>
  <c r="H50"/>
  <c r="H51"/>
  <c r="H52"/>
  <c r="H53"/>
  <c r="H54"/>
  <c r="H55"/>
  <c r="H56"/>
  <c r="H57"/>
  <c r="H58"/>
  <c r="H59"/>
  <c r="H60"/>
  <c r="H61"/>
  <c r="H62"/>
  <c r="H63"/>
  <c r="H41"/>
  <c r="G42"/>
  <c r="G43"/>
  <c r="G44"/>
  <c r="G45"/>
  <c r="G46"/>
  <c r="G47"/>
  <c r="G48"/>
  <c r="G49"/>
  <c r="G50"/>
  <c r="G51"/>
  <c r="G52"/>
  <c r="G53"/>
  <c r="G54"/>
  <c r="G55"/>
  <c r="G56"/>
  <c r="G57"/>
  <c r="G58"/>
  <c r="G59"/>
  <c r="G60"/>
  <c r="G61"/>
  <c r="G62"/>
  <c r="G63"/>
  <c r="G41"/>
  <c r="H66"/>
  <c r="H67"/>
  <c r="H68"/>
  <c r="H69"/>
  <c r="H70"/>
  <c r="H71"/>
  <c r="H72"/>
  <c r="H73"/>
  <c r="H74"/>
  <c r="H75"/>
  <c r="H76"/>
  <c r="H77"/>
  <c r="H78"/>
  <c r="H79"/>
  <c r="H80"/>
  <c r="H81"/>
  <c r="H82"/>
  <c r="H83"/>
  <c r="H84"/>
  <c r="H85"/>
  <c r="H86"/>
  <c r="H87"/>
  <c r="H88"/>
  <c r="H89"/>
  <c r="H65"/>
  <c r="K17"/>
  <c r="K19"/>
  <c r="K21"/>
  <c r="K23"/>
  <c r="K25"/>
  <c r="K27"/>
  <c r="K29"/>
  <c r="K31"/>
  <c r="K33"/>
  <c r="K35"/>
  <c r="K37"/>
  <c r="K39"/>
  <c r="H16"/>
  <c r="H17"/>
  <c r="H18"/>
  <c r="H19"/>
  <c r="H20"/>
  <c r="H21"/>
  <c r="H22"/>
  <c r="H23"/>
  <c r="H24"/>
  <c r="H25"/>
  <c r="H26"/>
  <c r="H27"/>
  <c r="H28"/>
  <c r="H29"/>
  <c r="H30"/>
  <c r="H31"/>
  <c r="H32"/>
  <c r="H33"/>
  <c r="H34"/>
  <c r="H35"/>
  <c r="H36"/>
  <c r="H37"/>
  <c r="H38"/>
  <c r="H39"/>
  <c r="H15"/>
  <c r="L10" i="7"/>
  <c r="G16" i="13" l="1"/>
  <c r="G17"/>
  <c r="G18"/>
  <c r="G19"/>
  <c r="G20"/>
  <c r="G21"/>
  <c r="G22"/>
  <c r="G23"/>
  <c r="G24"/>
  <c r="G25"/>
  <c r="G26"/>
  <c r="G27"/>
  <c r="G28"/>
  <c r="G29"/>
  <c r="G30"/>
  <c r="G31"/>
  <c r="G32"/>
  <c r="G33"/>
  <c r="G34"/>
  <c r="G35"/>
  <c r="G36"/>
  <c r="G37"/>
  <c r="G38"/>
  <c r="G39"/>
  <c r="G66"/>
  <c r="G67"/>
  <c r="G68"/>
  <c r="G69"/>
  <c r="G70"/>
  <c r="G71"/>
  <c r="G72"/>
  <c r="G73"/>
  <c r="G74"/>
  <c r="G75"/>
  <c r="G76"/>
  <c r="G77"/>
  <c r="G78"/>
  <c r="G79"/>
  <c r="G80"/>
  <c r="G81"/>
  <c r="G82"/>
  <c r="G83"/>
  <c r="G84"/>
  <c r="G85"/>
  <c r="G86"/>
  <c r="G87"/>
  <c r="G88"/>
  <c r="G89"/>
  <c r="G65"/>
  <c r="B144"/>
  <c r="B152"/>
  <c r="B160"/>
  <c r="K107"/>
  <c r="N143" s="1"/>
  <c r="K108"/>
  <c r="N144" s="1"/>
  <c r="K109"/>
  <c r="N145" s="1"/>
  <c r="K110"/>
  <c r="N146" s="1"/>
  <c r="K111"/>
  <c r="N147" s="1"/>
  <c r="K112"/>
  <c r="N148" s="1"/>
  <c r="K113"/>
  <c r="N149" s="1"/>
  <c r="K114"/>
  <c r="N150" s="1"/>
  <c r="K115"/>
  <c r="N151" s="1"/>
  <c r="K116"/>
  <c r="N152" s="1"/>
  <c r="K117"/>
  <c r="N153" s="1"/>
  <c r="K118"/>
  <c r="N154" s="1"/>
  <c r="K119"/>
  <c r="N155" s="1"/>
  <c r="K120"/>
  <c r="N156" s="1"/>
  <c r="K121"/>
  <c r="N157" s="1"/>
  <c r="K122"/>
  <c r="N158" s="1"/>
  <c r="K123"/>
  <c r="N159" s="1"/>
  <c r="K124"/>
  <c r="N160" s="1"/>
  <c r="K125"/>
  <c r="N161" s="1"/>
  <c r="K126"/>
  <c r="N162" s="1"/>
  <c r="I107"/>
  <c r="I143" s="1"/>
  <c r="I108"/>
  <c r="I144" s="1"/>
  <c r="I109"/>
  <c r="I145" s="1"/>
  <c r="I110"/>
  <c r="I146" s="1"/>
  <c r="I111"/>
  <c r="I147" s="1"/>
  <c r="I112"/>
  <c r="I148" s="1"/>
  <c r="I113"/>
  <c r="I149" s="1"/>
  <c r="I114"/>
  <c r="I150" s="1"/>
  <c r="I115"/>
  <c r="I151" s="1"/>
  <c r="I116"/>
  <c r="I152" s="1"/>
  <c r="I117"/>
  <c r="I153" s="1"/>
  <c r="I118"/>
  <c r="I154" s="1"/>
  <c r="I119"/>
  <c r="I155" s="1"/>
  <c r="I120"/>
  <c r="I156" s="1"/>
  <c r="I121"/>
  <c r="I157" s="1"/>
  <c r="I122"/>
  <c r="I158" s="1"/>
  <c r="I123"/>
  <c r="I159" s="1"/>
  <c r="I124"/>
  <c r="I160" s="1"/>
  <c r="I125"/>
  <c r="I161" s="1"/>
  <c r="I126"/>
  <c r="I162" s="1"/>
  <c r="H107"/>
  <c r="H143" s="1"/>
  <c r="H108"/>
  <c r="H144" s="1"/>
  <c r="H109"/>
  <c r="H145" s="1"/>
  <c r="H110"/>
  <c r="H146" s="1"/>
  <c r="H111"/>
  <c r="H147" s="1"/>
  <c r="H112"/>
  <c r="H148" s="1"/>
  <c r="H113"/>
  <c r="H149" s="1"/>
  <c r="H114"/>
  <c r="H150" s="1"/>
  <c r="H115"/>
  <c r="H151" s="1"/>
  <c r="H116"/>
  <c r="H152" s="1"/>
  <c r="H117"/>
  <c r="H153" s="1"/>
  <c r="H118"/>
  <c r="H154" s="1"/>
  <c r="H119"/>
  <c r="H155" s="1"/>
  <c r="H120"/>
  <c r="H156" s="1"/>
  <c r="H121"/>
  <c r="H157" s="1"/>
  <c r="H122"/>
  <c r="H158" s="1"/>
  <c r="H123"/>
  <c r="H159" s="1"/>
  <c r="H124"/>
  <c r="H160" s="1"/>
  <c r="H125"/>
  <c r="H161" s="1"/>
  <c r="H126"/>
  <c r="H162" s="1"/>
  <c r="G107"/>
  <c r="G143" s="1"/>
  <c r="G108"/>
  <c r="G144" s="1"/>
  <c r="G109"/>
  <c r="G145" s="1"/>
  <c r="G110"/>
  <c r="G146" s="1"/>
  <c r="G111"/>
  <c r="G147" s="1"/>
  <c r="G112"/>
  <c r="G148" s="1"/>
  <c r="G113"/>
  <c r="G149" s="1"/>
  <c r="G114"/>
  <c r="G150" s="1"/>
  <c r="G115"/>
  <c r="G151" s="1"/>
  <c r="G116"/>
  <c r="G152" s="1"/>
  <c r="G117"/>
  <c r="G153" s="1"/>
  <c r="G118"/>
  <c r="G154" s="1"/>
  <c r="G119"/>
  <c r="G155" s="1"/>
  <c r="G120"/>
  <c r="G156" s="1"/>
  <c r="G121"/>
  <c r="G157" s="1"/>
  <c r="G122"/>
  <c r="G158" s="1"/>
  <c r="G123"/>
  <c r="G159" s="1"/>
  <c r="G124"/>
  <c r="G160" s="1"/>
  <c r="G125"/>
  <c r="G161" s="1"/>
  <c r="G126"/>
  <c r="G162" s="1"/>
  <c r="D107"/>
  <c r="D143" s="1"/>
  <c r="D108"/>
  <c r="D144" s="1"/>
  <c r="D109"/>
  <c r="D145" s="1"/>
  <c r="D110"/>
  <c r="D146" s="1"/>
  <c r="D111"/>
  <c r="D147" s="1"/>
  <c r="D112"/>
  <c r="D148" s="1"/>
  <c r="D113"/>
  <c r="D149" s="1"/>
  <c r="D114"/>
  <c r="D150" s="1"/>
  <c r="D115"/>
  <c r="D151" s="1"/>
  <c r="D116"/>
  <c r="D152" s="1"/>
  <c r="D117"/>
  <c r="D153" s="1"/>
  <c r="D118"/>
  <c r="D154" s="1"/>
  <c r="D119"/>
  <c r="D155" s="1"/>
  <c r="D120"/>
  <c r="D156" s="1"/>
  <c r="D121"/>
  <c r="D157" s="1"/>
  <c r="D122"/>
  <c r="D158" s="1"/>
  <c r="D123"/>
  <c r="D159" s="1"/>
  <c r="D124"/>
  <c r="D160" s="1"/>
  <c r="D125"/>
  <c r="D161" s="1"/>
  <c r="D126"/>
  <c r="D162" s="1"/>
  <c r="C107"/>
  <c r="C143" s="1"/>
  <c r="C108"/>
  <c r="C144" s="1"/>
  <c r="C109"/>
  <c r="C145" s="1"/>
  <c r="C110"/>
  <c r="C146" s="1"/>
  <c r="C111"/>
  <c r="C147" s="1"/>
  <c r="C112"/>
  <c r="C148" s="1"/>
  <c r="C113"/>
  <c r="C149" s="1"/>
  <c r="C114"/>
  <c r="C150" s="1"/>
  <c r="C115"/>
  <c r="C151" s="1"/>
  <c r="C116"/>
  <c r="C152" s="1"/>
  <c r="C117"/>
  <c r="C153" s="1"/>
  <c r="C118"/>
  <c r="C154" s="1"/>
  <c r="C119"/>
  <c r="C155" s="1"/>
  <c r="C120"/>
  <c r="C156" s="1"/>
  <c r="C121"/>
  <c r="C157" s="1"/>
  <c r="C122"/>
  <c r="C158" s="1"/>
  <c r="C123"/>
  <c r="C159" s="1"/>
  <c r="C124"/>
  <c r="C160" s="1"/>
  <c r="C125"/>
  <c r="C161" s="1"/>
  <c r="C126"/>
  <c r="C162" s="1"/>
  <c r="B107"/>
  <c r="B143" s="1"/>
  <c r="B108"/>
  <c r="B109"/>
  <c r="B145" s="1"/>
  <c r="B110"/>
  <c r="B146" s="1"/>
  <c r="E146" s="1"/>
  <c r="B111"/>
  <c r="B147" s="1"/>
  <c r="B112"/>
  <c r="B148" s="1"/>
  <c r="B113"/>
  <c r="B149" s="1"/>
  <c r="B114"/>
  <c r="B150" s="1"/>
  <c r="B115"/>
  <c r="B151" s="1"/>
  <c r="B116"/>
  <c r="B117"/>
  <c r="B153" s="1"/>
  <c r="B118"/>
  <c r="B154" s="1"/>
  <c r="E154" s="1"/>
  <c r="B119"/>
  <c r="B155" s="1"/>
  <c r="B120"/>
  <c r="B156" s="1"/>
  <c r="B121"/>
  <c r="B157" s="1"/>
  <c r="B122"/>
  <c r="B158" s="1"/>
  <c r="B123"/>
  <c r="B159" s="1"/>
  <c r="B124"/>
  <c r="B125"/>
  <c r="B161" s="1"/>
  <c r="B126"/>
  <c r="B162" s="1"/>
  <c r="E162" s="1"/>
  <c r="R123" i="14"/>
  <c r="R124"/>
  <c r="R125"/>
  <c r="R126"/>
  <c r="R127"/>
  <c r="R128"/>
  <c r="R129"/>
  <c r="R130"/>
  <c r="R131"/>
  <c r="R132"/>
  <c r="R133"/>
  <c r="R134"/>
  <c r="R135"/>
  <c r="R136"/>
  <c r="R137"/>
  <c r="R138"/>
  <c r="R139"/>
  <c r="R140"/>
  <c r="R141"/>
  <c r="R142"/>
  <c r="Q123"/>
  <c r="Q124"/>
  <c r="Q125"/>
  <c r="Q126"/>
  <c r="Q127"/>
  <c r="Q128"/>
  <c r="Q129"/>
  <c r="Q130"/>
  <c r="Q131"/>
  <c r="Q132"/>
  <c r="Q133"/>
  <c r="Q134"/>
  <c r="Q135"/>
  <c r="Q136"/>
  <c r="Q137"/>
  <c r="Q138"/>
  <c r="Q139"/>
  <c r="Q140"/>
  <c r="Q141"/>
  <c r="Q142"/>
  <c r="P123"/>
  <c r="P124"/>
  <c r="P125"/>
  <c r="P126"/>
  <c r="P127"/>
  <c r="P128"/>
  <c r="P129"/>
  <c r="P130"/>
  <c r="P131"/>
  <c r="P132"/>
  <c r="P133"/>
  <c r="P134"/>
  <c r="P135"/>
  <c r="P136"/>
  <c r="P137"/>
  <c r="P138"/>
  <c r="P139"/>
  <c r="P140"/>
  <c r="P141"/>
  <c r="P142"/>
  <c r="O123"/>
  <c r="O124"/>
  <c r="O125"/>
  <c r="O126"/>
  <c r="O127"/>
  <c r="O128"/>
  <c r="O129"/>
  <c r="O130"/>
  <c r="O131"/>
  <c r="O132"/>
  <c r="O133"/>
  <c r="O134"/>
  <c r="O135"/>
  <c r="O136"/>
  <c r="O137"/>
  <c r="O138"/>
  <c r="O139"/>
  <c r="O140"/>
  <c r="O141"/>
  <c r="O142"/>
  <c r="N123"/>
  <c r="N124"/>
  <c r="N125"/>
  <c r="N126"/>
  <c r="N127"/>
  <c r="N128"/>
  <c r="N129"/>
  <c r="N130"/>
  <c r="N131"/>
  <c r="N132"/>
  <c r="N133"/>
  <c r="N134"/>
  <c r="N135"/>
  <c r="N136"/>
  <c r="N137"/>
  <c r="N138"/>
  <c r="N139"/>
  <c r="N140"/>
  <c r="N141"/>
  <c r="N142"/>
  <c r="K123"/>
  <c r="K124"/>
  <c r="K125"/>
  <c r="K126"/>
  <c r="K127"/>
  <c r="K128"/>
  <c r="K129"/>
  <c r="K130"/>
  <c r="K131"/>
  <c r="K132"/>
  <c r="K133"/>
  <c r="K134"/>
  <c r="K135"/>
  <c r="K136"/>
  <c r="K137"/>
  <c r="K138"/>
  <c r="K139"/>
  <c r="K140"/>
  <c r="K141"/>
  <c r="K142"/>
  <c r="J123"/>
  <c r="J124"/>
  <c r="J125"/>
  <c r="J126"/>
  <c r="J127"/>
  <c r="J128"/>
  <c r="J129"/>
  <c r="J130"/>
  <c r="J131"/>
  <c r="J132"/>
  <c r="J133"/>
  <c r="J134"/>
  <c r="J135"/>
  <c r="J136"/>
  <c r="J137"/>
  <c r="J138"/>
  <c r="J139"/>
  <c r="J140"/>
  <c r="J141"/>
  <c r="I123"/>
  <c r="I124"/>
  <c r="I125"/>
  <c r="I126"/>
  <c r="I127"/>
  <c r="I128"/>
  <c r="I129"/>
  <c r="I130"/>
  <c r="I131"/>
  <c r="I132"/>
  <c r="I133"/>
  <c r="I134"/>
  <c r="I135"/>
  <c r="I136"/>
  <c r="I137"/>
  <c r="I138"/>
  <c r="I139"/>
  <c r="I140"/>
  <c r="I141"/>
  <c r="I142"/>
  <c r="H142"/>
  <c r="H123"/>
  <c r="H124"/>
  <c r="H125"/>
  <c r="H126"/>
  <c r="H127"/>
  <c r="H128"/>
  <c r="H129"/>
  <c r="H130"/>
  <c r="H131"/>
  <c r="H132"/>
  <c r="H133"/>
  <c r="H134"/>
  <c r="H135"/>
  <c r="H136"/>
  <c r="H137"/>
  <c r="H138"/>
  <c r="H139"/>
  <c r="H140"/>
  <c r="H141"/>
  <c r="B91"/>
  <c r="B92"/>
  <c r="B93"/>
  <c r="B94"/>
  <c r="B95"/>
  <c r="B96"/>
  <c r="B97"/>
  <c r="B98"/>
  <c r="B99"/>
  <c r="B100"/>
  <c r="B101"/>
  <c r="B102"/>
  <c r="B103"/>
  <c r="B104"/>
  <c r="B105"/>
  <c r="B106"/>
  <c r="B107"/>
  <c r="B108"/>
  <c r="B109"/>
  <c r="B110"/>
  <c r="C91"/>
  <c r="C92"/>
  <c r="C93"/>
  <c r="C94"/>
  <c r="C95"/>
  <c r="C96"/>
  <c r="C97"/>
  <c r="C98"/>
  <c r="C99"/>
  <c r="C100"/>
  <c r="C101"/>
  <c r="C102"/>
  <c r="C103"/>
  <c r="C104"/>
  <c r="C105"/>
  <c r="C106"/>
  <c r="C107"/>
  <c r="C108"/>
  <c r="C109"/>
  <c r="C110"/>
  <c r="E159" i="13" l="1"/>
  <c r="E147"/>
  <c r="E143"/>
  <c r="K162"/>
  <c r="L162" s="1"/>
  <c r="K158"/>
  <c r="L158" s="1"/>
  <c r="K154"/>
  <c r="L154" s="1"/>
  <c r="K150"/>
  <c r="L150" s="1"/>
  <c r="K146"/>
  <c r="E155"/>
  <c r="E151"/>
  <c r="E161"/>
  <c r="E157"/>
  <c r="E153"/>
  <c r="E149"/>
  <c r="E145"/>
  <c r="K160"/>
  <c r="L160" s="1"/>
  <c r="K156"/>
  <c r="L156" s="1"/>
  <c r="K152"/>
  <c r="L152" s="1"/>
  <c r="K148"/>
  <c r="K144"/>
  <c r="E158"/>
  <c r="E150"/>
  <c r="K161"/>
  <c r="L161" s="1"/>
  <c r="K157"/>
  <c r="L157" s="1"/>
  <c r="K153"/>
  <c r="L153" s="1"/>
  <c r="K149"/>
  <c r="L149" s="1"/>
  <c r="K145"/>
  <c r="E160"/>
  <c r="E152"/>
  <c r="E144"/>
  <c r="K159"/>
  <c r="L159" s="1"/>
  <c r="K155"/>
  <c r="L155" s="1"/>
  <c r="K151"/>
  <c r="L151" s="1"/>
  <c r="K147"/>
  <c r="K143"/>
  <c r="E156"/>
  <c r="E148"/>
  <c r="A167"/>
  <c r="A168"/>
  <c r="A160"/>
  <c r="A161"/>
  <c r="A162"/>
  <c r="A163"/>
  <c r="A164"/>
  <c r="A165"/>
  <c r="A166"/>
  <c r="A156"/>
  <c r="A157"/>
  <c r="A158"/>
  <c r="A159"/>
  <c r="A140"/>
  <c r="A141"/>
  <c r="A142"/>
  <c r="A143"/>
  <c r="A144"/>
  <c r="A145"/>
  <c r="A146"/>
  <c r="A147"/>
  <c r="A148"/>
  <c r="A149"/>
  <c r="A150"/>
  <c r="A151"/>
  <c r="A152"/>
  <c r="A153"/>
  <c r="A154"/>
  <c r="A155"/>
  <c r="G115" i="14"/>
  <c r="G116"/>
  <c r="G117"/>
  <c r="G118"/>
  <c r="G119"/>
  <c r="G120"/>
  <c r="G121"/>
  <c r="G122"/>
  <c r="G123"/>
  <c r="G124"/>
  <c r="G125"/>
  <c r="G126"/>
  <c r="G127"/>
  <c r="G128"/>
  <c r="G129"/>
  <c r="G130"/>
  <c r="G131"/>
  <c r="G132"/>
  <c r="G133"/>
  <c r="G134"/>
  <c r="G135"/>
  <c r="G136"/>
  <c r="G137"/>
  <c r="J142"/>
  <c r="F161" i="13" l="1"/>
  <c r="F159"/>
  <c r="F157"/>
  <c r="F154"/>
  <c r="F152"/>
  <c r="F150"/>
  <c r="F148"/>
  <c r="F146"/>
  <c r="F144"/>
  <c r="F162"/>
  <c r="F160"/>
  <c r="F158"/>
  <c r="F155"/>
  <c r="F153"/>
  <c r="F151"/>
  <c r="F149"/>
  <c r="F147"/>
  <c r="F145"/>
  <c r="F143"/>
  <c r="F156"/>
  <c r="C18" i="5"/>
  <c r="E18" s="1"/>
  <c r="C19"/>
  <c r="E19" s="1"/>
  <c r="C20"/>
  <c r="E20" s="1"/>
  <c r="C21"/>
  <c r="E21" s="1"/>
  <c r="C22"/>
  <c r="E22" s="1"/>
  <c r="C23"/>
  <c r="E23" s="1"/>
  <c r="C24"/>
  <c r="E24" s="1"/>
  <c r="C25"/>
  <c r="E25" s="1"/>
  <c r="C26"/>
  <c r="E26" s="1"/>
  <c r="C27"/>
  <c r="E27" s="1"/>
  <c r="C28"/>
  <c r="E28" s="1"/>
  <c r="C29"/>
  <c r="E29" s="1"/>
  <c r="C30"/>
  <c r="E30" s="1"/>
  <c r="C31"/>
  <c r="E31" s="1"/>
  <c r="C32"/>
  <c r="E32" s="1"/>
  <c r="C33"/>
  <c r="E33" s="1"/>
  <c r="C34"/>
  <c r="E34" s="1"/>
  <c r="C35"/>
  <c r="E35" s="1"/>
  <c r="C36"/>
  <c r="E36" s="1"/>
  <c r="C37"/>
  <c r="E37" s="1"/>
  <c r="C17"/>
  <c r="E17" s="1"/>
  <c r="C11"/>
  <c r="E11" s="1"/>
  <c r="C12"/>
  <c r="E12" s="1"/>
  <c r="C13"/>
  <c r="E13" s="1"/>
  <c r="C14"/>
  <c r="E14" s="1"/>
  <c r="C15"/>
  <c r="E15" s="1"/>
  <c r="C16"/>
  <c r="E16" s="1"/>
  <c r="C10"/>
  <c r="E10" s="1"/>
  <c r="D47" i="2"/>
  <c r="D48"/>
  <c r="D49"/>
  <c r="D50"/>
  <c r="D51"/>
  <c r="D52"/>
  <c r="D53"/>
  <c r="D54"/>
  <c r="D55"/>
  <c r="D56"/>
  <c r="D57"/>
  <c r="K57" s="1"/>
  <c r="E88" s="1"/>
  <c r="F88" s="1"/>
  <c r="D58"/>
  <c r="K58" s="1"/>
  <c r="E89" s="1"/>
  <c r="F89" s="1"/>
  <c r="D59"/>
  <c r="K59" s="1"/>
  <c r="E90" s="1"/>
  <c r="F90" s="1"/>
  <c r="D60"/>
  <c r="K60" s="1"/>
  <c r="E91" s="1"/>
  <c r="F91" s="1"/>
  <c r="D61"/>
  <c r="K61" s="1"/>
  <c r="E92" s="1"/>
  <c r="F92" s="1"/>
  <c r="D62"/>
  <c r="K62" s="1"/>
  <c r="E93" s="1"/>
  <c r="F93" s="1"/>
  <c r="D63"/>
  <c r="K63" s="1"/>
  <c r="E94" s="1"/>
  <c r="F94" s="1"/>
  <c r="D64"/>
  <c r="K64" s="1"/>
  <c r="E95" s="1"/>
  <c r="F95" s="1"/>
  <c r="D65"/>
  <c r="K65" s="1"/>
  <c r="E96" s="1"/>
  <c r="F96" s="1"/>
  <c r="D66"/>
  <c r="K66" s="1"/>
  <c r="E97" s="1"/>
  <c r="F97" s="1"/>
  <c r="D67"/>
  <c r="K67" s="1"/>
  <c r="E98" s="1"/>
  <c r="F98" s="1"/>
  <c r="D68"/>
  <c r="K68" s="1"/>
  <c r="E99" s="1"/>
  <c r="F99" s="1"/>
  <c r="D69"/>
  <c r="K69" s="1"/>
  <c r="E100" s="1"/>
  <c r="F100" s="1"/>
  <c r="D70"/>
  <c r="K70" s="1"/>
  <c r="E101" s="1"/>
  <c r="F101" s="1"/>
  <c r="D46"/>
  <c r="D12"/>
  <c r="D13"/>
  <c r="D14"/>
  <c r="D15"/>
  <c r="D16"/>
  <c r="D17"/>
  <c r="D18"/>
  <c r="D19"/>
  <c r="D20"/>
  <c r="D21"/>
  <c r="D22"/>
  <c r="K22" s="1"/>
  <c r="C88" s="1"/>
  <c r="D88" s="1"/>
  <c r="D23"/>
  <c r="K23" s="1"/>
  <c r="C89" s="1"/>
  <c r="D89" s="1"/>
  <c r="D24"/>
  <c r="K24" s="1"/>
  <c r="C90" s="1"/>
  <c r="D90" s="1"/>
  <c r="D25"/>
  <c r="K25" s="1"/>
  <c r="C91" s="1"/>
  <c r="D91" s="1"/>
  <c r="D26"/>
  <c r="K26" s="1"/>
  <c r="C92" s="1"/>
  <c r="D92" s="1"/>
  <c r="D27"/>
  <c r="K27" s="1"/>
  <c r="C93" s="1"/>
  <c r="D93" s="1"/>
  <c r="D28"/>
  <c r="K28" s="1"/>
  <c r="C94" s="1"/>
  <c r="D94" s="1"/>
  <c r="D29"/>
  <c r="K29" s="1"/>
  <c r="C95" s="1"/>
  <c r="D95" s="1"/>
  <c r="D30"/>
  <c r="K30" s="1"/>
  <c r="C96" s="1"/>
  <c r="D96" s="1"/>
  <c r="D31"/>
  <c r="K31" s="1"/>
  <c r="C97" s="1"/>
  <c r="D97" s="1"/>
  <c r="D32"/>
  <c r="K32" s="1"/>
  <c r="C98" s="1"/>
  <c r="D98" s="1"/>
  <c r="D33"/>
  <c r="K33" s="1"/>
  <c r="C99" s="1"/>
  <c r="D99" s="1"/>
  <c r="D34"/>
  <c r="K34" s="1"/>
  <c r="C100" s="1"/>
  <c r="D100" s="1"/>
  <c r="D35"/>
  <c r="K35" s="1"/>
  <c r="C101" s="1"/>
  <c r="D101" s="1"/>
  <c r="D11"/>
  <c r="G99" l="1"/>
  <c r="H99" s="1"/>
  <c r="G91"/>
  <c r="H91" s="1"/>
  <c r="G100"/>
  <c r="H100" s="1"/>
  <c r="G92"/>
  <c r="H92" s="1"/>
  <c r="G88"/>
  <c r="H88" s="1"/>
  <c r="G95"/>
  <c r="H95" s="1"/>
  <c r="G96"/>
  <c r="H96" s="1"/>
  <c r="G97"/>
  <c r="H97" s="1"/>
  <c r="G89"/>
  <c r="H89" s="1"/>
  <c r="G98"/>
  <c r="H98" s="1"/>
  <c r="G94"/>
  <c r="H94" s="1"/>
  <c r="G90"/>
  <c r="H90" s="1"/>
  <c r="G101"/>
  <c r="H101" s="1"/>
  <c r="G93"/>
  <c r="H93" s="1"/>
  <c r="E38" i="5"/>
  <c r="AM37" i="7"/>
  <c r="AN37" s="1"/>
  <c r="AO37" s="1"/>
  <c r="AP37" s="1"/>
  <c r="AQ37" s="1"/>
  <c r="AR37" s="1"/>
  <c r="AS37" s="1"/>
  <c r="AT37" s="1"/>
  <c r="AU37" s="1"/>
  <c r="AV37" s="1"/>
  <c r="F15" i="1"/>
  <c r="C23"/>
  <c r="M133" i="14"/>
  <c r="M134"/>
  <c r="M135"/>
  <c r="M136"/>
  <c r="M137"/>
  <c r="M138"/>
  <c r="M139"/>
  <c r="M140"/>
  <c r="M141"/>
  <c r="M142"/>
  <c r="G138"/>
  <c r="G139"/>
  <c r="G140"/>
  <c r="G141"/>
  <c r="G142"/>
  <c r="H63"/>
  <c r="H64"/>
  <c r="H65"/>
  <c r="H66"/>
  <c r="H67"/>
  <c r="H68"/>
  <c r="H69"/>
  <c r="H70"/>
  <c r="H71"/>
  <c r="H72"/>
  <c r="H73"/>
  <c r="H74"/>
  <c r="H75"/>
  <c r="H76"/>
  <c r="H77"/>
  <c r="H78"/>
  <c r="H79"/>
  <c r="H80"/>
  <c r="H81"/>
  <c r="H82"/>
  <c r="D59"/>
  <c r="D60"/>
  <c r="D61"/>
  <c r="D62"/>
  <c r="D63"/>
  <c r="D64"/>
  <c r="D65"/>
  <c r="J65" s="1"/>
  <c r="D66"/>
  <c r="D67"/>
  <c r="J67" s="1"/>
  <c r="D68"/>
  <c r="D69"/>
  <c r="J69" s="1"/>
  <c r="D70"/>
  <c r="D71"/>
  <c r="J71" s="1"/>
  <c r="D72"/>
  <c r="D73"/>
  <c r="J73" s="1"/>
  <c r="D74"/>
  <c r="D75"/>
  <c r="J75" s="1"/>
  <c r="D76"/>
  <c r="D77"/>
  <c r="J77" s="1"/>
  <c r="D78"/>
  <c r="D79"/>
  <c r="J79" s="1"/>
  <c r="D80"/>
  <c r="D81"/>
  <c r="J81" s="1"/>
  <c r="D82"/>
  <c r="D58"/>
  <c r="J63" l="1"/>
  <c r="J82"/>
  <c r="J80"/>
  <c r="J78"/>
  <c r="J76"/>
  <c r="J74"/>
  <c r="J72"/>
  <c r="J70"/>
  <c r="J68"/>
  <c r="J66"/>
  <c r="J64"/>
  <c r="S47" i="16" l="1"/>
  <c r="S46"/>
  <c r="S30"/>
  <c r="S29"/>
  <c r="S15"/>
  <c r="S14"/>
  <c r="P42"/>
  <c r="O42"/>
  <c r="P29"/>
  <c r="O29"/>
  <c r="P14"/>
  <c r="O14"/>
  <c r="N42" l="1"/>
  <c r="S45" s="1"/>
  <c r="E62" i="14" s="1"/>
  <c r="M42" i="16"/>
  <c r="S44" s="1"/>
  <c r="E61" i="14" s="1"/>
  <c r="L42" i="16"/>
  <c r="S43" s="1"/>
  <c r="E60" i="14" s="1"/>
  <c r="K42" i="16"/>
  <c r="S42" s="1"/>
  <c r="E59" i="14" s="1"/>
  <c r="J42" i="16"/>
  <c r="S41" s="1"/>
  <c r="E58" i="14" s="1"/>
  <c r="I42" i="16"/>
  <c r="S40" s="1"/>
  <c r="H42"/>
  <c r="S39" s="1"/>
  <c r="G42"/>
  <c r="S38" s="1"/>
  <c r="F42"/>
  <c r="S37" s="1"/>
  <c r="E42"/>
  <c r="S36" s="1"/>
  <c r="D42"/>
  <c r="S35" s="1"/>
  <c r="M29"/>
  <c r="S27" s="1"/>
  <c r="F61" i="14" s="1"/>
  <c r="L29" i="16"/>
  <c r="S26" s="1"/>
  <c r="F60" i="14" s="1"/>
  <c r="K29" i="16"/>
  <c r="S25" s="1"/>
  <c r="F59" i="14" s="1"/>
  <c r="J29" i="16"/>
  <c r="S24" s="1"/>
  <c r="F58" i="14" s="1"/>
  <c r="I29" i="16"/>
  <c r="S23" s="1"/>
  <c r="H29"/>
  <c r="S22" s="1"/>
  <c r="G29"/>
  <c r="S21" s="1"/>
  <c r="F29"/>
  <c r="S20" s="1"/>
  <c r="E29"/>
  <c r="S19" s="1"/>
  <c r="D29"/>
  <c r="S18" s="1"/>
  <c r="N22"/>
  <c r="N29" s="1"/>
  <c r="S28" s="1"/>
  <c r="F62" i="14" s="1"/>
  <c r="N14" i="16"/>
  <c r="S13" s="1"/>
  <c r="G62" i="14" s="1"/>
  <c r="M14" i="16"/>
  <c r="S12" s="1"/>
  <c r="G61" i="14" s="1"/>
  <c r="L14" i="16"/>
  <c r="S11" s="1"/>
  <c r="G60" i="14" s="1"/>
  <c r="K14" i="16"/>
  <c r="S10" s="1"/>
  <c r="G59" i="14" s="1"/>
  <c r="J14" i="16"/>
  <c r="S9" s="1"/>
  <c r="G58" i="14" s="1"/>
  <c r="I14" i="16"/>
  <c r="S8" s="1"/>
  <c r="H14"/>
  <c r="S7" s="1"/>
  <c r="G14"/>
  <c r="S6" s="1"/>
  <c r="F14"/>
  <c r="S5" s="1"/>
  <c r="E14"/>
  <c r="S4" s="1"/>
  <c r="D14"/>
  <c r="S3" s="1"/>
  <c r="H59" i="14" l="1"/>
  <c r="H61"/>
  <c r="H58"/>
  <c r="H60"/>
  <c r="H62"/>
  <c r="B137" i="13"/>
  <c r="D137"/>
  <c r="J59" i="14" l="1"/>
  <c r="B87" s="1"/>
  <c r="J61"/>
  <c r="B89" s="1"/>
  <c r="J60"/>
  <c r="B88" s="1"/>
  <c r="J62"/>
  <c r="B90" s="1"/>
  <c r="J58"/>
  <c r="C86" s="1"/>
  <c r="B86"/>
  <c r="N118" l="1"/>
  <c r="H102" i="13" s="1"/>
  <c r="H138" s="1"/>
  <c r="O118" i="14"/>
  <c r="I102" i="13" s="1"/>
  <c r="P118" i="14"/>
  <c r="H118"/>
  <c r="C102" i="13" s="1"/>
  <c r="C138" s="1"/>
  <c r="I118" i="14"/>
  <c r="D102" i="13" s="1"/>
  <c r="J118" i="14"/>
  <c r="K118"/>
  <c r="B102" i="13" s="1"/>
  <c r="B138" s="1"/>
  <c r="H122" i="14"/>
  <c r="C106" i="13" s="1"/>
  <c r="C142" s="1"/>
  <c r="K122" i="14"/>
  <c r="B106" i="13" s="1"/>
  <c r="B142" s="1"/>
  <c r="I122" i="14"/>
  <c r="D106" i="13" s="1"/>
  <c r="D142" s="1"/>
  <c r="J122" i="14"/>
  <c r="K121"/>
  <c r="B105" i="13" s="1"/>
  <c r="B141" s="1"/>
  <c r="J121" i="14"/>
  <c r="I121"/>
  <c r="D105" i="13" s="1"/>
  <c r="D141" s="1"/>
  <c r="H121" i="14"/>
  <c r="C105" i="13" s="1"/>
  <c r="C141" s="1"/>
  <c r="I120" i="14"/>
  <c r="D104" i="13" s="1"/>
  <c r="D140" s="1"/>
  <c r="K120" i="14"/>
  <c r="B104" i="13" s="1"/>
  <c r="B140" s="1"/>
  <c r="J120" i="14"/>
  <c r="H120"/>
  <c r="C104" i="13" s="1"/>
  <c r="C140" s="1"/>
  <c r="H119" i="14"/>
  <c r="C103" i="13" s="1"/>
  <c r="C139" s="1"/>
  <c r="K119" i="14"/>
  <c r="B103" i="13" s="1"/>
  <c r="B139" s="1"/>
  <c r="I119" i="14"/>
  <c r="D103" i="13" s="1"/>
  <c r="D139" s="1"/>
  <c r="J119" i="14"/>
  <c r="C90"/>
  <c r="C89"/>
  <c r="C88"/>
  <c r="C87"/>
  <c r="Q118"/>
  <c r="G102" i="13" s="1"/>
  <c r="K15"/>
  <c r="G64"/>
  <c r="G14"/>
  <c r="I137"/>
  <c r="H137"/>
  <c r="G137"/>
  <c r="A138"/>
  <c r="C137"/>
  <c r="A139"/>
  <c r="M115" i="14"/>
  <c r="M116"/>
  <c r="M117"/>
  <c r="M118"/>
  <c r="M119"/>
  <c r="M120"/>
  <c r="M121"/>
  <c r="M122"/>
  <c r="M123"/>
  <c r="M124"/>
  <c r="M125"/>
  <c r="M126"/>
  <c r="M127"/>
  <c r="M128"/>
  <c r="M129"/>
  <c r="M130"/>
  <c r="M131"/>
  <c r="M132"/>
  <c r="Q114"/>
  <c r="N114"/>
  <c r="O114"/>
  <c r="P114"/>
  <c r="H114"/>
  <c r="I114"/>
  <c r="J114"/>
  <c r="K114"/>
  <c r="A114"/>
  <c r="G114" s="1"/>
  <c r="A86"/>
  <c r="A59"/>
  <c r="A87" s="1"/>
  <c r="K11" i="2"/>
  <c r="C77" s="1"/>
  <c r="P119" i="14" l="1"/>
  <c r="O119"/>
  <c r="I103" i="13" s="1"/>
  <c r="I139" s="1"/>
  <c r="N119" i="14"/>
  <c r="H103" i="13" s="1"/>
  <c r="H139" s="1"/>
  <c r="Q119" i="14"/>
  <c r="G103" i="13" s="1"/>
  <c r="G139" s="1"/>
  <c r="R122" i="14"/>
  <c r="K106" i="13" s="1"/>
  <c r="N142" s="1"/>
  <c r="Q122" i="14"/>
  <c r="G106" i="13" s="1"/>
  <c r="G142" s="1"/>
  <c r="K142" s="1"/>
  <c r="P122" i="14"/>
  <c r="O122"/>
  <c r="I106" i="13" s="1"/>
  <c r="I142" s="1"/>
  <c r="N122" i="14"/>
  <c r="H106" i="13" s="1"/>
  <c r="H142" s="1"/>
  <c r="R121" i="14"/>
  <c r="K105" i="13" s="1"/>
  <c r="N141" s="1"/>
  <c r="Q121" i="14"/>
  <c r="G105" i="13" s="1"/>
  <c r="G141" s="1"/>
  <c r="P121" i="14"/>
  <c r="O121"/>
  <c r="I105" i="13" s="1"/>
  <c r="I141" s="1"/>
  <c r="N121" i="14"/>
  <c r="H105" i="13" s="1"/>
  <c r="H141" s="1"/>
  <c r="R120" i="14"/>
  <c r="K104" i="13" s="1"/>
  <c r="N140" s="1"/>
  <c r="O120" i="14"/>
  <c r="I104" i="13" s="1"/>
  <c r="I140" s="1"/>
  <c r="N120" i="14"/>
  <c r="H104" i="13" s="1"/>
  <c r="H140" s="1"/>
  <c r="Q120" i="14"/>
  <c r="G104" i="13" s="1"/>
  <c r="G140" s="1"/>
  <c r="K140" s="1"/>
  <c r="P120" i="14"/>
  <c r="E141" i="13"/>
  <c r="F141" s="1"/>
  <c r="E139"/>
  <c r="F139" s="1"/>
  <c r="E140"/>
  <c r="F140" s="1"/>
  <c r="E142"/>
  <c r="F142" s="1"/>
  <c r="D77" i="2"/>
  <c r="A60" i="14"/>
  <c r="M114"/>
  <c r="K141" i="13" l="1"/>
  <c r="K139"/>
  <c r="D138"/>
  <c r="E138" s="1"/>
  <c r="F138" s="1"/>
  <c r="A61" i="14"/>
  <c r="A88"/>
  <c r="I138" i="13"/>
  <c r="G138"/>
  <c r="L144"/>
  <c r="L141"/>
  <c r="K138" l="1"/>
  <c r="L140"/>
  <c r="L145"/>
  <c r="L142"/>
  <c r="L147"/>
  <c r="A62" i="14"/>
  <c r="A89"/>
  <c r="L139" i="13"/>
  <c r="C21" i="12"/>
  <c r="F17" i="7"/>
  <c r="E18"/>
  <c r="K47" i="2"/>
  <c r="E78" s="1"/>
  <c r="F78" s="1"/>
  <c r="K48"/>
  <c r="E79" s="1"/>
  <c r="F79" s="1"/>
  <c r="K49"/>
  <c r="E80" s="1"/>
  <c r="F80" s="1"/>
  <c r="K50"/>
  <c r="E81" s="1"/>
  <c r="F81" s="1"/>
  <c r="K51"/>
  <c r="E82" s="1"/>
  <c r="F82" s="1"/>
  <c r="K52"/>
  <c r="E83" s="1"/>
  <c r="F83" s="1"/>
  <c r="K53"/>
  <c r="E84" s="1"/>
  <c r="F84" s="1"/>
  <c r="K54"/>
  <c r="E85" s="1"/>
  <c r="F85" s="1"/>
  <c r="K55"/>
  <c r="E86" s="1"/>
  <c r="F86" s="1"/>
  <c r="K56"/>
  <c r="E87" s="1"/>
  <c r="F87" s="1"/>
  <c r="K12"/>
  <c r="C78" s="1"/>
  <c r="D78" s="1"/>
  <c r="K13"/>
  <c r="C79" s="1"/>
  <c r="D79" s="1"/>
  <c r="K14"/>
  <c r="C80" s="1"/>
  <c r="D80" s="1"/>
  <c r="K15"/>
  <c r="C81" s="1"/>
  <c r="D81" s="1"/>
  <c r="K16"/>
  <c r="C82" s="1"/>
  <c r="D82" s="1"/>
  <c r="K17"/>
  <c r="C83" s="1"/>
  <c r="D83" s="1"/>
  <c r="K18"/>
  <c r="C84" s="1"/>
  <c r="D84" s="1"/>
  <c r="K19"/>
  <c r="C85" s="1"/>
  <c r="D85" s="1"/>
  <c r="K20"/>
  <c r="C86" s="1"/>
  <c r="D86" s="1"/>
  <c r="K21"/>
  <c r="C87" s="1"/>
  <c r="D87" s="1"/>
  <c r="K46"/>
  <c r="E77" s="1"/>
  <c r="AF8"/>
  <c r="AF9"/>
  <c r="AF10"/>
  <c r="AF33"/>
  <c r="AF34"/>
  <c r="AF35"/>
  <c r="AF7"/>
  <c r="AE8"/>
  <c r="AE9"/>
  <c r="AE10"/>
  <c r="AE33"/>
  <c r="AE34"/>
  <c r="AE35"/>
  <c r="AE7"/>
  <c r="AD7"/>
  <c r="F77" l="1"/>
  <c r="G77"/>
  <c r="H77" s="1"/>
  <c r="G84"/>
  <c r="H84" s="1"/>
  <c r="G80"/>
  <c r="H80" s="1"/>
  <c r="G85"/>
  <c r="H85" s="1"/>
  <c r="G81"/>
  <c r="H81" s="1"/>
  <c r="G86"/>
  <c r="H86" s="1"/>
  <c r="G82"/>
  <c r="H82" s="1"/>
  <c r="G78"/>
  <c r="H78" s="1"/>
  <c r="G87"/>
  <c r="H87" s="1"/>
  <c r="G83"/>
  <c r="H83" s="1"/>
  <c r="G79"/>
  <c r="H79" s="1"/>
  <c r="G15" i="13"/>
  <c r="L138"/>
  <c r="L143"/>
  <c r="L146"/>
  <c r="L148"/>
  <c r="A63" i="14"/>
  <c r="A90"/>
  <c r="A64" l="1"/>
  <c r="A91"/>
  <c r="Z8" i="2"/>
  <c r="AD8" s="1"/>
  <c r="AM51" i="7"/>
  <c r="AO51"/>
  <c r="AP51"/>
  <c r="AQ51"/>
  <c r="AR51"/>
  <c r="AS51"/>
  <c r="AT51"/>
  <c r="AU51"/>
  <c r="AV51"/>
  <c r="AL51"/>
  <c r="AN50"/>
  <c r="AN51" s="1"/>
  <c r="D21"/>
  <c r="AO10"/>
  <c r="H10"/>
  <c r="E17"/>
  <c r="G17" s="1"/>
  <c r="E19"/>
  <c r="E19" i="1"/>
  <c r="E20"/>
  <c r="E21"/>
  <c r="F18" i="7"/>
  <c r="G18" s="1"/>
  <c r="F19"/>
  <c r="F20"/>
  <c r="H17"/>
  <c r="H18"/>
  <c r="H19"/>
  <c r="H20"/>
  <c r="H16"/>
  <c r="H15"/>
  <c r="F16"/>
  <c r="E16"/>
  <c r="G16" s="1"/>
  <c r="I16" s="1"/>
  <c r="E20"/>
  <c r="E15"/>
  <c r="E10"/>
  <c r="F21" i="1"/>
  <c r="G21" s="1"/>
  <c r="F19"/>
  <c r="G19" s="1"/>
  <c r="F20"/>
  <c r="G20" s="1"/>
  <c r="F18"/>
  <c r="G18" s="1"/>
  <c r="F17"/>
  <c r="G17" s="1"/>
  <c r="D17"/>
  <c r="F16"/>
  <c r="G16" s="1"/>
  <c r="Z9" i="2" l="1"/>
  <c r="Z10" s="1"/>
  <c r="I18" i="7"/>
  <c r="G20"/>
  <c r="I20" s="1"/>
  <c r="K20"/>
  <c r="L20" s="1"/>
  <c r="K18"/>
  <c r="L18" s="1"/>
  <c r="K16"/>
  <c r="L16" s="1"/>
  <c r="G19"/>
  <c r="I19" s="1"/>
  <c r="K19" s="1"/>
  <c r="L19" s="1"/>
  <c r="I17"/>
  <c r="K17" s="1"/>
  <c r="L17" s="1"/>
  <c r="A65" i="14"/>
  <c r="A92"/>
  <c r="C20" i="12"/>
  <c r="C27" s="1"/>
  <c r="E18" i="1"/>
  <c r="H18" s="1"/>
  <c r="D22" i="7"/>
  <c r="H20" i="1"/>
  <c r="H21"/>
  <c r="H19"/>
  <c r="E17"/>
  <c r="H17" s="1"/>
  <c r="G40" i="13"/>
  <c r="G43" i="5"/>
  <c r="E11" i="9"/>
  <c r="G11" s="1"/>
  <c r="G15" s="1"/>
  <c r="N26" i="8"/>
  <c r="N27"/>
  <c r="N28"/>
  <c r="N29"/>
  <c r="N31"/>
  <c r="N32"/>
  <c r="N33"/>
  <c r="N34"/>
  <c r="N35"/>
  <c r="N36"/>
  <c r="N37"/>
  <c r="N38"/>
  <c r="N39"/>
  <c r="N40"/>
  <c r="N25"/>
  <c r="N11"/>
  <c r="N24"/>
  <c r="N23"/>
  <c r="N22"/>
  <c r="N21"/>
  <c r="N20"/>
  <c r="N19"/>
  <c r="N18"/>
  <c r="N17"/>
  <c r="N16"/>
  <c r="N15"/>
  <c r="N14"/>
  <c r="N13"/>
  <c r="N12"/>
  <c r="S11"/>
  <c r="S10"/>
  <c r="N10"/>
  <c r="S9"/>
  <c r="N9"/>
  <c r="S8"/>
  <c r="N8"/>
  <c r="S7"/>
  <c r="N7"/>
  <c r="N6"/>
  <c r="S5"/>
  <c r="N5"/>
  <c r="S4"/>
  <c r="N4"/>
  <c r="F11" i="7"/>
  <c r="F12"/>
  <c r="F13"/>
  <c r="F14"/>
  <c r="F15"/>
  <c r="F10"/>
  <c r="G10" s="1"/>
  <c r="I10" s="1"/>
  <c r="AO11"/>
  <c r="AO12"/>
  <c r="AO13"/>
  <c r="AO14"/>
  <c r="AO15"/>
  <c r="AM11"/>
  <c r="AM12"/>
  <c r="AM13"/>
  <c r="AM14"/>
  <c r="AM15"/>
  <c r="AM10"/>
  <c r="E11"/>
  <c r="E12"/>
  <c r="G12" s="1"/>
  <c r="E13"/>
  <c r="G13" s="1"/>
  <c r="E14"/>
  <c r="H11"/>
  <c r="H12"/>
  <c r="H13"/>
  <c r="H14"/>
  <c r="G15" i="1"/>
  <c r="F14"/>
  <c r="G14" s="1"/>
  <c r="F13"/>
  <c r="G13" s="1"/>
  <c r="D16"/>
  <c r="D15"/>
  <c r="D14"/>
  <c r="D13"/>
  <c r="E13" s="1"/>
  <c r="F12"/>
  <c r="G12" s="1"/>
  <c r="D12"/>
  <c r="E12" s="1"/>
  <c r="F11"/>
  <c r="G11" s="1"/>
  <c r="D11"/>
  <c r="E11" s="1"/>
  <c r="G15" i="7"/>
  <c r="I15" s="1"/>
  <c r="K15" s="1"/>
  <c r="L15" s="1"/>
  <c r="G11"/>
  <c r="I11" s="1"/>
  <c r="K11" s="1"/>
  <c r="L11" s="1"/>
  <c r="H11" i="1" l="1"/>
  <c r="AD9" i="2"/>
  <c r="K10" i="7"/>
  <c r="AL10"/>
  <c r="AN10" s="1"/>
  <c r="AP10" s="1"/>
  <c r="I13"/>
  <c r="K13" s="1"/>
  <c r="L13" s="1"/>
  <c r="A66" i="14"/>
  <c r="A93"/>
  <c r="Z33" i="2"/>
  <c r="AD10"/>
  <c r="I12" i="7"/>
  <c r="K12" s="1"/>
  <c r="L12" s="1"/>
  <c r="F22"/>
  <c r="G93" i="13"/>
  <c r="D11" i="12" s="1"/>
  <c r="D14" s="1"/>
  <c r="AL15" i="7"/>
  <c r="AN15" s="1"/>
  <c r="AP15" s="1"/>
  <c r="G14"/>
  <c r="I14" s="1"/>
  <c r="K14" s="1"/>
  <c r="L14" s="1"/>
  <c r="E15" i="1"/>
  <c r="E16"/>
  <c r="H13"/>
  <c r="AL11" i="7"/>
  <c r="AN11" s="1"/>
  <c r="AP11" s="1"/>
  <c r="E14" i="1"/>
  <c r="AL13" i="7" l="1"/>
  <c r="AN13" s="1"/>
  <c r="AP13" s="1"/>
  <c r="L22"/>
  <c r="E23" i="1"/>
  <c r="AL12" i="7"/>
  <c r="AN12" s="1"/>
  <c r="AP12" s="1"/>
  <c r="Z34" i="2"/>
  <c r="AD33"/>
  <c r="A67" i="14"/>
  <c r="A94"/>
  <c r="N25" i="12"/>
  <c r="N22"/>
  <c r="N27" s="1"/>
  <c r="AL14" i="7"/>
  <c r="AN14" s="1"/>
  <c r="AP14" s="1"/>
  <c r="I22"/>
  <c r="G22"/>
  <c r="H15" i="1"/>
  <c r="H16"/>
  <c r="H12"/>
  <c r="G23"/>
  <c r="H14"/>
  <c r="H23" l="1"/>
  <c r="A68" i="14"/>
  <c r="A95"/>
  <c r="Z35" i="2"/>
  <c r="AD34"/>
  <c r="K22" i="7"/>
  <c r="AL22"/>
  <c r="AD35" i="2" l="1"/>
  <c r="A69" i="14"/>
  <c r="A96"/>
  <c r="AN22" i="7"/>
  <c r="AP22"/>
  <c r="A70" i="14" l="1"/>
  <c r="A97"/>
  <c r="A71" l="1"/>
  <c r="A98"/>
  <c r="A72" l="1"/>
  <c r="A99"/>
  <c r="A100" l="1"/>
  <c r="A73"/>
  <c r="A74" l="1"/>
  <c r="A101"/>
  <c r="A75" l="1"/>
  <c r="A102"/>
  <c r="A76" l="1"/>
  <c r="A103"/>
  <c r="A77" l="1"/>
  <c r="A104"/>
  <c r="A78" l="1"/>
  <c r="A105"/>
  <c r="A79" l="1"/>
  <c r="A106"/>
  <c r="A80" l="1"/>
  <c r="A107"/>
  <c r="A81" l="1"/>
  <c r="A108"/>
  <c r="A82" l="1"/>
  <c r="A110" s="1"/>
  <c r="A109"/>
</calcChain>
</file>

<file path=xl/comments1.xml><?xml version="1.0" encoding="utf-8"?>
<comments xmlns="http://schemas.openxmlformats.org/spreadsheetml/2006/main">
  <authors>
    <author>Putri</author>
  </authors>
  <commentList>
    <comment ref="F126" authorId="0">
      <text>
        <r>
          <rPr>
            <b/>
            <sz val="9"/>
            <color indexed="81"/>
            <rFont val="Tahoma"/>
            <family val="2"/>
          </rPr>
          <t>Putri:</t>
        </r>
        <r>
          <rPr>
            <sz val="9"/>
            <color indexed="81"/>
            <rFont val="Tahoma"/>
            <family val="2"/>
          </rPr>
          <t xml:space="preserve">
data realisasi pupuk organik bersubsidi 2008-2014 (data digunakan u/ keperluan proyeksi data)</t>
        </r>
      </text>
    </comment>
  </commentList>
</comments>
</file>

<file path=xl/comments2.xml><?xml version="1.0" encoding="utf-8"?>
<comments xmlns="http://schemas.openxmlformats.org/spreadsheetml/2006/main">
  <authors>
    <author>GIGABYTE</author>
  </authors>
  <commentList>
    <comment ref="G11" authorId="0">
      <text>
        <r>
          <rPr>
            <b/>
            <sz val="9"/>
            <color indexed="81"/>
            <rFont val="Tahoma"/>
            <family val="2"/>
          </rPr>
          <t>GIGABYTE:</t>
        </r>
        <r>
          <rPr>
            <sz val="9"/>
            <color indexed="81"/>
            <rFont val="Tahoma"/>
            <family val="2"/>
          </rPr>
          <t xml:space="preserve">
satuan sudah disesuaikan sudah dikali 1000 ekor</t>
        </r>
      </text>
    </comment>
    <comment ref="G12" authorId="0">
      <text>
        <r>
          <rPr>
            <b/>
            <sz val="9"/>
            <color indexed="81"/>
            <rFont val="Tahoma"/>
            <family val="2"/>
          </rPr>
          <t>GIGABYTE:</t>
        </r>
        <r>
          <rPr>
            <sz val="9"/>
            <color indexed="81"/>
            <rFont val="Tahoma"/>
            <family val="2"/>
          </rPr>
          <t xml:space="preserve">
satuan sudah disesuaikan sudah dikali 1000 ekor</t>
        </r>
      </text>
    </comment>
    <comment ref="G13" authorId="0">
      <text>
        <r>
          <rPr>
            <b/>
            <sz val="9"/>
            <color indexed="81"/>
            <rFont val="Tahoma"/>
            <family val="2"/>
          </rPr>
          <t>GIGABYTE:</t>
        </r>
        <r>
          <rPr>
            <sz val="9"/>
            <color indexed="81"/>
            <rFont val="Tahoma"/>
            <family val="2"/>
          </rPr>
          <t xml:space="preserve">
satuan sudah disesuaikan sudah dikali 1000 ekor</t>
        </r>
      </text>
    </comment>
    <comment ref="G15" authorId="0">
      <text>
        <r>
          <rPr>
            <b/>
            <sz val="9"/>
            <color indexed="81"/>
            <rFont val="Tahoma"/>
            <family val="2"/>
          </rPr>
          <t>GIGABYTE:</t>
        </r>
        <r>
          <rPr>
            <sz val="9"/>
            <color indexed="81"/>
            <rFont val="Tahoma"/>
            <family val="2"/>
          </rPr>
          <t xml:space="preserve">
satuan sudah disesuaikan sudah dikali 1000 ekor</t>
        </r>
      </text>
    </comment>
    <comment ref="G16" authorId="0">
      <text>
        <r>
          <rPr>
            <b/>
            <sz val="9"/>
            <color indexed="81"/>
            <rFont val="Tahoma"/>
            <family val="2"/>
          </rPr>
          <t>GIGABYTE:</t>
        </r>
        <r>
          <rPr>
            <sz val="9"/>
            <color indexed="81"/>
            <rFont val="Tahoma"/>
            <family val="2"/>
          </rPr>
          <t xml:space="preserve">
satuan sudah disesuaikan sudah dikali 1000 ekor</t>
        </r>
      </text>
    </comment>
    <comment ref="G17" authorId="0">
      <text>
        <r>
          <rPr>
            <b/>
            <sz val="9"/>
            <color indexed="81"/>
            <rFont val="Tahoma"/>
            <family val="2"/>
          </rPr>
          <t>GIGABYTE:</t>
        </r>
        <r>
          <rPr>
            <sz val="9"/>
            <color indexed="81"/>
            <rFont val="Tahoma"/>
            <family val="2"/>
          </rPr>
          <t xml:space="preserve">
satuan sudah disesuaikan sudah dikali 1000 ekor</t>
        </r>
      </text>
    </comment>
    <comment ref="G18" authorId="0">
      <text>
        <r>
          <rPr>
            <b/>
            <sz val="9"/>
            <color indexed="81"/>
            <rFont val="Tahoma"/>
            <family val="2"/>
          </rPr>
          <t>GIGABYTE:</t>
        </r>
        <r>
          <rPr>
            <sz val="9"/>
            <color indexed="81"/>
            <rFont val="Tahoma"/>
            <family val="2"/>
          </rPr>
          <t xml:space="preserve">
satuan sudah disesuaikan sudah dikali 1000 ekor</t>
        </r>
      </text>
    </comment>
    <comment ref="G19" authorId="0">
      <text>
        <r>
          <rPr>
            <b/>
            <sz val="9"/>
            <color indexed="81"/>
            <rFont val="Tahoma"/>
            <family val="2"/>
          </rPr>
          <t>GIGABYTE:</t>
        </r>
        <r>
          <rPr>
            <sz val="9"/>
            <color indexed="81"/>
            <rFont val="Tahoma"/>
            <family val="2"/>
          </rPr>
          <t xml:space="preserve">
satuan sudah disesuaikan sudah dikali 1000 ekor</t>
        </r>
      </text>
    </comment>
    <comment ref="G20" authorId="0">
      <text>
        <r>
          <rPr>
            <b/>
            <sz val="9"/>
            <color indexed="81"/>
            <rFont val="Tahoma"/>
            <family val="2"/>
          </rPr>
          <t>GIGABYTE:</t>
        </r>
        <r>
          <rPr>
            <sz val="9"/>
            <color indexed="81"/>
            <rFont val="Tahoma"/>
            <family val="2"/>
          </rPr>
          <t xml:space="preserve">
satuan sudah disesuaikan sudah dikali 1000 ekor</t>
        </r>
      </text>
    </comment>
    <comment ref="G21" authorId="0">
      <text>
        <r>
          <rPr>
            <b/>
            <sz val="9"/>
            <color indexed="81"/>
            <rFont val="Tahoma"/>
            <family val="2"/>
          </rPr>
          <t>GIGABYTE:</t>
        </r>
        <r>
          <rPr>
            <sz val="9"/>
            <color indexed="81"/>
            <rFont val="Tahoma"/>
            <family val="2"/>
          </rPr>
          <t xml:space="preserve">
satuan sudah disesuaikan sudah dikali 1000 ekor</t>
        </r>
      </text>
    </comment>
  </commentList>
</comments>
</file>

<file path=xl/comments3.xml><?xml version="1.0" encoding="utf-8"?>
<comments xmlns="http://schemas.openxmlformats.org/spreadsheetml/2006/main">
  <authors>
    <author>GIGABYTE</author>
  </authors>
  <commentList>
    <comment ref="I10" authorId="0">
      <text>
        <r>
          <rPr>
            <b/>
            <sz val="9"/>
            <color indexed="81"/>
            <rFont val="Tahoma"/>
            <family val="2"/>
          </rPr>
          <t>GIGABYTE:</t>
        </r>
        <r>
          <rPr>
            <sz val="9"/>
            <color indexed="81"/>
            <rFont val="Tahoma"/>
            <family val="2"/>
          </rPr>
          <t xml:space="preserve">
satuan sudah disesuaikan sudah dikali 1000 ekor</t>
        </r>
      </text>
    </comment>
    <comment ref="I11" authorId="0">
      <text>
        <r>
          <rPr>
            <b/>
            <sz val="9"/>
            <color indexed="81"/>
            <rFont val="Tahoma"/>
            <family val="2"/>
          </rPr>
          <t>GIGABYTE:</t>
        </r>
        <r>
          <rPr>
            <sz val="9"/>
            <color indexed="81"/>
            <rFont val="Tahoma"/>
            <family val="2"/>
          </rPr>
          <t xml:space="preserve">
satuan sudah disesuaikan sudah dikali 1000 ekor</t>
        </r>
      </text>
    </comment>
    <comment ref="I12" authorId="0">
      <text>
        <r>
          <rPr>
            <b/>
            <sz val="9"/>
            <color indexed="81"/>
            <rFont val="Tahoma"/>
            <family val="2"/>
          </rPr>
          <t>GIGABYTE:</t>
        </r>
        <r>
          <rPr>
            <sz val="9"/>
            <color indexed="81"/>
            <rFont val="Tahoma"/>
            <family val="2"/>
          </rPr>
          <t xml:space="preserve">
satuan sudah disesuaikan sudah dikali 1000 ekor</t>
        </r>
      </text>
    </comment>
    <comment ref="I13" authorId="0">
      <text>
        <r>
          <rPr>
            <b/>
            <sz val="9"/>
            <color indexed="81"/>
            <rFont val="Tahoma"/>
            <family val="2"/>
          </rPr>
          <t>GIGABYTE:</t>
        </r>
        <r>
          <rPr>
            <sz val="9"/>
            <color indexed="81"/>
            <rFont val="Tahoma"/>
            <family val="2"/>
          </rPr>
          <t xml:space="preserve">
satuan sudah disesuaikan sudah dikali 1000 ekor</t>
        </r>
      </text>
    </comment>
    <comment ref="I14" authorId="0">
      <text>
        <r>
          <rPr>
            <b/>
            <sz val="9"/>
            <color indexed="81"/>
            <rFont val="Tahoma"/>
            <family val="2"/>
          </rPr>
          <t>GIGABYTE:</t>
        </r>
        <r>
          <rPr>
            <sz val="9"/>
            <color indexed="81"/>
            <rFont val="Tahoma"/>
            <family val="2"/>
          </rPr>
          <t xml:space="preserve">
satuan sudah disesuaikan sudah dikali 1000 ekor</t>
        </r>
      </text>
    </comment>
    <comment ref="I15" authorId="0">
      <text>
        <r>
          <rPr>
            <b/>
            <sz val="9"/>
            <color indexed="81"/>
            <rFont val="Tahoma"/>
            <family val="2"/>
          </rPr>
          <t>GIGABYTE:</t>
        </r>
        <r>
          <rPr>
            <sz val="9"/>
            <color indexed="81"/>
            <rFont val="Tahoma"/>
            <family val="2"/>
          </rPr>
          <t xml:space="preserve">
satuan sudah disesuaikan sudah dikali 1000 ekor</t>
        </r>
      </text>
    </comment>
    <comment ref="I16" authorId="0">
      <text>
        <r>
          <rPr>
            <b/>
            <sz val="9"/>
            <color indexed="81"/>
            <rFont val="Tahoma"/>
            <family val="2"/>
          </rPr>
          <t>GIGABYTE:</t>
        </r>
        <r>
          <rPr>
            <sz val="9"/>
            <color indexed="81"/>
            <rFont val="Tahoma"/>
            <family val="2"/>
          </rPr>
          <t xml:space="preserve">
satuan sudah disesuaikan sudah dikali 1000 ekor</t>
        </r>
      </text>
    </comment>
    <comment ref="I17" authorId="0">
      <text>
        <r>
          <rPr>
            <b/>
            <sz val="9"/>
            <color indexed="81"/>
            <rFont val="Tahoma"/>
            <family val="2"/>
          </rPr>
          <t>GIGABYTE:</t>
        </r>
        <r>
          <rPr>
            <sz val="9"/>
            <color indexed="81"/>
            <rFont val="Tahoma"/>
            <family val="2"/>
          </rPr>
          <t xml:space="preserve">
satuan sudah disesuaikan sudah dikali 1000 ekor</t>
        </r>
      </text>
    </comment>
    <comment ref="I18" authorId="0">
      <text>
        <r>
          <rPr>
            <b/>
            <sz val="9"/>
            <color indexed="81"/>
            <rFont val="Tahoma"/>
            <family val="2"/>
          </rPr>
          <t>GIGABYTE:</t>
        </r>
        <r>
          <rPr>
            <sz val="9"/>
            <color indexed="81"/>
            <rFont val="Tahoma"/>
            <family val="2"/>
          </rPr>
          <t xml:space="preserve">
satuan sudah disesuaikan sudah dikali 1000 ekor</t>
        </r>
      </text>
    </comment>
    <comment ref="I19" authorId="0">
      <text>
        <r>
          <rPr>
            <b/>
            <sz val="9"/>
            <color indexed="81"/>
            <rFont val="Tahoma"/>
            <family val="2"/>
          </rPr>
          <t>GIGABYTE:</t>
        </r>
        <r>
          <rPr>
            <sz val="9"/>
            <color indexed="81"/>
            <rFont val="Tahoma"/>
            <family val="2"/>
          </rPr>
          <t xml:space="preserve">
satuan sudah disesuaikan sudah dikali 1000 ekor</t>
        </r>
      </text>
    </comment>
    <comment ref="I20" authorId="0">
      <text>
        <r>
          <rPr>
            <b/>
            <sz val="9"/>
            <color indexed="81"/>
            <rFont val="Tahoma"/>
            <family val="2"/>
          </rPr>
          <t>GIGABYTE:</t>
        </r>
        <r>
          <rPr>
            <sz val="9"/>
            <color indexed="81"/>
            <rFont val="Tahoma"/>
            <family val="2"/>
          </rPr>
          <t xml:space="preserve">
</t>
        </r>
      </text>
    </comment>
  </commentList>
</comments>
</file>

<file path=xl/comments4.xml><?xml version="1.0" encoding="utf-8"?>
<comments xmlns="http://schemas.openxmlformats.org/spreadsheetml/2006/main">
  <authors>
    <author>Prihasto Setyanto</author>
  </authors>
  <commentList>
    <comment ref="B2" author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text>
        <r>
          <rPr>
            <b/>
            <sz val="8"/>
            <color indexed="81"/>
            <rFont val="Tahoma"/>
            <family val="2"/>
          </rPr>
          <t>Prihasto Setyanto:</t>
        </r>
        <r>
          <rPr>
            <sz val="8"/>
            <color indexed="81"/>
            <rFont val="Tahoma"/>
            <family val="2"/>
          </rPr>
          <t xml:space="preserve">
Based on studies conducted by Prihasto Setyanto during DS 2002</t>
        </r>
      </text>
    </comment>
    <comment ref="I6" authorId="0">
      <text>
        <r>
          <rPr>
            <b/>
            <sz val="8"/>
            <color indexed="81"/>
            <rFont val="Tahoma"/>
            <family val="2"/>
          </rPr>
          <t>Prihasto Setyanto:</t>
        </r>
        <r>
          <rPr>
            <sz val="8"/>
            <color indexed="81"/>
            <rFont val="Tahoma"/>
            <family val="2"/>
          </rPr>
          <t xml:space="preserve">
Based on studies conducted by Prihasto Setyanto during DS 2002</t>
        </r>
      </text>
    </comment>
    <comment ref="G8" authorId="0">
      <text>
        <r>
          <rPr>
            <b/>
            <sz val="8"/>
            <color indexed="81"/>
            <rFont val="Tahoma"/>
            <family val="2"/>
          </rPr>
          <t>Prihasto Setyanto:</t>
        </r>
        <r>
          <rPr>
            <sz val="8"/>
            <color indexed="81"/>
            <rFont val="Tahoma"/>
            <family val="2"/>
          </rPr>
          <t xml:space="preserve">
Published data from NCE vol. 58 page 85-93, 2000</t>
        </r>
      </text>
    </comment>
    <comment ref="I8" authorId="0">
      <text>
        <r>
          <rPr>
            <b/>
            <sz val="8"/>
            <color indexed="81"/>
            <rFont val="Tahoma"/>
            <family val="2"/>
          </rPr>
          <t>Prihasto Setyanto:</t>
        </r>
        <r>
          <rPr>
            <sz val="8"/>
            <color indexed="81"/>
            <rFont val="Tahoma"/>
            <family val="2"/>
          </rPr>
          <t xml:space="preserve">
Published data from NCE vol. 58 page 85-93, 2000</t>
        </r>
      </text>
    </comment>
    <comment ref="H12"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text>
        <r>
          <rPr>
            <b/>
            <sz val="8"/>
            <color indexed="81"/>
            <rFont val="Tahoma"/>
            <family val="2"/>
          </rPr>
          <t>Prihasto Setyanto:</t>
        </r>
        <r>
          <rPr>
            <sz val="8"/>
            <color indexed="81"/>
            <rFont val="Tahoma"/>
            <family val="2"/>
          </rPr>
          <t xml:space="preserve">
IAERI annual report 2001</t>
        </r>
      </text>
    </comment>
    <comment ref="I15" authorId="0">
      <text>
        <r>
          <rPr>
            <b/>
            <sz val="8"/>
            <color indexed="81"/>
            <rFont val="Tahoma"/>
            <family val="2"/>
          </rPr>
          <t>Prihasto Setyanto:</t>
        </r>
        <r>
          <rPr>
            <sz val="8"/>
            <color indexed="81"/>
            <rFont val="Tahoma"/>
            <family val="2"/>
          </rPr>
          <t xml:space="preserve">
IAERI annual report 2001</t>
        </r>
      </text>
    </comment>
    <comment ref="H16" authorId="0">
      <text>
        <r>
          <rPr>
            <b/>
            <sz val="8"/>
            <color indexed="81"/>
            <rFont val="Tahoma"/>
            <family val="2"/>
          </rPr>
          <t>Prihasto Setyanto:</t>
        </r>
        <r>
          <rPr>
            <sz val="8"/>
            <color indexed="81"/>
            <rFont val="Tahoma"/>
            <family val="2"/>
          </rPr>
          <t xml:space="preserve">
Based on published data at NCE 58: 85-93, 2000</t>
        </r>
      </text>
    </comment>
    <comment ref="I16" authorId="0">
      <text>
        <r>
          <rPr>
            <b/>
            <sz val="8"/>
            <color indexed="81"/>
            <rFont val="Tahoma"/>
            <family val="2"/>
          </rPr>
          <t>Prihasto Setyanto:</t>
        </r>
        <r>
          <rPr>
            <sz val="8"/>
            <color indexed="81"/>
            <rFont val="Tahoma"/>
            <family val="2"/>
          </rPr>
          <t xml:space="preserve">
Based on published data at NCE 58: 85-93, 2000</t>
        </r>
      </text>
    </comment>
    <comment ref="H17" authorId="0">
      <text>
        <r>
          <rPr>
            <b/>
            <sz val="8"/>
            <color indexed="81"/>
            <rFont val="Tahoma"/>
            <family val="2"/>
          </rPr>
          <t>Prihasto Setyanto:</t>
        </r>
        <r>
          <rPr>
            <sz val="8"/>
            <color indexed="81"/>
            <rFont val="Tahoma"/>
            <family val="2"/>
          </rPr>
          <t xml:space="preserve">
IAERI final report 2006-2007</t>
        </r>
      </text>
    </comment>
    <comment ref="I17" authorId="0">
      <text>
        <r>
          <rPr>
            <b/>
            <sz val="8"/>
            <color indexed="81"/>
            <rFont val="Tahoma"/>
            <family val="2"/>
          </rPr>
          <t>Prihasto Setyanto:</t>
        </r>
        <r>
          <rPr>
            <sz val="8"/>
            <color indexed="81"/>
            <rFont val="Tahoma"/>
            <family val="2"/>
          </rPr>
          <t xml:space="preserve">
IAERI final report 2006-2007</t>
        </r>
      </text>
    </comment>
    <comment ref="H18" authorId="0">
      <text>
        <r>
          <rPr>
            <b/>
            <sz val="8"/>
            <color indexed="81"/>
            <rFont val="Tahoma"/>
            <family val="2"/>
          </rPr>
          <t>Prihasto Setyanto:</t>
        </r>
        <r>
          <rPr>
            <sz val="8"/>
            <color indexed="81"/>
            <rFont val="Tahoma"/>
            <family val="2"/>
          </rPr>
          <t xml:space="preserve">
Mollisols were not found as rice field in Indonesia</t>
        </r>
      </text>
    </comment>
    <comment ref="I18" authorId="0">
      <text>
        <r>
          <rPr>
            <b/>
            <sz val="8"/>
            <color indexed="81"/>
            <rFont val="Tahoma"/>
            <family val="2"/>
          </rPr>
          <t>Prihasto Setyanto:</t>
        </r>
        <r>
          <rPr>
            <sz val="8"/>
            <color indexed="81"/>
            <rFont val="Tahoma"/>
            <family val="2"/>
          </rPr>
          <t xml:space="preserve">
Mollisols were not found as rice field in Indonesia</t>
        </r>
      </text>
    </comment>
    <comment ref="H19" authorId="0">
      <text>
        <r>
          <rPr>
            <b/>
            <sz val="8"/>
            <color indexed="81"/>
            <rFont val="Tahoma"/>
            <family val="2"/>
          </rPr>
          <t>Prihasto Setyanto:</t>
        </r>
        <r>
          <rPr>
            <sz val="8"/>
            <color indexed="81"/>
            <rFont val="Tahoma"/>
            <family val="2"/>
          </rPr>
          <t xml:space="preserve">
Assume to be the same as Entisol because of it's sandy texture</t>
        </r>
      </text>
    </comment>
    <comment ref="I19" authorId="0">
      <text>
        <r>
          <rPr>
            <b/>
            <sz val="8"/>
            <color indexed="81"/>
            <rFont val="Tahoma"/>
            <family val="2"/>
          </rPr>
          <t>Prihasto Setyanto:</t>
        </r>
        <r>
          <rPr>
            <sz val="8"/>
            <color indexed="81"/>
            <rFont val="Tahoma"/>
            <family val="2"/>
          </rPr>
          <t xml:space="preserve">
Assume to be the same as Entisol because of it's sandy texture</t>
        </r>
      </text>
    </comment>
    <comment ref="H20" author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List>
</comments>
</file>

<file path=xl/comments5.xml><?xml version="1.0" encoding="utf-8"?>
<comments xmlns="http://schemas.openxmlformats.org/spreadsheetml/2006/main">
  <authors>
    <author>Lina</author>
    <author>GIGABYTE</author>
  </authors>
  <commentList>
    <comment ref="D11" authorId="0">
      <text>
        <r>
          <rPr>
            <b/>
            <sz val="9"/>
            <color indexed="81"/>
            <rFont val="Tahoma"/>
            <family val="2"/>
          </rPr>
          <t>Lina:</t>
        </r>
        <r>
          <rPr>
            <sz val="9"/>
            <color indexed="81"/>
            <rFont val="Tahoma"/>
            <family val="2"/>
          </rPr>
          <t xml:space="preserve">
data hasil proyeksi</t>
        </r>
      </text>
    </comment>
    <comment ref="G11" authorId="1">
      <text>
        <r>
          <rPr>
            <b/>
            <sz val="9"/>
            <color indexed="81"/>
            <rFont val="Tahoma"/>
            <family val="2"/>
          </rPr>
          <t>GIGABYTE:</t>
        </r>
        <r>
          <rPr>
            <sz val="9"/>
            <color indexed="81"/>
            <rFont val="Tahoma"/>
            <family val="2"/>
          </rPr>
          <t xml:space="preserve">
diasumsikan pengalliran terus menerus</t>
        </r>
      </text>
    </comment>
    <comment ref="H11" authorId="0">
      <text>
        <r>
          <rPr>
            <b/>
            <sz val="9"/>
            <color indexed="81"/>
            <rFont val="Tahoma"/>
            <family val="2"/>
          </rPr>
          <t>Lina:</t>
        </r>
        <r>
          <rPr>
            <sz val="9"/>
            <color indexed="81"/>
            <rFont val="Tahoma"/>
            <family val="2"/>
          </rPr>
          <t xml:space="preserve">
oksisol</t>
        </r>
      </text>
    </comment>
    <comment ref="I11" authorId="0">
      <text>
        <r>
          <rPr>
            <b/>
            <sz val="9"/>
            <color indexed="81"/>
            <rFont val="Tahoma"/>
            <family val="2"/>
          </rPr>
          <t>Lina:</t>
        </r>
        <r>
          <rPr>
            <sz val="9"/>
            <color indexed="81"/>
            <rFont val="Tahoma"/>
            <family val="2"/>
          </rPr>
          <t xml:space="preserve">
ciherang</t>
        </r>
      </text>
    </comment>
    <comment ref="J11" authorId="1">
      <text>
        <r>
          <rPr>
            <b/>
            <sz val="9"/>
            <color indexed="81"/>
            <rFont val="Tahoma"/>
            <family val="2"/>
          </rPr>
          <t>GIGABYTE:</t>
        </r>
        <r>
          <rPr>
            <sz val="9"/>
            <color indexed="81"/>
            <rFont val="Tahoma"/>
            <family val="2"/>
          </rPr>
          <t xml:space="preserve">
Hasil penelitian Husny (2011) menunjukkan bahwa emisi CH4 adalah sebesar 24,86 kg C-CH4 ha-1 musim-1 untuk sawah beririgasi</t>
        </r>
      </text>
    </comment>
    <comment ref="D46" authorId="0">
      <text>
        <r>
          <rPr>
            <b/>
            <sz val="9"/>
            <color indexed="81"/>
            <rFont val="Tahoma"/>
            <family val="2"/>
          </rPr>
          <t>Lina:</t>
        </r>
        <r>
          <rPr>
            <sz val="9"/>
            <color indexed="81"/>
            <rFont val="Tahoma"/>
            <family val="2"/>
          </rPr>
          <t xml:space="preserve">
data berasal dari BPS, 2005</t>
        </r>
      </text>
    </comment>
    <comment ref="G46" authorId="1">
      <text>
        <r>
          <rPr>
            <b/>
            <sz val="9"/>
            <color indexed="81"/>
            <rFont val="Tahoma"/>
            <family val="2"/>
          </rPr>
          <t>GIGABYTE:</t>
        </r>
        <r>
          <rPr>
            <sz val="9"/>
            <color indexed="81"/>
            <rFont val="Tahoma"/>
            <family val="2"/>
          </rPr>
          <t xml:space="preserve">
diasumsikan pengalliran terus menerus</t>
        </r>
      </text>
    </comment>
    <comment ref="H46" authorId="0">
      <text>
        <r>
          <rPr>
            <b/>
            <sz val="9"/>
            <color indexed="81"/>
            <rFont val="Tahoma"/>
            <family val="2"/>
          </rPr>
          <t>Lina:</t>
        </r>
        <r>
          <rPr>
            <sz val="9"/>
            <color indexed="81"/>
            <rFont val="Tahoma"/>
            <family val="2"/>
          </rPr>
          <t xml:space="preserve">
oksisol</t>
        </r>
      </text>
    </comment>
    <comment ref="I46" authorId="0">
      <text>
        <r>
          <rPr>
            <b/>
            <sz val="9"/>
            <color indexed="81"/>
            <rFont val="Tahoma"/>
            <family val="2"/>
          </rPr>
          <t>Lina:</t>
        </r>
        <r>
          <rPr>
            <sz val="9"/>
            <color indexed="81"/>
            <rFont val="Tahoma"/>
            <family val="2"/>
          </rPr>
          <t xml:space="preserve">
ciherang</t>
        </r>
      </text>
    </comment>
    <comment ref="J46" authorId="1">
      <text>
        <r>
          <rPr>
            <b/>
            <sz val="9"/>
            <color indexed="81"/>
            <rFont val="Tahoma"/>
            <family val="2"/>
          </rPr>
          <t>GIGABYTE:</t>
        </r>
        <r>
          <rPr>
            <sz val="9"/>
            <color indexed="81"/>
            <rFont val="Tahoma"/>
            <family val="2"/>
          </rPr>
          <t xml:space="preserve">
karena belum ada referensi, faktor emisi sawah tadah hujan dianalogikan sampa dengan sawah lebak yaitu 25,67 kg C-CH4 ha-1 </t>
        </r>
      </text>
    </comment>
  </commentList>
</comments>
</file>

<file path=xl/comments6.xml><?xml version="1.0" encoding="utf-8"?>
<comments xmlns="http://schemas.openxmlformats.org/spreadsheetml/2006/main">
  <authors>
    <author>GIGABYTE</author>
  </authors>
  <commentList>
    <comment ref="C51" authorId="0">
      <text>
        <r>
          <rPr>
            <b/>
            <sz val="9"/>
            <color indexed="81"/>
            <rFont val="Tahoma"/>
            <family val="2"/>
          </rPr>
          <t>GIGABYTE:</t>
        </r>
        <r>
          <rPr>
            <sz val="9"/>
            <color indexed="81"/>
            <rFont val="Tahoma"/>
            <family val="2"/>
          </rPr>
          <t xml:space="preserve">
data mentah dari kemenLH </t>
        </r>
      </text>
    </comment>
    <comment ref="C52" authorId="0">
      <text>
        <r>
          <rPr>
            <b/>
            <sz val="9"/>
            <color indexed="81"/>
            <rFont val="Tahoma"/>
            <family val="2"/>
          </rPr>
          <t>GIGABYTE:</t>
        </r>
        <r>
          <rPr>
            <sz val="9"/>
            <color indexed="81"/>
            <rFont val="Tahoma"/>
            <family val="2"/>
          </rPr>
          <t xml:space="preserve">
data mentah dari kemenLH </t>
        </r>
      </text>
    </comment>
    <comment ref="C53" authorId="0">
      <text>
        <r>
          <rPr>
            <b/>
            <sz val="9"/>
            <color indexed="81"/>
            <rFont val="Tahoma"/>
            <family val="2"/>
          </rPr>
          <t>GIGABYTE:</t>
        </r>
        <r>
          <rPr>
            <sz val="9"/>
            <color indexed="81"/>
            <rFont val="Tahoma"/>
            <family val="2"/>
          </rPr>
          <t xml:space="preserve">
data mentah dari kemenLH </t>
        </r>
      </text>
    </comment>
    <comment ref="C54" authorId="0">
      <text>
        <r>
          <rPr>
            <b/>
            <sz val="9"/>
            <color indexed="81"/>
            <rFont val="Tahoma"/>
            <family val="2"/>
          </rPr>
          <t>GIGABYTE:</t>
        </r>
        <r>
          <rPr>
            <sz val="9"/>
            <color indexed="81"/>
            <rFont val="Tahoma"/>
            <family val="2"/>
          </rPr>
          <t xml:space="preserve">
data mentah dari kemenLH </t>
        </r>
      </text>
    </comment>
    <comment ref="C55" authorId="0">
      <text>
        <r>
          <rPr>
            <b/>
            <sz val="9"/>
            <color indexed="81"/>
            <rFont val="Tahoma"/>
            <family val="2"/>
          </rPr>
          <t>GIGABYTE:</t>
        </r>
        <r>
          <rPr>
            <sz val="9"/>
            <color indexed="81"/>
            <rFont val="Tahoma"/>
            <family val="2"/>
          </rPr>
          <t xml:space="preserve">
data mentah dari kemenLH </t>
        </r>
      </text>
    </comment>
  </commentList>
</comments>
</file>

<file path=xl/sharedStrings.xml><?xml version="1.0" encoding="utf-8"?>
<sst xmlns="http://schemas.openxmlformats.org/spreadsheetml/2006/main" count="1071" uniqueCount="564">
  <si>
    <t>Sektor</t>
  </si>
  <si>
    <t>Kategori</t>
  </si>
  <si>
    <t>AFOLU</t>
  </si>
  <si>
    <t>Equation</t>
  </si>
  <si>
    <t>Equation 10.19</t>
  </si>
  <si>
    <t>Jumlah Ternak</t>
  </si>
  <si>
    <t>EF dari Enterik Fermentation</t>
  </si>
  <si>
    <t>(Kg/ekor/th)</t>
  </si>
  <si>
    <t>Eq.10.19 dan 10.20</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</si>
  <si>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</si>
  <si>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</si>
  <si>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</si>
  <si>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</si>
  <si>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</si>
  <si>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</si>
  <si>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</si>
  <si>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</si>
  <si>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</si>
  <si>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</si>
  <si>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</si>
  <si>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</si>
  <si>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</si>
  <si>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</si>
  <si>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</si>
  <si>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</si>
  <si>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</si>
  <si>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</si>
  <si>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</si>
  <si>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</si>
  <si>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</si>
  <si>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</si>
  <si>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</si>
  <si>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</si>
  <si>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</si>
  <si>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</si>
  <si>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</si>
  <si>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</si>
  <si>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</si>
  <si>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</si>
  <si>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</si>
  <si>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</si>
  <si>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Kg (CH4/ha/hari)</t>
  </si>
  <si>
    <t>Pemupukan Urea :Emisi CO2 tahunan dari pemupukan urea</t>
  </si>
  <si>
    <t>Jumlah Pemupukan Urea Tahunan</t>
  </si>
  <si>
    <t>(ton urea/tahun)</t>
  </si>
  <si>
    <t>Faktor Emisi</t>
  </si>
  <si>
    <t>(ton C/ton urea)</t>
  </si>
  <si>
    <t>Emisi CO2-C dari pemupukan urea tahunan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</si>
  <si>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</si>
  <si>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</si>
  <si>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</si>
  <si>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</si>
  <si>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</si>
  <si>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</si>
  <si>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</si>
  <si>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</si>
  <si>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</si>
  <si>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</si>
  <si>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</si>
  <si>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</si>
  <si>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</si>
  <si>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</si>
  <si>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</si>
  <si>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</si>
  <si>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</si>
  <si>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</si>
  <si>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</si>
  <si>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ekor</t>
  </si>
  <si>
    <t>Contoh populasi tahun 2005</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</si>
  <si>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</si>
  <si>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</si>
  <si>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</si>
  <si>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</si>
  <si>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</si>
  <si>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</si>
  <si>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</si>
  <si>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</si>
  <si>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</si>
  <si>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</si>
  <si>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</si>
  <si>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</si>
  <si>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</si>
  <si>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</si>
  <si>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</si>
  <si>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</si>
  <si>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</si>
  <si>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</si>
  <si>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</si>
  <si>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</si>
  <si>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</si>
  <si>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</si>
  <si>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</si>
  <si>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</si>
  <si>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</si>
  <si>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</si>
  <si>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</si>
  <si>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</si>
  <si>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</si>
  <si>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</si>
  <si>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</si>
  <si>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</si>
  <si>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</si>
  <si>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</si>
  <si>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</si>
  <si>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</si>
  <si>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</si>
  <si>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</si>
  <si>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</si>
  <si>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</si>
  <si>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</si>
  <si>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</si>
  <si>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kg</t>
  </si>
  <si>
    <t>Laju  eksreasi per hari</t>
  </si>
  <si>
    <t>kg N/1000 kg berat ternak/hari</t>
  </si>
  <si>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</si>
  <si>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</si>
  <si>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</si>
  <si>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</si>
  <si>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</si>
  <si>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</si>
  <si>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</si>
  <si>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</si>
  <si>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</si>
  <si>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</si>
  <si>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</si>
  <si>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</si>
  <si>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</si>
  <si>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</si>
  <si>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</si>
  <si>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</si>
  <si>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</si>
  <si>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</si>
  <si>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</si>
  <si>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</si>
  <si>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</si>
  <si>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</si>
  <si>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</si>
  <si>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</si>
  <si>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</si>
  <si>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</si>
  <si>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</si>
  <si>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</si>
  <si>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</si>
  <si>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</si>
  <si>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</si>
  <si>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</si>
  <si>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</si>
  <si>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</si>
  <si>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</si>
  <si>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</si>
  <si>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</si>
  <si>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</si>
  <si>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</si>
  <si>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</si>
  <si>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</si>
  <si>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</si>
  <si>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</si>
  <si>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</si>
  <si>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</si>
  <si>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</si>
  <si>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</si>
  <si>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</si>
  <si>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</si>
  <si>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</si>
  <si>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</si>
  <si>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</si>
  <si>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</si>
  <si>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</si>
  <si>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</si>
  <si>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</si>
  <si>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</si>
  <si>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</si>
  <si>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</si>
  <si>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</si>
  <si>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</si>
  <si>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</si>
  <si>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</si>
  <si>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</si>
  <si>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</si>
  <si>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</si>
  <si>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</si>
  <si>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</si>
  <si>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</si>
  <si>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</si>
  <si>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</si>
  <si>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</si>
  <si>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</si>
  <si>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</si>
  <si>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</si>
  <si>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</si>
  <si>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</si>
  <si>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</si>
  <si>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t>Sub kategori pelaporan tahunan</t>
  </si>
  <si>
    <t>Tabel 5.11</t>
  </si>
  <si>
    <t>Tabel 5.12</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</si>
  <si>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</si>
  <si>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</si>
  <si>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</si>
  <si>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</si>
  <si>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</si>
  <si>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</si>
  <si>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</si>
  <si>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</si>
  <si>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</si>
  <si>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</si>
  <si>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</si>
  <si>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</si>
  <si>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</si>
  <si>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</si>
  <si>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</si>
  <si>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</si>
  <si>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</si>
  <si>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</si>
  <si>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</si>
  <si>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</si>
  <si>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</si>
  <si>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</si>
  <si>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</si>
  <si>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</si>
  <si>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</si>
  <si>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</si>
  <si>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</si>
  <si>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</si>
  <si>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</si>
  <si>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</si>
  <si>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</si>
  <si>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</si>
  <si>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</si>
  <si>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</si>
  <si>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</si>
  <si>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</si>
  <si>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</si>
  <si>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</si>
  <si>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</si>
  <si>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</si>
  <si>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</si>
  <si>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</si>
  <si>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</si>
  <si>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</si>
  <si>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</si>
  <si>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</si>
  <si>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</si>
  <si>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</si>
  <si>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</si>
  <si>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</si>
  <si>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</si>
  <si>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</si>
  <si>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</si>
  <si>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</si>
  <si>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</si>
  <si>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</si>
  <si>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</si>
  <si>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</si>
  <si>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</si>
  <si>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</si>
  <si>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</si>
  <si>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</si>
  <si>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</si>
  <si>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</si>
  <si>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</si>
  <si>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</si>
  <si>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</si>
  <si>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</si>
  <si>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</si>
  <si>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</si>
  <si>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</si>
  <si>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</si>
  <si>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</si>
  <si>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</si>
  <si>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</si>
  <si>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</si>
  <si>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</si>
  <si>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</si>
  <si>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</si>
  <si>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</si>
  <si>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</si>
  <si>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</si>
  <si>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</si>
  <si>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</si>
  <si>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</si>
  <si>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</si>
  <si>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</si>
  <si>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</si>
  <si>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</si>
  <si>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</si>
  <si>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</si>
  <si>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</si>
  <si>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</si>
  <si>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</si>
  <si>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</si>
  <si>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</si>
  <si>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</si>
  <si>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</si>
  <si>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</si>
  <si>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</si>
  <si>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</si>
  <si>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</si>
  <si>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</si>
  <si>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</si>
  <si>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</si>
  <si>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</si>
  <si>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</si>
  <si>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</si>
  <si>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</si>
  <si>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</si>
  <si>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</si>
  <si>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</si>
  <si>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</si>
  <si>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</si>
  <si>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</si>
  <si>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</si>
  <si>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</si>
  <si>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</si>
  <si>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</si>
  <si>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</si>
  <si>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</si>
  <si>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</si>
  <si>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</si>
  <si>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</si>
  <si>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</si>
  <si>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</si>
  <si>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</si>
  <si>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</si>
  <si>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</si>
  <si>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</si>
  <si>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</si>
  <si>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</si>
  <si>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</si>
  <si>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</si>
  <si>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</si>
  <si>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</si>
  <si>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</si>
  <si>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</si>
  <si>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</si>
  <si>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</si>
  <si>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</si>
  <si>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</si>
  <si>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</si>
  <si>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</si>
  <si>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</si>
  <si>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</si>
  <si>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</si>
  <si>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</si>
  <si>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</si>
  <si>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</si>
  <si>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</si>
  <si>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</si>
  <si>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</si>
  <si>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</si>
  <si>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</si>
  <si>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</si>
  <si>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</si>
  <si>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</si>
  <si>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</si>
  <si>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</si>
  <si>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</si>
  <si>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Peternakan N2O (manure management)</t>
  </si>
  <si>
    <t>Kapur pertanian-CO2</t>
  </si>
  <si>
    <t>Pupuk Urea-CO2</t>
  </si>
  <si>
    <t>Total CH4</t>
  </si>
  <si>
    <t>ton CO2-C/tahun</t>
  </si>
  <si>
    <t>Sector</t>
  </si>
  <si>
    <t>Agriculture, Forestry and Other Land Use</t>
  </si>
  <si>
    <t>Category</t>
  </si>
  <si>
    <r>
      <t>Direct N</t>
    </r>
    <r>
      <rPr>
        <b/>
        <vertAlign val="subscript"/>
        <sz val="9"/>
        <rFont val="Arial"/>
        <family val="2"/>
      </rPr>
      <t>2</t>
    </r>
    <r>
      <rPr>
        <b/>
        <sz val="9"/>
        <rFont val="Arial"/>
        <family val="2"/>
      </rPr>
      <t>O Emissions from Managed Soils</t>
    </r>
  </si>
  <si>
    <t>Category code</t>
  </si>
  <si>
    <t>3C4</t>
  </si>
  <si>
    <t>Sheet</t>
  </si>
  <si>
    <t>1 of 2</t>
  </si>
  <si>
    <t>Equation 11.1</t>
  </si>
  <si>
    <t>Anthropogenic N input type</t>
  </si>
  <si>
    <t>Annual amount of N applied</t>
  </si>
  <si>
    <r>
      <t>Emission factor for N</t>
    </r>
    <r>
      <rPr>
        <vertAlign val="subscript"/>
        <sz val="9"/>
        <rFont val="Arial"/>
        <family val="2"/>
      </rPr>
      <t>2</t>
    </r>
    <r>
      <rPr>
        <sz val="9"/>
        <rFont val="Arial"/>
        <family val="2"/>
      </rPr>
      <t>O emissions from N inputs</t>
    </r>
  </si>
  <si>
    <r>
      <t>Annual direct N</t>
    </r>
    <r>
      <rPr>
        <vertAlign val="subscript"/>
        <sz val="9"/>
        <color indexed="8"/>
        <rFont val="Arial"/>
        <family val="2"/>
      </rPr>
      <t>2</t>
    </r>
    <r>
      <rPr>
        <sz val="9"/>
        <color indexed="8"/>
        <rFont val="Arial"/>
        <family val="2"/>
      </rPr>
      <t>O-N emissions produced from managed soils</t>
    </r>
  </si>
  <si>
    <r>
      <t>(kg N yr</t>
    </r>
    <r>
      <rPr>
        <vertAlign val="superscript"/>
        <sz val="9"/>
        <rFont val="Arial"/>
        <family val="2"/>
      </rPr>
      <t>-1</t>
    </r>
    <r>
      <rPr>
        <sz val="9"/>
        <rFont val="Arial"/>
        <family val="2"/>
      </rPr>
      <t>)</t>
    </r>
  </si>
  <si>
    <r>
      <t xml:space="preserve"> [kg N2O-N (kg N input)</t>
    </r>
    <r>
      <rPr>
        <vertAlign val="superscript"/>
        <sz val="9"/>
        <rFont val="Arial"/>
        <family val="2"/>
      </rPr>
      <t>-1</t>
    </r>
    <r>
      <rPr>
        <sz val="9"/>
        <rFont val="Arial"/>
        <family val="2"/>
      </rPr>
      <t>]</t>
    </r>
  </si>
  <si>
    <r>
      <t>(kg N</t>
    </r>
    <r>
      <rPr>
        <vertAlign val="subscript"/>
        <sz val="9"/>
        <rFont val="Arial"/>
        <family val="2"/>
      </rPr>
      <t>2</t>
    </r>
    <r>
      <rPr>
        <sz val="9"/>
        <rFont val="Arial"/>
        <family val="2"/>
      </rPr>
      <t>O-N  yr</t>
    </r>
    <r>
      <rPr>
        <vertAlign val="superscript"/>
        <sz val="9"/>
        <rFont val="Arial"/>
        <family val="2"/>
      </rPr>
      <t>-1</t>
    </r>
    <r>
      <rPr>
        <sz val="9"/>
        <rFont val="Arial"/>
        <family val="2"/>
      </rPr>
      <t>)</t>
    </r>
  </si>
  <si>
    <t>Table 11.1</t>
  </si>
  <si>
    <r>
      <t>N</t>
    </r>
    <r>
      <rPr>
        <vertAlign val="subscript"/>
        <sz val="9"/>
        <color indexed="8"/>
        <rFont val="Arial"/>
        <family val="2"/>
      </rPr>
      <t>2</t>
    </r>
    <r>
      <rPr>
        <sz val="9"/>
        <color indexed="8"/>
        <rFont val="Arial"/>
        <family val="2"/>
      </rPr>
      <t>O-N</t>
    </r>
    <r>
      <rPr>
        <vertAlign val="subscript"/>
        <sz val="9"/>
        <color indexed="8"/>
        <rFont val="Arial"/>
        <family val="2"/>
      </rPr>
      <t>N inputs</t>
    </r>
    <r>
      <rPr>
        <sz val="9"/>
        <color indexed="8"/>
        <rFont val="Arial"/>
        <family val="2"/>
      </rPr>
      <t xml:space="preserve"> = F * EF</t>
    </r>
  </si>
  <si>
    <t>F</t>
  </si>
  <si>
    <r>
      <t>N</t>
    </r>
    <r>
      <rPr>
        <b/>
        <vertAlign val="subscript"/>
        <sz val="9"/>
        <color indexed="8"/>
        <rFont val="Arial"/>
        <family val="2"/>
      </rPr>
      <t>2</t>
    </r>
    <r>
      <rPr>
        <b/>
        <sz val="9"/>
        <color indexed="8"/>
        <rFont val="Arial"/>
        <family val="2"/>
      </rPr>
      <t>O-N</t>
    </r>
    <r>
      <rPr>
        <b/>
        <vertAlign val="subscript"/>
        <sz val="9"/>
        <color indexed="8"/>
        <rFont val="Arial"/>
        <family val="2"/>
      </rPr>
      <t>N inputs</t>
    </r>
  </si>
  <si>
    <r>
      <t>Anthropogenic N input types to estimate annual direct N</t>
    </r>
    <r>
      <rPr>
        <vertAlign val="subscript"/>
        <sz val="9"/>
        <rFont val="Arial"/>
        <family val="2"/>
      </rPr>
      <t>2</t>
    </r>
    <r>
      <rPr>
        <sz val="9"/>
        <rFont val="Arial"/>
        <family val="2"/>
      </rPr>
      <t>O-N emissions produced from managed soils</t>
    </r>
  </si>
  <si>
    <t>synthetic fertilizers</t>
  </si>
  <si>
    <r>
      <t>F</t>
    </r>
    <r>
      <rPr>
        <vertAlign val="subscript"/>
        <sz val="9"/>
        <rFont val="Arial"/>
        <family val="2"/>
      </rPr>
      <t>SN</t>
    </r>
    <r>
      <rPr>
        <sz val="9"/>
        <rFont val="Arial"/>
        <family val="2"/>
      </rPr>
      <t>: N in synthetic fertilizers</t>
    </r>
  </si>
  <si>
    <r>
      <t>EF</t>
    </r>
    <r>
      <rPr>
        <vertAlign val="subscript"/>
        <sz val="9"/>
        <rFont val="Arial"/>
        <family val="2"/>
      </rPr>
      <t>1</t>
    </r>
  </si>
  <si>
    <t>animal manure, compost, sewage sludge</t>
  </si>
  <si>
    <r>
      <t>F</t>
    </r>
    <r>
      <rPr>
        <vertAlign val="subscript"/>
        <sz val="9"/>
        <rFont val="Arial"/>
        <family val="2"/>
      </rPr>
      <t>ON</t>
    </r>
    <r>
      <rPr>
        <sz val="9"/>
        <rFont val="Arial"/>
        <family val="2"/>
      </rPr>
      <t>: N in animal manure, compost, sewage sludge, other</t>
    </r>
  </si>
  <si>
    <r>
      <t>Anthropogenic N input types to estimate annual direct N</t>
    </r>
    <r>
      <rPr>
        <vertAlign val="subscript"/>
        <sz val="9"/>
        <rFont val="Arial"/>
        <family val="2"/>
      </rPr>
      <t>2</t>
    </r>
    <r>
      <rPr>
        <sz val="9"/>
        <rFont val="Arial"/>
        <family val="2"/>
      </rPr>
      <t>O-N emissions produced from flooded rice</t>
    </r>
  </si>
  <si>
    <r>
      <t>EF</t>
    </r>
    <r>
      <rPr>
        <vertAlign val="subscript"/>
        <sz val="9"/>
        <rFont val="Arial"/>
        <family val="2"/>
      </rPr>
      <t>1FR</t>
    </r>
  </si>
  <si>
    <t>Keterangan :</t>
  </si>
  <si>
    <t>Wajib Diisi</t>
  </si>
  <si>
    <t>Expert Judgement</t>
  </si>
  <si>
    <t>Default IPCC</t>
  </si>
  <si>
    <t>Perhitungan Pupuk mengandung N</t>
  </si>
  <si>
    <t>Jika data tersedia dalam satuan berat tertentu</t>
  </si>
  <si>
    <t>Perhitungan pupuk mengandung N</t>
  </si>
  <si>
    <t>Jika data tidak tersedia, maka bisa dihitung berdasarkan luasan pertanaman dan dosis rekomendasi</t>
  </si>
  <si>
    <t>Luas pertanaman</t>
  </si>
  <si>
    <t>palawija</t>
  </si>
  <si>
    <t>hortikultura</t>
  </si>
  <si>
    <t>perkebunan (sawit)</t>
  </si>
  <si>
    <t>Dosis rekomendasi</t>
  </si>
  <si>
    <t>Direct N2O</t>
  </si>
  <si>
    <t>Peternakan CH4 (entetik dan manure)</t>
  </si>
  <si>
    <t>Tahun</t>
  </si>
  <si>
    <t>dst</t>
  </si>
  <si>
    <t>Padi sawah</t>
  </si>
  <si>
    <t>Padi ladang</t>
  </si>
  <si>
    <t>Padi (sawah)</t>
  </si>
  <si>
    <t>padi ladang</t>
  </si>
  <si>
    <t>Luas Panen/tanam Tahunan</t>
  </si>
  <si>
    <t>Musim tanam dalam setahun (IP)</t>
  </si>
  <si>
    <t>(Kg CH4/ha/musim)</t>
  </si>
  <si>
    <t>Sapi Potong</t>
  </si>
  <si>
    <t>Sapi Perah</t>
  </si>
  <si>
    <t>Ayam kampung(buras)</t>
  </si>
  <si>
    <t>Ayam Petelur</t>
  </si>
  <si>
    <t>Ayam Pedaging (raspotong)</t>
  </si>
  <si>
    <t>Populasi Ternak</t>
  </si>
  <si>
    <t>Rekapitulasi Emisi GRK</t>
  </si>
  <si>
    <t>TOTAL</t>
  </si>
  <si>
    <t>(ribu ekor)</t>
  </si>
  <si>
    <t>TAM (rata2 berat)</t>
  </si>
  <si>
    <t>Konsumsi Urea (ton)*)</t>
  </si>
  <si>
    <r>
      <t>Frac</t>
    </r>
    <r>
      <rPr>
        <vertAlign val="subscript"/>
        <sz val="11"/>
        <color indexed="8"/>
        <rFont val="Calibri"/>
        <family val="2"/>
      </rPr>
      <t>(GasMS</t>
    </r>
    <r>
      <rPr>
        <sz val="11"/>
        <color theme="1"/>
        <rFont val="Calibri"/>
        <family val="2"/>
        <charset val="1"/>
        <scheme val="minor"/>
      </rPr>
      <t>) solid storage</t>
    </r>
  </si>
  <si>
    <t>sawah irigasi</t>
  </si>
  <si>
    <t>sawah non irigasi</t>
  </si>
  <si>
    <t>LUAS SAWAH</t>
  </si>
  <si>
    <t>LUAS PANEN SAWAH</t>
  </si>
  <si>
    <t>Sawah irigasi</t>
  </si>
  <si>
    <t>Sawah non irigasi</t>
  </si>
  <si>
    <t>total</t>
  </si>
  <si>
    <t>DATA</t>
  </si>
  <si>
    <t xml:space="preserve">dari fermentasi enterik dan kotoran ternak </t>
  </si>
  <si>
    <t>Tujuan</t>
  </si>
  <si>
    <t>Sasaran</t>
  </si>
  <si>
    <t>Indikator sasaran</t>
  </si>
  <si>
    <t xml:space="preserve">Meningkatnya kualitas dan 
ketersediaan sumberdaya
pertanian </t>
  </si>
  <si>
    <t xml:space="preserve">Tersedianya
Sarana
Prasarana
Pertanian </t>
  </si>
  <si>
    <t>Jumlah
jaringan irigasi
yang diperbaiki</t>
  </si>
  <si>
    <t xml:space="preserve">Meningkatny
a Kualitas
Sumberdaya
Manusia 
Pertanian </t>
  </si>
  <si>
    <t>Lahan sawah irigasi</t>
  </si>
  <si>
    <t>Lahan sawah non irigasi</t>
  </si>
  <si>
    <t>(ekor)</t>
  </si>
  <si>
    <t>lahan pertanian tanaman kering</t>
  </si>
  <si>
    <t>lahan kering tidak diusahakan</t>
  </si>
  <si>
    <t>Total luas lahan sawah</t>
  </si>
  <si>
    <t>Total lahan kering produktif</t>
  </si>
  <si>
    <t xml:space="preserve">TOTAL LAHAN PERTANIAN PRODUKTIF KERING+ BASAH </t>
  </si>
  <si>
    <t>prosentase luas lahan pertanian utk perhitungan pemakaian pupuk</t>
  </si>
  <si>
    <t>tahun</t>
  </si>
  <si>
    <t>DATA PEMAKAIAN PUPUK</t>
  </si>
  <si>
    <t>proyeksi menggunkan pola logaritmik</t>
  </si>
  <si>
    <t>sp36</t>
  </si>
  <si>
    <t>UREA</t>
  </si>
  <si>
    <t xml:space="preserve"> ZA</t>
  </si>
  <si>
    <t>TAHUN</t>
  </si>
  <si>
    <t>Kandungan N DARI LAHAN KERING</t>
  </si>
  <si>
    <t>PERHITUNGAN UNTUK LAHAN SAWAH</t>
  </si>
  <si>
    <t>GABUNGAN</t>
  </si>
  <si>
    <t>Konsumsi pupuk DI LAHAN SAWAH (ton)</t>
  </si>
  <si>
    <t>Konsumsi pupuk DI LAHAN KERING (ton)</t>
  </si>
  <si>
    <t>total (kg N/tahun)</t>
  </si>
  <si>
    <t xml:space="preserve">Kandungan N DARI LAHAN SAWAH </t>
  </si>
  <si>
    <t>Emisi Langsung N2O dari pemakaian pupuk Sintetis di lahan kering</t>
  </si>
  <si>
    <t>Emisi Langsung N2O dari pemakaian pupuk Sintetis di lahan sawah</t>
  </si>
  <si>
    <t>N2O Langsung dari pemakaian pupuk sintetis</t>
  </si>
  <si>
    <t>N2O Langsung  dari pemakaian pupuk sintetis</t>
  </si>
  <si>
    <r>
      <t>Emisi CH</t>
    </r>
    <r>
      <rPr>
        <b/>
        <vertAlign val="subscript"/>
        <sz val="11"/>
        <color indexed="8"/>
        <rFont val="Calibri"/>
        <family val="2"/>
      </rPr>
      <t>4</t>
    </r>
    <r>
      <rPr>
        <b/>
        <sz val="11"/>
        <color theme="1"/>
        <rFont val="Calibri"/>
        <family val="2"/>
        <scheme val="minor"/>
      </rPr>
      <t xml:space="preserve"> tahunan dari lahan padi sawah irigasi</t>
    </r>
  </si>
  <si>
    <r>
      <t>Emisi CH</t>
    </r>
    <r>
      <rPr>
        <b/>
        <vertAlign val="subscript"/>
        <sz val="11"/>
        <color indexed="8"/>
        <rFont val="Calibri"/>
        <family val="2"/>
      </rPr>
      <t>4</t>
    </r>
    <r>
      <rPr>
        <b/>
        <sz val="11"/>
        <color theme="1"/>
        <rFont val="Calibri"/>
        <family val="2"/>
        <scheme val="minor"/>
      </rPr>
      <t xml:space="preserve"> tahunan dari lahan padi sawah non irigasi</t>
    </r>
  </si>
  <si>
    <t>N2O Langsung dari pemakaian pupuk organik</t>
  </si>
  <si>
    <t>Luas tanam Tahunan</t>
  </si>
  <si>
    <t>Tanaman pangan</t>
  </si>
  <si>
    <t>Prosentase lahan sawah</t>
  </si>
  <si>
    <t xml:space="preserve">Prosentase lahan pertanian kering  </t>
  </si>
  <si>
    <t>prosentase pupuk yang diaplikasikan di LAHAN SAWAH SAJA</t>
  </si>
  <si>
    <t>prosentase pupuk yang diaplikasikan di LAHAN KERING SAJA</t>
  </si>
  <si>
    <t>Urea (Kandungan Nitrogennya : 46%)</t>
  </si>
  <si>
    <t>NPK (Kandungan Nitrogennya : 15%)</t>
  </si>
  <si>
    <t>ZA (Kandungan Nitrogennya : 21%)</t>
  </si>
  <si>
    <t xml:space="preserve">Catatan : </t>
  </si>
  <si>
    <t>Hortikultura sayur</t>
  </si>
  <si>
    <t>Hortikultura buah</t>
  </si>
  <si>
    <t>HORTIKULTURA BUAH</t>
  </si>
  <si>
    <t>KOMODITAS</t>
  </si>
  <si>
    <t>satuan</t>
  </si>
  <si>
    <t>Luas lahan panen</t>
  </si>
  <si>
    <t>Alpukat</t>
  </si>
  <si>
    <t>Ha</t>
  </si>
  <si>
    <t>Durian</t>
  </si>
  <si>
    <t>Jambu Air</t>
  </si>
  <si>
    <t>Jambu Biji</t>
  </si>
  <si>
    <t>Mangga</t>
  </si>
  <si>
    <t>Manggis</t>
  </si>
  <si>
    <t>Nangka / Cempedak</t>
  </si>
  <si>
    <t>Pisang</t>
  </si>
  <si>
    <t>Rambutan</t>
  </si>
  <si>
    <t>Salak</t>
  </si>
  <si>
    <t>Bawang Daun</t>
  </si>
  <si>
    <t>Bawang Merah</t>
  </si>
  <si>
    <t>Buncis</t>
  </si>
  <si>
    <t>Cabe</t>
  </si>
  <si>
    <t>Kacang Panjang</t>
  </si>
  <si>
    <t>Kentang</t>
  </si>
  <si>
    <t>Ketimun</t>
  </si>
  <si>
    <t>Kol / Kubis</t>
  </si>
  <si>
    <t>Petsai / Sawi</t>
  </si>
  <si>
    <t>Tomat</t>
  </si>
  <si>
    <t>TANAMAN PANGAN (selain PADI SAWAH)</t>
  </si>
  <si>
    <t xml:space="preserve">Komodti </t>
  </si>
  <si>
    <t>Jagung</t>
  </si>
  <si>
    <t>  Ha</t>
  </si>
  <si>
    <t>Kacang Hijau</t>
  </si>
  <si>
    <t>Kacang Tanah</t>
  </si>
  <si>
    <t>Kedelai</t>
  </si>
  <si>
    <t>Padi Ladang</t>
  </si>
  <si>
    <t>Ubijalar</t>
  </si>
  <si>
    <t>Total pangan</t>
  </si>
  <si>
    <t>Sub sektor</t>
  </si>
  <si>
    <t>Pangan</t>
  </si>
  <si>
    <t>Padi</t>
  </si>
  <si>
    <t xml:space="preserve">   Padi Ladang</t>
  </si>
  <si>
    <t xml:space="preserve">   Padi Sawah</t>
  </si>
  <si>
    <t>HORTIKULTURA SAYUR</t>
  </si>
  <si>
    <t>HORTI BUAH</t>
  </si>
  <si>
    <t>HORTI SAYUR</t>
  </si>
  <si>
    <t>PANGAN</t>
  </si>
  <si>
    <t xml:space="preserve">Sumber : Kementrian Pertanian </t>
  </si>
  <si>
    <t>pertanian.go.id</t>
  </si>
  <si>
    <t>Note: bu, data padi sawah pakai yg ini atau tetap yg data dari ibu (sawah irigasi, non irigasi)? Soalnya luasnya berbeda jauh bu (sheet "data")</t>
  </si>
  <si>
    <t>(Ribu ton CH4/th)</t>
  </si>
  <si>
    <r>
      <t>(Ribu Ton CH</t>
    </r>
    <r>
      <rPr>
        <vertAlign val="subscript"/>
        <sz val="11"/>
        <color indexed="8"/>
        <rFont val="Calibri"/>
        <family val="2"/>
      </rPr>
      <t>4</t>
    </r>
    <r>
      <rPr>
        <sz val="11"/>
        <color theme="1"/>
        <rFont val="Calibri"/>
        <family val="2"/>
        <charset val="1"/>
        <scheme val="minor"/>
      </rPr>
      <t>/th)</t>
    </r>
  </si>
  <si>
    <t>organik</t>
  </si>
  <si>
    <t>Organik</t>
  </si>
  <si>
    <t>hasil proyeksi negatif</t>
  </si>
  <si>
    <t>data minus hasil proyeksi</t>
  </si>
  <si>
    <t>SUDAH DIEDIT PUTRI</t>
  </si>
  <si>
    <t>Data hewan babi 2025-2030 hasilnya minus (dari proyeksi)</t>
  </si>
  <si>
    <t>jadi ada hasil yg negatif u/ hewan babi (2025-2030)</t>
  </si>
  <si>
    <t>Ribu Ton N2O/th</t>
  </si>
  <si>
    <t>Ribu Ton CH4/tahun</t>
  </si>
  <si>
    <t>Ribu Ton N2O/tahun</t>
  </si>
  <si>
    <t>Ribu Ton CO2-C/tahun</t>
  </si>
  <si>
    <t>Ribu Ton N/tahun</t>
  </si>
  <si>
    <t>ORGANIK (KANDUNGAN NITROGEN = 20%)</t>
  </si>
  <si>
    <t>ORGANIK</t>
  </si>
  <si>
    <t>total (Ribu ton N/tahun)</t>
  </si>
  <si>
    <r>
      <t>(Ribu Ton  N</t>
    </r>
    <r>
      <rPr>
        <vertAlign val="subscript"/>
        <sz val="9"/>
        <rFont val="Arial"/>
        <family val="2"/>
      </rPr>
      <t>2</t>
    </r>
    <r>
      <rPr>
        <sz val="9"/>
        <rFont val="Arial"/>
        <family val="2"/>
      </rPr>
      <t>O-N  yr</t>
    </r>
    <r>
      <rPr>
        <vertAlign val="superscript"/>
        <sz val="9"/>
        <rFont val="Arial"/>
        <family val="2"/>
      </rPr>
      <t>-1</t>
    </r>
    <r>
      <rPr>
        <sz val="9"/>
        <rFont val="Arial"/>
        <family val="2"/>
      </rPr>
      <t>)</t>
    </r>
  </si>
  <si>
    <r>
      <t>(Ribu ton  N</t>
    </r>
    <r>
      <rPr>
        <vertAlign val="subscript"/>
        <sz val="9"/>
        <rFont val="Arial"/>
        <family val="2"/>
      </rPr>
      <t>2</t>
    </r>
    <r>
      <rPr>
        <sz val="9"/>
        <rFont val="Arial"/>
        <family val="2"/>
      </rPr>
      <t>O-N  yr</t>
    </r>
    <r>
      <rPr>
        <vertAlign val="superscript"/>
        <sz val="9"/>
        <rFont val="Arial"/>
        <family val="2"/>
      </rPr>
      <t>-1</t>
    </r>
    <r>
      <rPr>
        <sz val="9"/>
        <rFont val="Arial"/>
        <family val="2"/>
      </rPr>
      <t>)</t>
    </r>
  </si>
  <si>
    <t>Emisi Langsung N2O dari pemakaian pupuk Sintetis  (sawah+kering)</t>
  </si>
  <si>
    <t>Kg  N/tahun)</t>
  </si>
  <si>
    <t>Emisi Langsung N2O dari pemakaian pupuk organik di lahan kering</t>
  </si>
  <si>
    <t>Ribu Ton N2O-N /tahun</t>
  </si>
  <si>
    <t>animal manure</t>
  </si>
  <si>
    <t>synthetic fertilizer</t>
  </si>
  <si>
    <t>Emisi BaU Baseline (Ribu ton CO2 e)</t>
  </si>
  <si>
    <t>Ribu ton  CO2 eq/tahun</t>
  </si>
  <si>
    <t>Ribu ton C)2 eq</t>
  </si>
  <si>
    <t>Rekapitulasi Emisi CO2 tahunan dari lahan padi sawah irigasi dan non irigasi</t>
  </si>
  <si>
    <t>(Ribu ton CO2 eq/tahun)</t>
  </si>
  <si>
    <r>
      <t>(Ribu Ton  CO2 eq  yr</t>
    </r>
    <r>
      <rPr>
        <vertAlign val="superscript"/>
        <sz val="9"/>
        <rFont val="Arial"/>
        <family val="2"/>
      </rPr>
      <t>-1</t>
    </r>
    <r>
      <rPr>
        <sz val="9"/>
        <rFont val="Arial"/>
        <family val="2"/>
      </rPr>
      <t>)</t>
    </r>
  </si>
  <si>
    <t>(Ribu Ton  CO2 eq /th</t>
  </si>
  <si>
    <t>Ribu Ton  N2O-N /th</t>
  </si>
  <si>
    <t xml:space="preserve">   </t>
  </si>
</sst>
</file>

<file path=xl/styles.xml><?xml version="1.0" encoding="utf-8"?>
<styleSheet xmlns="http://schemas.openxmlformats.org/spreadsheetml/2006/main">
  <numFmts count="10">
    <numFmt numFmtId="41" formatCode="_(* #,##0_);_(* \(#,##0\);_(* &quot;-&quot;_);_(@_)"/>
    <numFmt numFmtId="43" formatCode="_(* #,##0.00_);_(* \(#,##0.00\);_(* &quot;-&quot;??_);_(@_)"/>
    <numFmt numFmtId="164" formatCode="_(* #,##0_);_(* \(#,##0\);_(* &quot;-&quot;??_);_(@_)"/>
    <numFmt numFmtId="165" formatCode="_(* #,##0.000_);_(* \(#,##0.000\);_(* &quot;-&quot;??_);_(@_)"/>
    <numFmt numFmtId="166" formatCode="0.000"/>
    <numFmt numFmtId="167" formatCode="0.0"/>
    <numFmt numFmtId="168" formatCode="#,##0.0"/>
    <numFmt numFmtId="169" formatCode="_-* #,##0_-;\-* #,##0_-;_-* &quot;-&quot;??_-;_-@_-"/>
    <numFmt numFmtId="170" formatCode="#,##0.0000_);\(#,##0.0000\)"/>
    <numFmt numFmtId="171" formatCode="_(* #,##0.0_);_(* \(#,##0.0\);_(* &quot;-&quot;??_);_(@_)"/>
  </numFmts>
  <fonts count="52">
    <font>
      <sz val="11"/>
      <color theme="1"/>
      <name val="Calibri"/>
      <family val="2"/>
      <charset val="1"/>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b/>
      <sz val="9"/>
      <name val="Arial"/>
      <family val="2"/>
    </font>
    <font>
      <b/>
      <vertAlign val="subscript"/>
      <sz val="9"/>
      <name val="Arial"/>
      <family val="2"/>
    </font>
    <font>
      <sz val="9"/>
      <name val="Arial"/>
      <family val="2"/>
    </font>
    <font>
      <vertAlign val="subscript"/>
      <sz val="9"/>
      <name val="Arial"/>
      <family val="2"/>
    </font>
    <font>
      <vertAlign val="subscript"/>
      <sz val="9"/>
      <color indexed="8"/>
      <name val="Arial"/>
      <family val="2"/>
    </font>
    <font>
      <sz val="9"/>
      <color indexed="8"/>
      <name val="Arial"/>
      <family val="2"/>
    </font>
    <font>
      <vertAlign val="superscript"/>
      <sz val="9"/>
      <name val="Arial"/>
      <family val="2"/>
    </font>
    <font>
      <b/>
      <vertAlign val="subscript"/>
      <sz val="9"/>
      <color indexed="8"/>
      <name val="Arial"/>
      <family val="2"/>
    </font>
    <font>
      <b/>
      <sz val="9"/>
      <color indexed="8"/>
      <name val="Arial"/>
      <family val="2"/>
    </font>
    <font>
      <u/>
      <sz val="8"/>
      <color theme="10"/>
      <name val="Arial"/>
      <family val="2"/>
    </font>
    <font>
      <u/>
      <sz val="10"/>
      <name val="Arial"/>
      <family val="2"/>
    </font>
    <font>
      <sz val="11"/>
      <color theme="0"/>
      <name val="Calibri"/>
      <family val="2"/>
      <charset val="1"/>
      <scheme val="minor"/>
    </font>
    <font>
      <b/>
      <sz val="11"/>
      <color theme="0"/>
      <name val="Calibri"/>
      <family val="2"/>
      <charset val="1"/>
    </font>
    <font>
      <sz val="9"/>
      <color theme="1"/>
      <name val="Calibri"/>
      <family val="2"/>
      <scheme val="minor"/>
    </font>
    <font>
      <b/>
      <sz val="9"/>
      <color theme="1"/>
      <name val="Calibri"/>
      <family val="2"/>
      <scheme val="minor"/>
    </font>
    <font>
      <sz val="11"/>
      <name val="Calibri"/>
      <family val="2"/>
      <scheme val="minor"/>
    </font>
    <font>
      <sz val="11"/>
      <color theme="0"/>
      <name val="Calibri"/>
      <family val="2"/>
      <scheme val="minor"/>
    </font>
    <font>
      <sz val="9"/>
      <name val="Calibri"/>
      <family val="2"/>
      <scheme val="minor"/>
    </font>
    <font>
      <sz val="16"/>
      <color theme="1"/>
      <name val="Calibri"/>
      <family val="2"/>
      <charset val="1"/>
      <scheme val="minor"/>
    </font>
    <font>
      <sz val="12"/>
      <color theme="1"/>
      <name val="Calibri"/>
      <family val="2"/>
      <scheme val="minor"/>
    </font>
    <font>
      <b/>
      <u/>
      <sz val="18"/>
      <color theme="0"/>
      <name val="Calibri"/>
      <family val="2"/>
      <charset val="1"/>
      <scheme val="minor"/>
    </font>
    <font>
      <sz val="14"/>
      <color theme="0"/>
      <name val="Calibri"/>
      <family val="2"/>
      <scheme val="minor"/>
    </font>
    <font>
      <b/>
      <sz val="11"/>
      <name val="Calibri"/>
      <family val="2"/>
      <scheme val="minor"/>
    </font>
    <font>
      <b/>
      <sz val="12"/>
      <color theme="1"/>
      <name val="Cambria"/>
      <family val="1"/>
    </font>
    <font>
      <b/>
      <sz val="16"/>
      <name val="Arial"/>
      <family val="2"/>
    </font>
    <font>
      <b/>
      <vertAlign val="subscript"/>
      <sz val="11"/>
      <color indexed="8"/>
      <name val="Calibri"/>
      <family val="2"/>
    </font>
    <font>
      <sz val="11"/>
      <color rgb="FFFFC000"/>
      <name val="Calibri"/>
      <family val="2"/>
      <charset val="1"/>
      <scheme val="minor"/>
    </font>
    <font>
      <sz val="12"/>
      <color theme="1"/>
      <name val="Calibri"/>
      <family val="2"/>
      <charset val="1"/>
      <scheme val="minor"/>
    </font>
    <font>
      <b/>
      <sz val="11"/>
      <color theme="1"/>
      <name val="Calibri"/>
      <family val="2"/>
      <charset val="1"/>
      <scheme val="minor"/>
    </font>
  </fonts>
  <fills count="24">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2E2E2"/>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56">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s>
  <cellStyleXfs count="8">
    <xf numFmtId="0" fontId="0" fillId="0" borderId="0"/>
    <xf numFmtId="43" fontId="16"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0" fontId="10" fillId="0" borderId="0"/>
    <xf numFmtId="0" fontId="32" fillId="0" borderId="0" applyNumberFormat="0" applyFill="0" applyBorder="0" applyAlignment="0" applyProtection="0">
      <alignment vertical="top"/>
      <protection locked="0"/>
    </xf>
    <xf numFmtId="41" fontId="17" fillId="0" borderId="0" applyFont="0" applyFill="0" applyBorder="0" applyAlignment="0" applyProtection="0"/>
  </cellStyleXfs>
  <cellXfs count="59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7" xfId="0" applyBorder="1" applyAlignment="1">
      <alignment horizontal="center"/>
    </xf>
    <xf numFmtId="0" fontId="0" fillId="0" borderId="7" xfId="0" applyBorder="1"/>
    <xf numFmtId="0" fontId="0" fillId="0" borderId="9" xfId="0" applyBorder="1" applyAlignment="1">
      <alignment horizontal="center"/>
    </xf>
    <xf numFmtId="0" fontId="0" fillId="0" borderId="9" xfId="0" applyBorder="1"/>
    <xf numFmtId="0" fontId="0" fillId="0" borderId="10" xfId="0" applyBorder="1"/>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applyAlignment="1">
      <alignment horizontal="center"/>
    </xf>
    <xf numFmtId="0" fontId="0" fillId="0" borderId="13" xfId="0" applyBorder="1"/>
    <xf numFmtId="0" fontId="18" fillId="0" borderId="0" xfId="3" applyFont="1"/>
    <xf numFmtId="0" fontId="17" fillId="0" borderId="0" xfId="3"/>
    <xf numFmtId="0" fontId="17" fillId="0" borderId="0" xfId="3" applyAlignment="1">
      <alignment horizontal="center"/>
    </xf>
    <xf numFmtId="0" fontId="18" fillId="0" borderId="0" xfId="3" applyFont="1" applyAlignment="1">
      <alignment horizontal="center" vertical="center"/>
    </xf>
    <xf numFmtId="0" fontId="18" fillId="0" borderId="0" xfId="3" applyFont="1" applyAlignment="1">
      <alignment horizontal="center" vertical="center" wrapText="1"/>
    </xf>
    <xf numFmtId="0" fontId="17" fillId="0" borderId="0" xfId="3" applyAlignment="1">
      <alignment horizontal="center" vertical="center"/>
    </xf>
    <xf numFmtId="164" fontId="17" fillId="0" borderId="0" xfId="3" applyNumberFormat="1"/>
    <xf numFmtId="165" fontId="17" fillId="0" borderId="0" xfId="3" applyNumberFormat="1"/>
    <xf numFmtId="0" fontId="17" fillId="0" borderId="0" xfId="3" applyAlignment="1">
      <alignment horizontal="left" vertical="center"/>
    </xf>
    <xf numFmtId="164" fontId="17" fillId="0" borderId="0" xfId="2" applyNumberFormat="1" applyFont="1"/>
    <xf numFmtId="2" fontId="0" fillId="0" borderId="9" xfId="0" applyNumberFormat="1" applyBorder="1"/>
    <xf numFmtId="164" fontId="0" fillId="0" borderId="7" xfId="0" applyNumberFormat="1" applyBorder="1"/>
    <xf numFmtId="164" fontId="0" fillId="5" borderId="8" xfId="0" applyNumberFormat="1" applyFill="1" applyBorder="1"/>
    <xf numFmtId="0" fontId="17" fillId="5" borderId="6" xfId="3" applyFill="1" applyBorder="1"/>
    <xf numFmtId="0" fontId="19" fillId="5" borderId="12" xfId="0" applyFont="1" applyFill="1" applyBorder="1" applyAlignment="1">
      <alignment horizontal="center"/>
    </xf>
    <xf numFmtId="0" fontId="19" fillId="5" borderId="14" xfId="0" applyFont="1" applyFill="1" applyBorder="1" applyAlignment="1">
      <alignment horizontal="center"/>
    </xf>
    <xf numFmtId="0" fontId="19" fillId="5" borderId="15"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0" fillId="0" borderId="0" xfId="3" applyFont="1"/>
    <xf numFmtId="0" fontId="17" fillId="0" borderId="16" xfId="3" applyBorder="1"/>
    <xf numFmtId="0" fontId="17" fillId="0" borderId="17" xfId="3" applyBorder="1" applyAlignment="1">
      <alignment horizontal="center"/>
    </xf>
    <xf numFmtId="0" fontId="17" fillId="0" borderId="18" xfId="3" applyBorder="1"/>
    <xf numFmtId="0" fontId="17" fillId="0" borderId="19" xfId="3" applyBorder="1" applyAlignment="1">
      <alignment horizontal="center"/>
    </xf>
    <xf numFmtId="0" fontId="17" fillId="0" borderId="20" xfId="3" applyBorder="1"/>
    <xf numFmtId="0" fontId="17" fillId="0" borderId="21" xfId="3" applyBorder="1"/>
    <xf numFmtId="0" fontId="17" fillId="0" borderId="22" xfId="3" applyBorder="1" applyAlignment="1">
      <alignment horizontal="center"/>
    </xf>
    <xf numFmtId="0" fontId="17" fillId="0" borderId="23" xfId="3" applyBorder="1"/>
    <xf numFmtId="0" fontId="17" fillId="0" borderId="24" xfId="3" applyBorder="1"/>
    <xf numFmtId="0" fontId="18" fillId="0" borderId="25" xfId="3" applyFont="1" applyBorder="1" applyAlignment="1">
      <alignment horizontal="center" vertical="center" wrapText="1"/>
    </xf>
    <xf numFmtId="0" fontId="18" fillId="0" borderId="26" xfId="3" applyFont="1" applyBorder="1" applyAlignment="1">
      <alignment horizontal="center" vertical="center" wrapText="1"/>
    </xf>
    <xf numFmtId="0" fontId="18" fillId="0" borderId="27" xfId="3" applyFont="1" applyBorder="1" applyAlignment="1">
      <alignment horizontal="center" vertical="center" wrapText="1"/>
    </xf>
    <xf numFmtId="0" fontId="0" fillId="0" borderId="16" xfId="0" applyBorder="1"/>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xf numFmtId="0" fontId="0" fillId="0" borderId="21" xfId="0" applyBorder="1"/>
    <xf numFmtId="0" fontId="0" fillId="0" borderId="22" xfId="0" applyBorder="1" applyAlignment="1">
      <alignment horizontal="center"/>
    </xf>
    <xf numFmtId="0" fontId="0" fillId="0" borderId="23" xfId="0" applyBorder="1"/>
    <xf numFmtId="0" fontId="0" fillId="0" borderId="24" xfId="0" applyBorder="1"/>
    <xf numFmtId="0" fontId="18" fillId="0" borderId="25" xfId="0" applyFont="1" applyBorder="1" applyAlignment="1">
      <alignment horizontal="center" vertical="center"/>
    </xf>
    <xf numFmtId="0" fontId="18" fillId="0" borderId="26" xfId="0" applyFont="1" applyBorder="1" applyAlignment="1">
      <alignment horizontal="center" vertical="center" wrapText="1"/>
    </xf>
    <xf numFmtId="0" fontId="18" fillId="0" borderId="27"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9" fillId="5" borderId="28" xfId="0" applyFont="1" applyFill="1" applyBorder="1" applyAlignment="1"/>
    <xf numFmtId="0" fontId="0" fillId="4" borderId="29" xfId="0" applyFill="1" applyBorder="1" applyAlignment="1">
      <alignment horizontal="center"/>
    </xf>
    <xf numFmtId="0" fontId="0" fillId="0" borderId="9" xfId="0" applyFill="1" applyBorder="1" applyAlignment="1">
      <alignment horizontal="center"/>
    </xf>
    <xf numFmtId="0" fontId="0" fillId="0" borderId="9" xfId="0" applyFill="1" applyBorder="1" applyAlignment="1">
      <alignment horizontal="center" wrapText="1"/>
    </xf>
    <xf numFmtId="0" fontId="17" fillId="0" borderId="7" xfId="3" applyBorder="1"/>
    <xf numFmtId="0" fontId="0" fillId="0" borderId="0" xfId="0" applyAlignment="1">
      <alignment horizontal="left"/>
    </xf>
    <xf numFmtId="164" fontId="16" fillId="0" borderId="9" xfId="1" applyNumberFormat="1" applyFont="1" applyBorder="1"/>
    <xf numFmtId="2" fontId="0" fillId="0" borderId="0" xfId="0" applyNumberFormat="1"/>
    <xf numFmtId="164" fontId="16" fillId="0" borderId="1" xfId="1" applyNumberFormat="1" applyFont="1" applyBorder="1"/>
    <xf numFmtId="164"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18" fillId="0" borderId="7" xfId="0" applyFont="1" applyBorder="1" applyAlignment="1">
      <alignment horizontal="center"/>
    </xf>
    <xf numFmtId="164" fontId="0" fillId="0" borderId="7" xfId="0" applyNumberFormat="1" applyFill="1" applyBorder="1"/>
    <xf numFmtId="43" fontId="16" fillId="0" borderId="7" xfId="1" applyNumberFormat="1" applyFont="1" applyBorder="1"/>
    <xf numFmtId="0" fontId="0" fillId="0" borderId="30" xfId="0" applyBorder="1"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18" fillId="0" borderId="1" xfId="0" applyFont="1" applyBorder="1" applyAlignment="1">
      <alignment horizontal="center"/>
    </xf>
    <xf numFmtId="0" fontId="0" fillId="0" borderId="30" xfId="0" applyBorder="1"/>
    <xf numFmtId="2" fontId="0" fillId="5" borderId="31" xfId="0" applyNumberFormat="1" applyFill="1" applyBorder="1"/>
    <xf numFmtId="1" fontId="0" fillId="6" borderId="30" xfId="0" applyNumberFormat="1" applyFill="1" applyBorder="1"/>
    <xf numFmtId="0" fontId="0" fillId="5" borderId="8" xfId="0" applyFill="1" applyBorder="1"/>
    <xf numFmtId="2" fontId="0" fillId="0" borderId="10" xfId="0" applyNumberFormat="1" applyFill="1" applyBorder="1"/>
    <xf numFmtId="164" fontId="0" fillId="0" borderId="8" xfId="0" applyNumberFormat="1" applyFill="1" applyBorder="1"/>
    <xf numFmtId="0" fontId="5" fillId="0" borderId="0" xfId="3" applyFont="1"/>
    <xf numFmtId="0" fontId="7" fillId="3" borderId="32" xfId="3" applyFont="1" applyFill="1" applyBorder="1" applyAlignment="1">
      <alignment horizontal="center" vertical="center"/>
    </xf>
    <xf numFmtId="0" fontId="7" fillId="3" borderId="32" xfId="3" applyFont="1" applyFill="1" applyBorder="1" applyAlignment="1">
      <alignment horizontal="center" vertical="center" wrapText="1"/>
    </xf>
    <xf numFmtId="0" fontId="9" fillId="3" borderId="32" xfId="3" quotePrefix="1" applyNumberFormat="1" applyFont="1" applyFill="1" applyBorder="1" applyAlignment="1" applyProtection="1">
      <alignment horizontal="center" vertical="center" wrapText="1"/>
    </xf>
    <xf numFmtId="0" fontId="10" fillId="0" borderId="23" xfId="3" applyFont="1" applyBorder="1" applyAlignment="1">
      <alignment horizontal="center"/>
    </xf>
    <xf numFmtId="0" fontId="10" fillId="0" borderId="23" xfId="3" quotePrefix="1" applyNumberFormat="1" applyFont="1" applyBorder="1" applyAlignment="1" applyProtection="1">
      <alignment horizontal="center" wrapText="1"/>
    </xf>
    <xf numFmtId="0" fontId="17" fillId="0" borderId="23" xfId="3" applyBorder="1" applyAlignment="1"/>
    <xf numFmtId="0" fontId="10" fillId="2" borderId="16" xfId="3" applyNumberFormat="1" applyFont="1" applyFill="1" applyBorder="1" applyAlignment="1" applyProtection="1">
      <alignment horizontal="center" vertical="center"/>
      <protection locked="0"/>
    </xf>
    <xf numFmtId="0" fontId="17" fillId="2" borderId="16" xfId="3" applyFill="1" applyBorder="1" applyAlignment="1">
      <alignment horizontal="center" vertical="center"/>
    </xf>
    <xf numFmtId="0" fontId="17" fillId="0" borderId="16" xfId="3" applyBorder="1" applyAlignment="1">
      <alignment horizontal="center" vertical="center"/>
    </xf>
    <xf numFmtId="0" fontId="10" fillId="0" borderId="16" xfId="3" applyNumberFormat="1" applyFont="1" applyBorder="1" applyAlignment="1" applyProtection="1">
      <alignment horizontal="center" vertical="center"/>
      <protection locked="0"/>
    </xf>
    <xf numFmtId="0" fontId="10" fillId="0" borderId="16" xfId="3" applyNumberFormat="1" applyFont="1" applyFill="1" applyBorder="1" applyAlignment="1" applyProtection="1">
      <alignment horizontal="left" vertical="top" wrapText="1"/>
    </xf>
    <xf numFmtId="0" fontId="17" fillId="0" borderId="16" xfId="3" quotePrefix="1" applyBorder="1" applyAlignment="1">
      <alignment horizontal="center" vertical="center"/>
    </xf>
    <xf numFmtId="2" fontId="17" fillId="0" borderId="16" xfId="3" applyNumberFormat="1" applyFill="1" applyBorder="1" applyAlignment="1">
      <alignment horizontal="center" vertical="center"/>
    </xf>
    <xf numFmtId="0" fontId="11" fillId="0" borderId="0" xfId="3" applyFont="1"/>
    <xf numFmtId="0" fontId="17" fillId="0" borderId="0" xfId="3" applyBorder="1"/>
    <xf numFmtId="0" fontId="18" fillId="0" borderId="9" xfId="0" applyFont="1" applyBorder="1" applyAlignment="1">
      <alignment horizontal="center"/>
    </xf>
    <xf numFmtId="0" fontId="0" fillId="4" borderId="11" xfId="0" applyFill="1" applyBorder="1" applyAlignment="1">
      <alignment horizontal="center"/>
    </xf>
    <xf numFmtId="164" fontId="16" fillId="0" borderId="0" xfId="1" applyNumberFormat="1" applyFont="1"/>
    <xf numFmtId="0" fontId="4" fillId="0" borderId="0" xfId="0" applyFont="1"/>
    <xf numFmtId="0" fontId="4" fillId="3" borderId="32" xfId="0" applyFont="1" applyFill="1" applyBorder="1" applyAlignment="1">
      <alignment horizontal="center" vertical="center"/>
    </xf>
    <xf numFmtId="0" fontId="4" fillId="3" borderId="32" xfId="0" applyFont="1" applyFill="1" applyBorder="1" applyAlignment="1">
      <alignment horizontal="center" vertical="center" wrapText="1"/>
    </xf>
    <xf numFmtId="0" fontId="0" fillId="0" borderId="16" xfId="0" applyBorder="1" applyAlignment="1">
      <alignment horizontal="center"/>
    </xf>
    <xf numFmtId="167" fontId="0" fillId="0" borderId="16" xfId="0" applyNumberFormat="1" applyBorder="1"/>
    <xf numFmtId="2" fontId="4" fillId="0" borderId="16" xfId="0" applyNumberFormat="1" applyFont="1" applyBorder="1" applyAlignment="1">
      <alignment horizontal="center"/>
    </xf>
    <xf numFmtId="167" fontId="0" fillId="0" borderId="34" xfId="0" applyNumberFormat="1" applyBorder="1"/>
    <xf numFmtId="0" fontId="0" fillId="2" borderId="16" xfId="0" applyFill="1" applyBorder="1" applyAlignment="1">
      <alignment horizontal="center"/>
    </xf>
    <xf numFmtId="167" fontId="0" fillId="2" borderId="16" xfId="0" applyNumberFormat="1" applyFill="1" applyBorder="1"/>
    <xf numFmtId="2" fontId="4" fillId="2" borderId="16" xfId="0" applyNumberFormat="1" applyFont="1" applyFill="1" applyBorder="1" applyAlignment="1">
      <alignment horizontal="center"/>
    </xf>
    <xf numFmtId="167" fontId="0" fillId="0" borderId="9" xfId="0" applyNumberFormat="1" applyBorder="1"/>
    <xf numFmtId="167" fontId="0" fillId="2" borderId="9" xfId="0" applyNumberFormat="1" applyFill="1" applyBorder="1"/>
    <xf numFmtId="167" fontId="0" fillId="0" borderId="23" xfId="0" applyNumberFormat="1" applyBorder="1"/>
    <xf numFmtId="0" fontId="0" fillId="0" borderId="0" xfId="0" applyNumberFormat="1"/>
    <xf numFmtId="1" fontId="0" fillId="0" borderId="0" xfId="0" applyNumberFormat="1" applyAlignment="1">
      <alignment horizontal="right"/>
    </xf>
    <xf numFmtId="1" fontId="0" fillId="0" borderId="16" xfId="0" applyNumberFormat="1" applyBorder="1" applyAlignment="1">
      <alignment horizontal="right"/>
    </xf>
    <xf numFmtId="0" fontId="18" fillId="0" borderId="16" xfId="3" applyFont="1" applyBorder="1" applyAlignment="1">
      <alignment horizontal="center" wrapText="1"/>
    </xf>
    <xf numFmtId="0" fontId="18" fillId="0" borderId="16" xfId="3" applyFont="1" applyBorder="1" applyAlignment="1">
      <alignment horizontal="center" vertical="center"/>
    </xf>
    <xf numFmtId="0" fontId="18" fillId="0" borderId="16" xfId="3" applyFont="1" applyBorder="1" applyAlignment="1">
      <alignment horizontal="center" vertical="center" wrapText="1"/>
    </xf>
    <xf numFmtId="0" fontId="17" fillId="0" borderId="16" xfId="3" applyBorder="1" applyAlignment="1">
      <alignment vertical="top" wrapText="1"/>
    </xf>
    <xf numFmtId="0" fontId="17" fillId="0" borderId="16" xfId="3" applyBorder="1" applyAlignment="1">
      <alignment wrapText="1"/>
    </xf>
    <xf numFmtId="0" fontId="17" fillId="0" borderId="16"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5" xfId="0" applyBorder="1" applyAlignment="1">
      <alignment horizontal="center" vertical="center" wrapText="1"/>
    </xf>
    <xf numFmtId="0" fontId="0" fillId="0" borderId="10" xfId="0" applyBorder="1" applyAlignment="1">
      <alignment horizontal="center" vertical="center" wrapText="1"/>
    </xf>
    <xf numFmtId="0" fontId="0" fillId="0" borderId="30" xfId="0" applyBorder="1" applyAlignment="1">
      <alignment horizontal="center" vertical="center" wrapText="1"/>
    </xf>
    <xf numFmtId="0" fontId="18" fillId="0" borderId="30" xfId="0" applyFont="1" applyBorder="1" applyAlignment="1">
      <alignment horizontal="center"/>
    </xf>
    <xf numFmtId="0" fontId="0" fillId="4" borderId="36" xfId="0" applyFill="1" applyBorder="1" applyAlignment="1">
      <alignment horizontal="center"/>
    </xf>
    <xf numFmtId="0" fontId="0" fillId="0" borderId="37" xfId="0" applyBorder="1" applyAlignment="1">
      <alignment horizontal="center" vertical="center" wrapText="1"/>
    </xf>
    <xf numFmtId="0" fontId="0" fillId="0" borderId="37" xfId="0" applyBorder="1" applyAlignment="1">
      <alignment horizontal="center"/>
    </xf>
    <xf numFmtId="0" fontId="0" fillId="0" borderId="37" xfId="0" applyBorder="1" applyAlignment="1">
      <alignment horizont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9" xfId="0" applyBorder="1" applyAlignment="1">
      <alignment vertical="center" wrapText="1"/>
    </xf>
    <xf numFmtId="43" fontId="0" fillId="6" borderId="9" xfId="0" applyNumberFormat="1" applyFill="1" applyBorder="1"/>
    <xf numFmtId="164" fontId="16" fillId="0" borderId="30" xfId="1" applyNumberFormat="1" applyFont="1" applyFill="1" applyBorder="1"/>
    <xf numFmtId="0" fontId="0" fillId="7" borderId="6" xfId="0" applyFill="1" applyBorder="1"/>
    <xf numFmtId="0" fontId="0" fillId="7" borderId="8" xfId="0" applyFill="1" applyBorder="1"/>
    <xf numFmtId="0" fontId="0" fillId="4" borderId="40" xfId="0" applyFill="1" applyBorder="1" applyAlignment="1">
      <alignment horizontal="center"/>
    </xf>
    <xf numFmtId="164" fontId="16" fillId="0" borderId="0" xfId="1" applyNumberFormat="1" applyFont="1"/>
    <xf numFmtId="0" fontId="0" fillId="0" borderId="36" xfId="0" applyBorder="1" applyAlignment="1">
      <alignment horizontal="center" vertical="top" wrapText="1"/>
    </xf>
    <xf numFmtId="164" fontId="0" fillId="0" borderId="0" xfId="0" applyNumberFormat="1"/>
    <xf numFmtId="2" fontId="0" fillId="0" borderId="3" xfId="0" applyNumberFormat="1" applyBorder="1"/>
    <xf numFmtId="0" fontId="0" fillId="4" borderId="41" xfId="0" applyFill="1" applyBorder="1"/>
    <xf numFmtId="0" fontId="18" fillId="0" borderId="0" xfId="0" applyFont="1"/>
    <xf numFmtId="17" fontId="0" fillId="0" borderId="16" xfId="0" quotePrefix="1" applyNumberFormat="1" applyBorder="1" applyAlignment="1">
      <alignment horizontal="center"/>
    </xf>
    <xf numFmtId="0" fontId="0" fillId="0" borderId="42" xfId="0" applyBorder="1" applyAlignment="1">
      <alignment horizontal="center"/>
    </xf>
    <xf numFmtId="0" fontId="0" fillId="0" borderId="42" xfId="0" applyNumberFormat="1" applyBorder="1" applyAlignment="1">
      <alignment horizontal="center"/>
    </xf>
    <xf numFmtId="0" fontId="0" fillId="0" borderId="43" xfId="0" applyBorder="1"/>
    <xf numFmtId="0" fontId="0" fillId="0" borderId="33" xfId="0" applyBorder="1" applyAlignment="1">
      <alignment wrapText="1"/>
    </xf>
    <xf numFmtId="0" fontId="17" fillId="0" borderId="0" xfId="3" applyAlignment="1">
      <alignment horizontal="center" wrapText="1"/>
    </xf>
    <xf numFmtId="0" fontId="17" fillId="0" borderId="0" xfId="3" applyAlignment="1">
      <alignment horizontal="center" vertical="top"/>
    </xf>
    <xf numFmtId="0" fontId="22" fillId="0" borderId="0" xfId="0" applyFont="1" applyBorder="1" applyAlignment="1">
      <alignment vertical="top" wrapText="1"/>
    </xf>
    <xf numFmtId="0" fontId="10" fillId="0" borderId="16" xfId="3" quotePrefix="1" applyNumberFormat="1" applyFont="1" applyFill="1" applyBorder="1" applyAlignment="1" applyProtection="1">
      <alignment horizontal="left" vertical="top" wrapText="1"/>
    </xf>
    <xf numFmtId="0" fontId="18" fillId="0" borderId="44" xfId="0" applyFont="1" applyBorder="1" applyAlignment="1">
      <alignment horizontal="center"/>
    </xf>
    <xf numFmtId="0" fontId="18" fillId="0" borderId="42" xfId="0" applyFont="1" applyBorder="1" applyAlignment="1">
      <alignment horizontal="center"/>
    </xf>
    <xf numFmtId="0" fontId="18" fillId="0" borderId="16" xfId="0" applyFont="1" applyBorder="1" applyAlignment="1">
      <alignment horizontal="center"/>
    </xf>
    <xf numFmtId="0" fontId="18" fillId="0" borderId="42" xfId="0" applyFont="1" applyBorder="1" applyAlignment="1">
      <alignment horizontal="center" wrapText="1"/>
    </xf>
    <xf numFmtId="0" fontId="0" fillId="0" borderId="42" xfId="0" applyBorder="1" applyAlignment="1">
      <alignment horizontal="center" vertical="top"/>
    </xf>
    <xf numFmtId="0" fontId="0" fillId="0" borderId="16" xfId="0" applyBorder="1" applyAlignment="1">
      <alignment horizontal="center" vertical="top"/>
    </xf>
    <xf numFmtId="0" fontId="0" fillId="0" borderId="42" xfId="0" applyNumberFormat="1" applyBorder="1" applyAlignment="1">
      <alignment horizontal="center" vertical="top"/>
    </xf>
    <xf numFmtId="0" fontId="0" fillId="0" borderId="43" xfId="0" applyBorder="1" applyAlignment="1">
      <alignment horizontal="left" vertical="top"/>
    </xf>
    <xf numFmtId="0" fontId="0" fillId="0" borderId="33" xfId="0" applyBorder="1" applyAlignment="1">
      <alignment horizontal="left" vertical="top" wrapText="1"/>
    </xf>
    <xf numFmtId="0" fontId="18" fillId="0" borderId="16" xfId="3" applyFont="1" applyBorder="1" applyAlignment="1">
      <alignment horizontal="center" vertical="center" wrapText="1"/>
    </xf>
    <xf numFmtId="0" fontId="0" fillId="0" borderId="0" xfId="0" applyAlignment="1">
      <alignment horizontal="center"/>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9" xfId="0" applyFill="1"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166" fontId="0" fillId="0" borderId="1" xfId="0" applyNumberFormat="1" applyBorder="1"/>
    <xf numFmtId="166" fontId="0" fillId="5" borderId="2" xfId="0" applyNumberFormat="1" applyFill="1" applyBorder="1"/>
    <xf numFmtId="0" fontId="0" fillId="0" borderId="30" xfId="0" applyFill="1" applyBorder="1" applyAlignment="1">
      <alignment horizontal="center" wrapText="1"/>
    </xf>
    <xf numFmtId="0" fontId="0" fillId="0" borderId="0" xfId="0" applyAlignment="1">
      <alignment horizontal="left" vertical="top" wrapText="1"/>
    </xf>
    <xf numFmtId="164" fontId="16"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4" fontId="0" fillId="7" borderId="31" xfId="0" applyNumberFormat="1" applyFill="1" applyBorder="1"/>
    <xf numFmtId="0" fontId="10" fillId="0" borderId="0" xfId="5"/>
    <xf numFmtId="0" fontId="25" fillId="0" borderId="16" xfId="5" applyFont="1" applyBorder="1" applyAlignment="1">
      <alignment horizontal="center" vertical="top" wrapText="1"/>
    </xf>
    <xf numFmtId="0" fontId="25" fillId="0" borderId="16" xfId="5" applyFont="1" applyBorder="1" applyAlignment="1">
      <alignment horizontal="center" vertical="center" wrapText="1"/>
    </xf>
    <xf numFmtId="0" fontId="23" fillId="0" borderId="16" xfId="5" applyFont="1" applyBorder="1" applyAlignment="1">
      <alignment horizontal="center"/>
    </xf>
    <xf numFmtId="0" fontId="25" fillId="0" borderId="16" xfId="5" applyFont="1" applyBorder="1" applyAlignment="1">
      <alignment vertical="center" wrapText="1"/>
    </xf>
    <xf numFmtId="164" fontId="25" fillId="9" borderId="16" xfId="2" applyNumberFormat="1" applyFont="1" applyFill="1" applyBorder="1" applyAlignment="1">
      <alignment horizontal="center" vertical="center" wrapText="1"/>
    </xf>
    <xf numFmtId="43" fontId="25" fillId="0" borderId="16" xfId="2" applyFont="1" applyBorder="1" applyAlignment="1">
      <alignment horizontal="right" vertical="center" wrapText="1"/>
    </xf>
    <xf numFmtId="0" fontId="25" fillId="8" borderId="16" xfId="5" applyFont="1" applyFill="1" applyBorder="1" applyAlignment="1">
      <alignment horizontal="center" wrapText="1"/>
    </xf>
    <xf numFmtId="164" fontId="25" fillId="8" borderId="16" xfId="2" applyNumberFormat="1" applyFont="1" applyFill="1" applyBorder="1" applyAlignment="1">
      <alignment horizontal="center" wrapText="1"/>
    </xf>
    <xf numFmtId="0" fontId="25" fillId="8" borderId="16" xfId="5" applyFont="1" applyFill="1" applyBorder="1" applyAlignment="1">
      <alignment horizontal="center" vertical="center" wrapText="1"/>
    </xf>
    <xf numFmtId="164" fontId="10" fillId="0" borderId="0" xfId="2" applyNumberFormat="1" applyFont="1"/>
    <xf numFmtId="0" fontId="10" fillId="9" borderId="0" xfId="5" applyFont="1" applyFill="1"/>
    <xf numFmtId="0" fontId="10" fillId="0" borderId="0" xfId="5" applyFont="1"/>
    <xf numFmtId="0" fontId="33" fillId="6" borderId="0" xfId="6" applyFont="1" applyFill="1" applyAlignment="1" applyProtection="1"/>
    <xf numFmtId="0" fontId="10" fillId="10" borderId="0" xfId="5" applyFont="1" applyFill="1"/>
    <xf numFmtId="0" fontId="10" fillId="0" borderId="0" xfId="5" applyAlignment="1">
      <alignment wrapText="1"/>
    </xf>
    <xf numFmtId="0" fontId="10" fillId="0" borderId="0" xfId="5" applyFont="1" applyAlignment="1">
      <alignment horizontal="right" wrapText="1"/>
    </xf>
    <xf numFmtId="0" fontId="10" fillId="0" borderId="0" xfId="5" applyFont="1" applyAlignment="1">
      <alignment wrapText="1"/>
    </xf>
    <xf numFmtId="164" fontId="25" fillId="9" borderId="23" xfId="2" applyNumberFormat="1" applyFont="1" applyFill="1" applyBorder="1" applyAlignment="1">
      <alignment horizontal="center" vertical="center" wrapText="1"/>
    </xf>
    <xf numFmtId="0" fontId="25" fillId="0" borderId="20" xfId="5" applyFont="1" applyBorder="1" applyAlignment="1">
      <alignment vertical="center" wrapText="1"/>
    </xf>
    <xf numFmtId="43" fontId="10" fillId="0" borderId="0" xfId="5" applyNumberFormat="1"/>
    <xf numFmtId="0" fontId="34" fillId="11" borderId="0" xfId="0" applyFont="1" applyFill="1"/>
    <xf numFmtId="0" fontId="34" fillId="11" borderId="0" xfId="0" applyFont="1" applyFill="1" applyAlignment="1">
      <alignment vertical="top"/>
    </xf>
    <xf numFmtId="0" fontId="34" fillId="0" borderId="16" xfId="0" applyFont="1" applyBorder="1" applyAlignment="1">
      <alignment horizontal="center"/>
    </xf>
    <xf numFmtId="1" fontId="34" fillId="0" borderId="16" xfId="0" applyNumberFormat="1" applyFont="1" applyBorder="1" applyAlignment="1">
      <alignment horizontal="right"/>
    </xf>
    <xf numFmtId="2" fontId="35" fillId="0" borderId="16" xfId="0" applyNumberFormat="1" applyFont="1" applyBorder="1" applyAlignment="1">
      <alignment horizontal="center"/>
    </xf>
    <xf numFmtId="0" fontId="17" fillId="0" borderId="16" xfId="3" applyBorder="1" applyAlignment="1">
      <alignment horizontal="left"/>
    </xf>
    <xf numFmtId="0" fontId="17" fillId="0" borderId="16" xfId="3" applyFill="1" applyBorder="1" applyAlignment="1">
      <alignment horizontal="left"/>
    </xf>
    <xf numFmtId="0" fontId="0" fillId="4" borderId="40" xfId="0" applyFill="1" applyBorder="1" applyAlignment="1">
      <alignment horizontal="center"/>
    </xf>
    <xf numFmtId="0" fontId="0" fillId="4" borderId="29" xfId="0" applyFill="1" applyBorder="1" applyAlignment="1">
      <alignment horizontal="center"/>
    </xf>
    <xf numFmtId="3" fontId="36" fillId="0" borderId="0" xfId="0" applyNumberFormat="1" applyFont="1"/>
    <xf numFmtId="3" fontId="36" fillId="0" borderId="2" xfId="0" applyNumberFormat="1" applyFont="1" applyBorder="1" applyAlignment="1">
      <alignment horizontal="right" wrapText="1"/>
    </xf>
    <xf numFmtId="3" fontId="36" fillId="0" borderId="2" xfId="0" applyNumberFormat="1" applyFont="1" applyBorder="1" applyAlignment="1">
      <alignment horizontal="right"/>
    </xf>
    <xf numFmtId="3" fontId="36" fillId="0" borderId="2" xfId="0" applyNumberFormat="1" applyFont="1" applyBorder="1" applyAlignment="1">
      <alignment horizontal="right" vertical="top" wrapText="1"/>
    </xf>
    <xf numFmtId="0" fontId="37" fillId="0" borderId="50" xfId="0" applyFont="1" applyBorder="1" applyAlignment="1">
      <alignment horizontal="center" wrapText="1"/>
    </xf>
    <xf numFmtId="0" fontId="0" fillId="0" borderId="0" xfId="0" applyBorder="1"/>
    <xf numFmtId="0" fontId="37" fillId="0" borderId="16" xfId="0" applyFont="1" applyBorder="1" applyAlignment="1">
      <alignment horizontal="center" vertical="top" wrapText="1"/>
    </xf>
    <xf numFmtId="0" fontId="37" fillId="0" borderId="16" xfId="0" applyFont="1" applyBorder="1" applyAlignment="1">
      <alignment horizontal="right" vertical="top" wrapText="1"/>
    </xf>
    <xf numFmtId="0" fontId="39" fillId="12" borderId="0" xfId="3" applyFont="1" applyFill="1" applyBorder="1"/>
    <xf numFmtId="164" fontId="39" fillId="12" borderId="0" xfId="2" applyNumberFormat="1" applyFont="1" applyFill="1"/>
    <xf numFmtId="4" fontId="0" fillId="0" borderId="0" xfId="0" applyNumberFormat="1"/>
    <xf numFmtId="0" fontId="37" fillId="0" borderId="44" xfId="0" applyFont="1" applyBorder="1" applyAlignment="1">
      <alignment horizontal="center" vertical="top" wrapText="1"/>
    </xf>
    <xf numFmtId="4" fontId="0" fillId="0" borderId="16" xfId="0" applyNumberFormat="1" applyBorder="1"/>
    <xf numFmtId="0" fontId="37" fillId="0" borderId="16" xfId="0" applyFont="1" applyFill="1" applyBorder="1" applyAlignment="1">
      <alignment horizontal="center" vertical="top" wrapText="1"/>
    </xf>
    <xf numFmtId="0" fontId="17" fillId="13" borderId="16" xfId="3" applyFill="1" applyBorder="1"/>
    <xf numFmtId="0" fontId="38" fillId="0" borderId="16" xfId="3" applyFont="1" applyBorder="1" applyAlignment="1"/>
    <xf numFmtId="0" fontId="38" fillId="0" borderId="16" xfId="0" applyFont="1" applyBorder="1" applyAlignment="1">
      <alignment vertical="top" wrapText="1"/>
    </xf>
    <xf numFmtId="0" fontId="39" fillId="12" borderId="16" xfId="3" applyFont="1" applyFill="1" applyBorder="1" applyAlignment="1">
      <alignment vertical="center"/>
    </xf>
    <xf numFmtId="0" fontId="39" fillId="12" borderId="16" xfId="0" applyFont="1" applyFill="1" applyBorder="1" applyAlignment="1"/>
    <xf numFmtId="2" fontId="0" fillId="6" borderId="7" xfId="0" applyNumberFormat="1" applyFill="1" applyBorder="1"/>
    <xf numFmtId="43" fontId="0" fillId="5" borderId="8" xfId="0" applyNumberFormat="1" applyFill="1" applyBorder="1"/>
    <xf numFmtId="0" fontId="0" fillId="0" borderId="16" xfId="0" applyBorder="1" applyAlignment="1">
      <alignment horizontal="left"/>
    </xf>
    <xf numFmtId="0" fontId="21" fillId="0" borderId="16" xfId="0" applyFont="1" applyBorder="1" applyAlignment="1">
      <alignment horizontal="center"/>
    </xf>
    <xf numFmtId="0" fontId="21" fillId="0" borderId="16" xfId="0" applyFont="1" applyBorder="1" applyAlignment="1">
      <alignment horizontal="left"/>
    </xf>
    <xf numFmtId="0" fontId="21" fillId="0" borderId="16" xfId="0" applyFont="1" applyBorder="1"/>
    <xf numFmtId="2" fontId="0" fillId="0" borderId="16" xfId="0" applyNumberFormat="1" applyBorder="1" applyAlignment="1">
      <alignment horizontal="center"/>
    </xf>
    <xf numFmtId="164" fontId="16" fillId="0" borderId="0" xfId="1" applyNumberFormat="1" applyFont="1" applyBorder="1"/>
    <xf numFmtId="2" fontId="0" fillId="5" borderId="49" xfId="0" applyNumberFormat="1" applyFill="1" applyBorder="1"/>
    <xf numFmtId="0" fontId="0" fillId="0" borderId="39" xfId="0" applyBorder="1"/>
    <xf numFmtId="39" fontId="0" fillId="0" borderId="9" xfId="0" applyNumberFormat="1" applyBorder="1"/>
    <xf numFmtId="39" fontId="0" fillId="0" borderId="23" xfId="0" applyNumberFormat="1" applyBorder="1"/>
    <xf numFmtId="0" fontId="18" fillId="0" borderId="41" xfId="0" applyFont="1" applyBorder="1" applyAlignment="1">
      <alignment horizontal="center" wrapText="1"/>
    </xf>
    <xf numFmtId="0" fontId="18" fillId="0" borderId="48" xfId="0" applyFont="1" applyBorder="1" applyAlignment="1">
      <alignment horizontal="center" wrapText="1"/>
    </xf>
    <xf numFmtId="0" fontId="17" fillId="0" borderId="4" xfId="0" applyFont="1" applyBorder="1" applyAlignment="1">
      <alignment horizontal="right" vertical="top" wrapText="1"/>
    </xf>
    <xf numFmtId="3" fontId="17" fillId="0" borderId="2" xfId="0" applyNumberFormat="1" applyFont="1" applyBorder="1" applyAlignment="1">
      <alignment horizontal="right" wrapText="1"/>
    </xf>
    <xf numFmtId="3" fontId="17" fillId="0" borderId="2" xfId="0" applyNumberFormat="1" applyFont="1" applyBorder="1" applyAlignment="1">
      <alignment horizontal="right"/>
    </xf>
    <xf numFmtId="0" fontId="0" fillId="0" borderId="16" xfId="0" applyBorder="1" applyAlignment="1">
      <alignment horizontal="center" vertical="center"/>
    </xf>
    <xf numFmtId="0" fontId="21" fillId="6" borderId="16" xfId="0" applyFont="1" applyFill="1" applyBorder="1"/>
    <xf numFmtId="0" fontId="0" fillId="6" borderId="16" xfId="0" applyFill="1" applyBorder="1"/>
    <xf numFmtId="2" fontId="21" fillId="0" borderId="16" xfId="0" applyNumberFormat="1" applyFont="1" applyBorder="1"/>
    <xf numFmtId="2" fontId="0" fillId="6" borderId="16" xfId="0" applyNumberFormat="1" applyFill="1" applyBorder="1"/>
    <xf numFmtId="2" fontId="0" fillId="0" borderId="16" xfId="0" applyNumberFormat="1" applyBorder="1"/>
    <xf numFmtId="0" fontId="0" fillId="0" borderId="0" xfId="0" applyFill="1" applyBorder="1"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xf numFmtId="2" fontId="0" fillId="0" borderId="0" xfId="0" applyNumberFormat="1" applyFill="1" applyBorder="1"/>
    <xf numFmtId="0" fontId="41" fillId="0" borderId="0" xfId="0" applyFont="1"/>
    <xf numFmtId="168" fontId="0" fillId="0" borderId="16" xfId="0" applyNumberFormat="1" applyBorder="1"/>
    <xf numFmtId="168" fontId="0" fillId="0" borderId="16" xfId="0" applyNumberFormat="1" applyBorder="1" applyAlignment="1">
      <alignment wrapText="1"/>
    </xf>
    <xf numFmtId="0" fontId="0" fillId="0" borderId="16" xfId="0" applyBorder="1" applyAlignment="1">
      <alignment horizontal="center" vertical="center" wrapText="1"/>
    </xf>
    <xf numFmtId="0" fontId="20" fillId="0" borderId="0" xfId="0" applyFont="1" applyFill="1" applyBorder="1" applyAlignment="1">
      <alignment horizontal="center" wrapText="1"/>
    </xf>
    <xf numFmtId="0" fontId="42" fillId="0" borderId="0" xfId="0" applyFont="1" applyFill="1" applyBorder="1" applyAlignment="1">
      <alignment horizontal="center" wrapText="1"/>
    </xf>
    <xf numFmtId="0" fontId="0" fillId="6" borderId="7" xfId="0" applyFill="1" applyBorder="1" applyAlignment="1">
      <alignment horizontal="center"/>
    </xf>
    <xf numFmtId="0" fontId="0" fillId="6" borderId="9" xfId="0" applyFill="1" applyBorder="1" applyAlignment="1">
      <alignment horizontal="center"/>
    </xf>
    <xf numFmtId="0" fontId="43" fillId="12" borderId="0" xfId="0" applyFont="1" applyFill="1"/>
    <xf numFmtId="0" fontId="34" fillId="12" borderId="0" xfId="0" applyFont="1" applyFill="1"/>
    <xf numFmtId="0" fontId="44" fillId="12" borderId="0" xfId="3" applyFont="1" applyFill="1" applyBorder="1"/>
    <xf numFmtId="1" fontId="0" fillId="15" borderId="0" xfId="0" applyNumberFormat="1" applyFill="1" applyAlignment="1">
      <alignment horizontal="center"/>
    </xf>
    <xf numFmtId="0" fontId="19" fillId="0" borderId="16" xfId="0" applyFont="1" applyBorder="1"/>
    <xf numFmtId="0" fontId="45" fillId="0" borderId="16" xfId="0" applyFont="1" applyBorder="1"/>
    <xf numFmtId="4" fontId="19" fillId="0" borderId="16" xfId="0" applyNumberFormat="1" applyFont="1" applyBorder="1" applyAlignment="1">
      <alignment horizontal="center"/>
    </xf>
    <xf numFmtId="4" fontId="19" fillId="0" borderId="16" xfId="1" applyNumberFormat="1" applyFont="1" applyBorder="1" applyAlignment="1">
      <alignment horizontal="center"/>
    </xf>
    <xf numFmtId="4" fontId="0" fillId="0" borderId="0" xfId="0" applyNumberFormat="1" applyAlignment="1">
      <alignment horizontal="center"/>
    </xf>
    <xf numFmtId="4" fontId="0" fillId="0" borderId="0" xfId="1" applyNumberFormat="1" applyFont="1" applyAlignment="1">
      <alignment horizontal="center"/>
    </xf>
    <xf numFmtId="3" fontId="0" fillId="0" borderId="16" xfId="0" applyNumberFormat="1" applyBorder="1"/>
    <xf numFmtId="4" fontId="0" fillId="0" borderId="16" xfId="0" applyNumberFormat="1" applyBorder="1" applyAlignment="1">
      <alignment horizontal="center"/>
    </xf>
    <xf numFmtId="0" fontId="25" fillId="6" borderId="16" xfId="5" applyFont="1" applyFill="1" applyBorder="1" applyAlignment="1">
      <alignment horizontal="center" vertical="center" wrapText="1"/>
    </xf>
    <xf numFmtId="4" fontId="0" fillId="0" borderId="16" xfId="0" applyNumberFormat="1" applyBorder="1" applyAlignment="1">
      <alignment horizontal="center"/>
    </xf>
    <xf numFmtId="1" fontId="0" fillId="0" borderId="16" xfId="0" applyNumberFormat="1" applyBorder="1" applyAlignment="1">
      <alignment wrapText="1"/>
    </xf>
    <xf numFmtId="1" fontId="0" fillId="0" borderId="16" xfId="0" applyNumberFormat="1" applyBorder="1" applyAlignment="1">
      <alignment horizontal="center" vertical="center" wrapText="1"/>
    </xf>
    <xf numFmtId="1" fontId="0" fillId="0" borderId="16" xfId="0" applyNumberFormat="1" applyBorder="1" applyAlignment="1">
      <alignment horizontal="center" wrapText="1"/>
    </xf>
    <xf numFmtId="3" fontId="0" fillId="0" borderId="16" xfId="0" applyNumberFormat="1" applyBorder="1" applyAlignment="1">
      <alignment wrapText="1"/>
    </xf>
    <xf numFmtId="0" fontId="0" fillId="0" borderId="16" xfId="0" applyBorder="1" applyAlignment="1">
      <alignment wrapText="1"/>
    </xf>
    <xf numFmtId="9" fontId="0" fillId="0" borderId="16" xfId="0" applyNumberFormat="1" applyBorder="1" applyAlignment="1">
      <alignment horizontal="center" wrapText="1"/>
    </xf>
    <xf numFmtId="3" fontId="0" fillId="0" borderId="16" xfId="0" applyNumberFormat="1" applyBorder="1" applyAlignment="1">
      <alignment horizontal="center" wrapText="1"/>
    </xf>
    <xf numFmtId="3" fontId="0" fillId="15" borderId="16" xfId="0" applyNumberFormat="1" applyFill="1" applyBorder="1" applyAlignment="1">
      <alignment horizontal="center" wrapText="1"/>
    </xf>
    <xf numFmtId="3" fontId="0" fillId="16" borderId="16" xfId="0" applyNumberFormat="1" applyFill="1" applyBorder="1" applyAlignment="1">
      <alignment horizontal="center" wrapText="1"/>
    </xf>
    <xf numFmtId="1" fontId="38" fillId="0" borderId="16" xfId="0" applyNumberFormat="1" applyFont="1" applyBorder="1" applyAlignment="1">
      <alignment horizontal="right" wrapText="1"/>
    </xf>
    <xf numFmtId="0" fontId="46" fillId="0" borderId="16" xfId="0" applyFont="1" applyBorder="1" applyAlignment="1">
      <alignment horizontal="left" wrapText="1"/>
    </xf>
    <xf numFmtId="3" fontId="38" fillId="0" borderId="16" xfId="0" applyNumberFormat="1" applyFont="1" applyBorder="1" applyAlignment="1">
      <alignment horizontal="right" wrapText="1"/>
    </xf>
    <xf numFmtId="0" fontId="21" fillId="0" borderId="0" xfId="0" applyFont="1"/>
    <xf numFmtId="3" fontId="0" fillId="15" borderId="16" xfId="0" applyNumberFormat="1" applyFill="1" applyBorder="1"/>
    <xf numFmtId="0" fontId="0" fillId="15" borderId="16" xfId="0" applyFill="1" applyBorder="1"/>
    <xf numFmtId="3" fontId="10" fillId="0" borderId="0" xfId="5" applyNumberFormat="1"/>
    <xf numFmtId="0" fontId="25" fillId="0" borderId="39" xfId="5" applyFont="1" applyBorder="1" applyAlignment="1">
      <alignment vertical="center" wrapText="1"/>
    </xf>
    <xf numFmtId="164" fontId="25" fillId="9" borderId="39" xfId="2" applyNumberFormat="1" applyFont="1" applyFill="1" applyBorder="1" applyAlignment="1">
      <alignment horizontal="center" vertical="center" wrapText="1"/>
    </xf>
    <xf numFmtId="0" fontId="10" fillId="15" borderId="16" xfId="5" applyFill="1" applyBorder="1"/>
    <xf numFmtId="0" fontId="10" fillId="15" borderId="16" xfId="5" applyFill="1" applyBorder="1" applyAlignment="1">
      <alignment horizontal="center" wrapText="1"/>
    </xf>
    <xf numFmtId="0" fontId="7" fillId="16" borderId="16" xfId="5" applyFont="1" applyFill="1" applyBorder="1"/>
    <xf numFmtId="3" fontId="7" fillId="16" borderId="16" xfId="5" applyNumberFormat="1" applyFont="1" applyFill="1" applyBorder="1"/>
    <xf numFmtId="3" fontId="10" fillId="15" borderId="16" xfId="5" applyNumberFormat="1" applyFill="1" applyBorder="1"/>
    <xf numFmtId="3" fontId="10" fillId="15" borderId="16" xfId="2" applyNumberFormat="1" applyFont="1" applyFill="1" applyBorder="1"/>
    <xf numFmtId="0" fontId="10" fillId="0" borderId="16" xfId="5" applyBorder="1"/>
    <xf numFmtId="43" fontId="10" fillId="0" borderId="16" xfId="5" applyNumberFormat="1" applyBorder="1" applyAlignment="1"/>
    <xf numFmtId="0" fontId="10" fillId="18" borderId="16" xfId="5" applyFill="1" applyBorder="1" applyAlignment="1">
      <alignment horizontal="center" wrapText="1"/>
    </xf>
    <xf numFmtId="3" fontId="10" fillId="18" borderId="16" xfId="5" applyNumberFormat="1" applyFill="1" applyBorder="1"/>
    <xf numFmtId="3" fontId="10" fillId="18" borderId="16" xfId="2" applyNumberFormat="1" applyFont="1" applyFill="1" applyBorder="1"/>
    <xf numFmtId="0" fontId="7" fillId="13" borderId="16" xfId="5" applyFont="1" applyFill="1" applyBorder="1"/>
    <xf numFmtId="3" fontId="7" fillId="13" borderId="16" xfId="5" applyNumberFormat="1" applyFont="1" applyFill="1" applyBorder="1"/>
    <xf numFmtId="1" fontId="7" fillId="16" borderId="16" xfId="5" applyNumberFormat="1" applyFont="1" applyFill="1" applyBorder="1" applyAlignment="1">
      <alignment horizontal="left"/>
    </xf>
    <xf numFmtId="3" fontId="45" fillId="0" borderId="16" xfId="0" applyNumberFormat="1" applyFont="1" applyBorder="1" applyAlignment="1">
      <alignment horizontal="center"/>
    </xf>
    <xf numFmtId="3" fontId="18" fillId="0" borderId="16" xfId="0" applyNumberFormat="1" applyFont="1" applyBorder="1" applyAlignment="1">
      <alignment horizontal="center"/>
    </xf>
    <xf numFmtId="9" fontId="0" fillId="0" borderId="9" xfId="0" applyNumberFormat="1" applyFill="1" applyBorder="1" applyAlignment="1">
      <alignment horizontal="center"/>
    </xf>
    <xf numFmtId="1" fontId="0" fillId="0" borderId="16" xfId="0" applyNumberFormat="1" applyBorder="1" applyAlignment="1">
      <alignment horizontal="center" wrapText="1"/>
    </xf>
    <xf numFmtId="0" fontId="0" fillId="0" borderId="3" xfId="0" applyBorder="1" applyAlignment="1">
      <alignment horizontal="center" vertical="center" wrapText="1"/>
    </xf>
    <xf numFmtId="164" fontId="21" fillId="10" borderId="16" xfId="0" applyNumberFormat="1" applyFont="1" applyFill="1" applyBorder="1"/>
    <xf numFmtId="0" fontId="10" fillId="10" borderId="0" xfId="5" applyFill="1"/>
    <xf numFmtId="0" fontId="10" fillId="10" borderId="16" xfId="5" applyFill="1" applyBorder="1" applyAlignment="1">
      <alignment wrapText="1"/>
    </xf>
    <xf numFmtId="3" fontId="0" fillId="10" borderId="16" xfId="0" applyNumberFormat="1" applyFill="1" applyBorder="1" applyAlignment="1">
      <alignment horizontal="center" wrapText="1"/>
    </xf>
    <xf numFmtId="3" fontId="49" fillId="0" borderId="16" xfId="0" applyNumberFormat="1" applyFont="1" applyBorder="1" applyAlignment="1">
      <alignment horizontal="center" wrapText="1"/>
    </xf>
    <xf numFmtId="0" fontId="10" fillId="17" borderId="16" xfId="5" applyFill="1" applyBorder="1"/>
    <xf numFmtId="0" fontId="0" fillId="17" borderId="16" xfId="0" applyFill="1" applyBorder="1"/>
    <xf numFmtId="165" fontId="25" fillId="10" borderId="39" xfId="2" applyNumberFormat="1" applyFont="1" applyFill="1" applyBorder="1" applyAlignment="1">
      <alignment horizontal="center" vertical="center" wrapText="1"/>
    </xf>
    <xf numFmtId="0" fontId="25" fillId="8" borderId="39" xfId="5" applyFont="1" applyFill="1" applyBorder="1" applyAlignment="1">
      <alignment horizontal="center" vertical="center" wrapText="1"/>
    </xf>
    <xf numFmtId="4" fontId="0" fillId="0" borderId="16" xfId="0" applyNumberFormat="1" applyBorder="1" applyAlignment="1">
      <alignment horizontal="center"/>
    </xf>
    <xf numFmtId="0" fontId="0" fillId="0" borderId="16" xfId="0" applyFill="1" applyBorder="1" applyAlignment="1">
      <alignment vertical="center"/>
    </xf>
    <xf numFmtId="1" fontId="0" fillId="0" borderId="16" xfId="0" applyNumberFormat="1" applyFill="1" applyBorder="1" applyAlignment="1">
      <alignment vertical="center" wrapText="1"/>
    </xf>
    <xf numFmtId="0" fontId="10" fillId="0" borderId="16" xfId="5" applyFill="1" applyBorder="1"/>
    <xf numFmtId="4" fontId="10" fillId="0" borderId="16" xfId="5" applyNumberFormat="1" applyFill="1" applyBorder="1" applyAlignment="1">
      <alignment vertical="top" wrapText="1"/>
    </xf>
    <xf numFmtId="4" fontId="10" fillId="19" borderId="16" xfId="5" applyNumberFormat="1" applyFont="1" applyFill="1" applyBorder="1" applyAlignment="1">
      <alignment horizontal="center"/>
    </xf>
    <xf numFmtId="3" fontId="10" fillId="0" borderId="16" xfId="5" applyNumberFormat="1" applyFill="1" applyBorder="1"/>
    <xf numFmtId="4" fontId="10" fillId="20" borderId="16" xfId="5" applyNumberFormat="1" applyFont="1" applyFill="1" applyBorder="1" applyAlignment="1">
      <alignment vertical="top" wrapText="1"/>
    </xf>
    <xf numFmtId="0" fontId="10" fillId="20" borderId="16" xfId="5" applyFill="1" applyBorder="1"/>
    <xf numFmtId="3" fontId="10" fillId="20" borderId="16" xfId="5" applyNumberFormat="1" applyFill="1" applyBorder="1"/>
    <xf numFmtId="4" fontId="10" fillId="0" borderId="16" xfId="5" applyNumberFormat="1" applyFont="1" applyFill="1" applyBorder="1" applyAlignment="1">
      <alignment vertical="top" wrapText="1"/>
    </xf>
    <xf numFmtId="3" fontId="10" fillId="0" borderId="44" xfId="5" applyNumberFormat="1" applyFill="1" applyBorder="1"/>
    <xf numFmtId="3" fontId="10" fillId="0" borderId="51" xfId="5" applyNumberFormat="1" applyFill="1" applyBorder="1"/>
    <xf numFmtId="3" fontId="10" fillId="0" borderId="42" xfId="5" applyNumberFormat="1" applyFill="1" applyBorder="1"/>
    <xf numFmtId="0" fontId="10" fillId="0" borderId="16" xfId="5" applyFill="1" applyBorder="1" applyAlignment="1">
      <alignment vertical="top" wrapText="1"/>
    </xf>
    <xf numFmtId="0" fontId="10" fillId="0" borderId="16" xfId="5" applyFill="1" applyBorder="1" applyAlignment="1">
      <alignment horizontal="center"/>
    </xf>
    <xf numFmtId="3" fontId="10" fillId="0" borderId="16" xfId="5" applyNumberFormat="1" applyFill="1" applyBorder="1" applyAlignment="1">
      <alignment horizontal="right"/>
    </xf>
    <xf numFmtId="0" fontId="10" fillId="20" borderId="16" xfId="5" applyFont="1" applyFill="1" applyBorder="1" applyAlignment="1">
      <alignment vertical="top" wrapText="1"/>
    </xf>
    <xf numFmtId="0" fontId="10" fillId="20" borderId="16" xfId="5" applyFill="1" applyBorder="1" applyAlignment="1">
      <alignment horizontal="center"/>
    </xf>
    <xf numFmtId="3" fontId="0" fillId="10" borderId="16" xfId="0" applyNumberFormat="1" applyFill="1" applyBorder="1"/>
    <xf numFmtId="0" fontId="10" fillId="0" borderId="0" xfId="5" applyFont="1" applyFill="1"/>
    <xf numFmtId="0" fontId="10" fillId="0" borderId="0" xfId="5" applyFill="1"/>
    <xf numFmtId="0" fontId="10" fillId="6" borderId="0" xfId="5" applyFill="1"/>
    <xf numFmtId="3" fontId="49" fillId="0" borderId="0" xfId="0" applyNumberFormat="1" applyFont="1" applyBorder="1" applyAlignment="1">
      <alignment horizontal="center" wrapText="1"/>
    </xf>
    <xf numFmtId="3" fontId="0" fillId="20" borderId="16" xfId="0" applyNumberFormat="1" applyFill="1" applyBorder="1"/>
    <xf numFmtId="0" fontId="0" fillId="0" borderId="16" xfId="0" applyFill="1" applyBorder="1"/>
    <xf numFmtId="169" fontId="0" fillId="0" borderId="0" xfId="1" applyNumberFormat="1" applyFont="1"/>
    <xf numFmtId="3" fontId="0" fillId="0" borderId="16" xfId="0" applyNumberFormat="1" applyFill="1" applyBorder="1"/>
    <xf numFmtId="3" fontId="10" fillId="0" borderId="0" xfId="5" applyNumberFormat="1" applyFill="1"/>
    <xf numFmtId="164" fontId="0" fillId="0" borderId="0" xfId="1" applyNumberFormat="1" applyFont="1"/>
    <xf numFmtId="0" fontId="37" fillId="0" borderId="1" xfId="0" applyFont="1" applyBorder="1" applyAlignment="1">
      <alignment horizontal="center" wrapText="1"/>
    </xf>
    <xf numFmtId="164" fontId="0" fillId="0" borderId="16" xfId="1" applyNumberFormat="1" applyFont="1" applyBorder="1"/>
    <xf numFmtId="3" fontId="36" fillId="0" borderId="16" xfId="0" applyNumberFormat="1" applyFont="1" applyBorder="1" applyAlignment="1">
      <alignment horizontal="right"/>
    </xf>
    <xf numFmtId="164" fontId="0" fillId="0" borderId="16" xfId="1" applyNumberFormat="1" applyFont="1" applyBorder="1" applyAlignment="1">
      <alignment horizontal="center" wrapText="1"/>
    </xf>
    <xf numFmtId="164" fontId="0" fillId="0" borderId="0" xfId="1" applyNumberFormat="1" applyFont="1" applyBorder="1" applyAlignment="1">
      <alignment horizontal="center" wrapText="1"/>
    </xf>
    <xf numFmtId="164" fontId="0" fillId="0" borderId="0" xfId="1" applyNumberFormat="1" applyFont="1" applyAlignment="1">
      <alignment vertical="center"/>
    </xf>
    <xf numFmtId="164" fontId="0" fillId="0" borderId="16" xfId="1" applyNumberFormat="1" applyFont="1" applyBorder="1" applyAlignment="1">
      <alignment vertical="center" wrapText="1"/>
    </xf>
    <xf numFmtId="164" fontId="0" fillId="0" borderId="0" xfId="1" applyNumberFormat="1" applyFont="1" applyBorder="1" applyAlignment="1">
      <alignment vertical="center" wrapText="1"/>
    </xf>
    <xf numFmtId="164" fontId="0" fillId="0" borderId="0" xfId="1" applyNumberFormat="1" applyFont="1" applyAlignment="1">
      <alignment horizontal="center" vertical="center"/>
    </xf>
    <xf numFmtId="164" fontId="0" fillId="0" borderId="0" xfId="1" applyNumberFormat="1" applyFont="1" applyAlignment="1">
      <alignment horizontal="center"/>
    </xf>
    <xf numFmtId="164" fontId="0" fillId="10" borderId="16" xfId="1" applyNumberFormat="1" applyFont="1" applyFill="1" applyBorder="1" applyAlignment="1">
      <alignment horizontal="center" vertical="center"/>
    </xf>
    <xf numFmtId="164" fontId="0" fillId="10" borderId="16" xfId="1" applyNumberFormat="1" applyFont="1" applyFill="1" applyBorder="1" applyAlignment="1">
      <alignment horizontal="center" vertical="center" wrapText="1"/>
    </xf>
    <xf numFmtId="164" fontId="0" fillId="10" borderId="0" xfId="1" applyNumberFormat="1" applyFont="1" applyFill="1" applyBorder="1" applyAlignment="1">
      <alignment horizontal="center" vertical="center"/>
    </xf>
    <xf numFmtId="164" fontId="0" fillId="10" borderId="0" xfId="1" applyNumberFormat="1" applyFont="1" applyFill="1" applyBorder="1" applyAlignment="1">
      <alignment horizontal="center" vertical="center" wrapText="1"/>
    </xf>
    <xf numFmtId="1" fontId="38" fillId="0" borderId="16" xfId="0" applyNumberFormat="1" applyFont="1" applyFill="1" applyBorder="1" applyAlignment="1">
      <alignment horizontal="right" wrapText="1"/>
    </xf>
    <xf numFmtId="3" fontId="38" fillId="0" borderId="16" xfId="0" applyNumberFormat="1" applyFont="1" applyFill="1" applyBorder="1" applyAlignment="1">
      <alignment horizontal="right" wrapText="1"/>
    </xf>
    <xf numFmtId="1" fontId="36" fillId="0" borderId="2" xfId="0" applyNumberFormat="1" applyFont="1" applyBorder="1" applyAlignment="1">
      <alignment horizontal="right"/>
    </xf>
    <xf numFmtId="3" fontId="36" fillId="6" borderId="2" xfId="0" applyNumberFormat="1" applyFont="1" applyFill="1" applyBorder="1" applyAlignment="1">
      <alignment horizontal="right" wrapText="1"/>
    </xf>
    <xf numFmtId="164" fontId="0" fillId="10" borderId="16" xfId="1" applyNumberFormat="1" applyFont="1" applyFill="1" applyBorder="1" applyAlignment="1">
      <alignment horizontal="left" vertical="center"/>
    </xf>
    <xf numFmtId="164" fontId="0" fillId="0" borderId="39" xfId="1" applyNumberFormat="1" applyFont="1" applyBorder="1"/>
    <xf numFmtId="3" fontId="36" fillId="0" borderId="1" xfId="0" applyNumberFormat="1" applyFont="1" applyBorder="1" applyAlignment="1">
      <alignment horizontal="right" wrapText="1"/>
    </xf>
    <xf numFmtId="164" fontId="0" fillId="0" borderId="23" xfId="1" applyNumberFormat="1" applyFont="1" applyBorder="1"/>
    <xf numFmtId="3" fontId="36" fillId="0" borderId="16" xfId="0" applyNumberFormat="1" applyFont="1" applyBorder="1" applyAlignment="1">
      <alignment horizontal="right" wrapText="1"/>
    </xf>
    <xf numFmtId="164" fontId="40" fillId="0" borderId="16" xfId="1" applyNumberFormat="1" applyFont="1" applyBorder="1" applyAlignment="1"/>
    <xf numFmtId="43" fontId="0" fillId="0" borderId="16" xfId="1" applyNumberFormat="1" applyFont="1" applyBorder="1"/>
    <xf numFmtId="0" fontId="0" fillId="6" borderId="0" xfId="0" applyFill="1"/>
    <xf numFmtId="0" fontId="0" fillId="6" borderId="0" xfId="0" applyFont="1" applyFill="1"/>
    <xf numFmtId="164" fontId="40" fillId="0" borderId="44" xfId="1" applyNumberFormat="1" applyFont="1" applyBorder="1" applyAlignment="1"/>
    <xf numFmtId="164" fontId="17" fillId="0" borderId="16" xfId="1" applyNumberFormat="1" applyFont="1" applyBorder="1"/>
    <xf numFmtId="164" fontId="0" fillId="6" borderId="16" xfId="1" applyNumberFormat="1" applyFont="1" applyFill="1" applyBorder="1"/>
    <xf numFmtId="164" fontId="39" fillId="12" borderId="16" xfId="1" applyNumberFormat="1" applyFont="1" applyFill="1" applyBorder="1" applyAlignment="1">
      <alignment vertical="center"/>
    </xf>
    <xf numFmtId="164" fontId="39" fillId="12" borderId="16" xfId="1" applyNumberFormat="1" applyFont="1" applyFill="1" applyBorder="1" applyAlignment="1"/>
    <xf numFmtId="164" fontId="0" fillId="14" borderId="16" xfId="1" applyNumberFormat="1" applyFont="1" applyFill="1" applyBorder="1"/>
    <xf numFmtId="164" fontId="38" fillId="0" borderId="16" xfId="1" applyNumberFormat="1" applyFont="1" applyBorder="1" applyAlignment="1"/>
    <xf numFmtId="164" fontId="38" fillId="0" borderId="16" xfId="1" applyNumberFormat="1" applyFont="1" applyBorder="1" applyAlignment="1">
      <alignment vertical="top" wrapText="1"/>
    </xf>
    <xf numFmtId="170" fontId="0" fillId="0" borderId="9" xfId="0" applyNumberFormat="1" applyBorder="1"/>
    <xf numFmtId="166" fontId="0" fillId="0" borderId="16" xfId="0" applyNumberFormat="1" applyBorder="1" applyAlignment="1">
      <alignment horizontal="center" vertical="center"/>
    </xf>
    <xf numFmtId="166" fontId="16" fillId="0" borderId="16" xfId="1" applyNumberFormat="1" applyFont="1" applyBorder="1" applyAlignment="1">
      <alignment horizontal="center" vertical="center"/>
    </xf>
    <xf numFmtId="166" fontId="0" fillId="0" borderId="16" xfId="1" applyNumberFormat="1" applyFont="1" applyBorder="1" applyAlignment="1">
      <alignment horizontal="center" vertical="center"/>
    </xf>
    <xf numFmtId="166" fontId="0" fillId="5" borderId="16" xfId="0" applyNumberFormat="1" applyFill="1" applyBorder="1" applyAlignment="1">
      <alignment horizontal="center" vertical="center"/>
    </xf>
    <xf numFmtId="0" fontId="0" fillId="0" borderId="7" xfId="0" applyFill="1" applyBorder="1"/>
    <xf numFmtId="2" fontId="0" fillId="0" borderId="16" xfId="0" applyNumberFormat="1" applyBorder="1" applyAlignment="1">
      <alignment horizontal="center" vertical="center" wrapText="1"/>
    </xf>
    <xf numFmtId="2" fontId="0" fillId="0" borderId="16" xfId="0" applyNumberFormat="1" applyBorder="1" applyAlignment="1">
      <alignment horizontal="center" wrapText="1"/>
    </xf>
    <xf numFmtId="0" fontId="50" fillId="21" borderId="0" xfId="0" applyFont="1" applyFill="1"/>
    <xf numFmtId="0" fontId="17" fillId="11" borderId="4" xfId="0" applyFont="1" applyFill="1" applyBorder="1" applyAlignment="1">
      <alignment horizontal="center" vertical="center" wrapText="1"/>
    </xf>
    <xf numFmtId="0" fontId="0" fillId="0" borderId="3" xfId="0" applyBorder="1" applyAlignment="1">
      <alignment horizontal="center"/>
    </xf>
    <xf numFmtId="0" fontId="0" fillId="11" borderId="16" xfId="0" applyFill="1" applyBorder="1" applyAlignment="1">
      <alignment horizontal="center" vertical="center"/>
    </xf>
    <xf numFmtId="0" fontId="17" fillId="11" borderId="16" xfId="0" applyFont="1" applyFill="1" applyBorder="1" applyAlignment="1">
      <alignment horizontal="center" vertical="center" wrapText="1"/>
    </xf>
    <xf numFmtId="43" fontId="0" fillId="0" borderId="16" xfId="0" applyNumberFormat="1" applyBorder="1"/>
    <xf numFmtId="3" fontId="0" fillId="0" borderId="16" xfId="0" applyNumberFormat="1" applyBorder="1" applyAlignment="1">
      <alignment horizontal="center" vertical="center"/>
    </xf>
    <xf numFmtId="164" fontId="0" fillId="22" borderId="0" xfId="1" applyNumberFormat="1" applyFont="1" applyFill="1"/>
    <xf numFmtId="0" fontId="10" fillId="0" borderId="16" xfId="5" applyBorder="1" applyAlignment="1">
      <alignment horizontal="center" vertical="center"/>
    </xf>
    <xf numFmtId="4" fontId="0" fillId="0" borderId="16" xfId="0" applyNumberFormat="1" applyBorder="1" applyAlignment="1">
      <alignment horizontal="center"/>
    </xf>
    <xf numFmtId="164" fontId="25" fillId="9" borderId="16" xfId="2" quotePrefix="1" applyNumberFormat="1" applyFont="1" applyFill="1" applyBorder="1" applyAlignment="1">
      <alignment horizontal="center" vertical="center" wrapText="1"/>
    </xf>
    <xf numFmtId="0" fontId="25" fillId="8" borderId="16" xfId="5" quotePrefix="1" applyFont="1" applyFill="1" applyBorder="1" applyAlignment="1">
      <alignment horizontal="center" vertical="center" wrapText="1"/>
    </xf>
    <xf numFmtId="43" fontId="25" fillId="0" borderId="16" xfId="2" quotePrefix="1" applyFont="1" applyBorder="1" applyAlignment="1">
      <alignment horizontal="right" vertical="center" wrapText="1"/>
    </xf>
    <xf numFmtId="164" fontId="25" fillId="0" borderId="16" xfId="2" applyNumberFormat="1" applyFont="1" applyBorder="1" applyAlignment="1">
      <alignment horizontal="right" vertical="center" wrapText="1"/>
    </xf>
    <xf numFmtId="0" fontId="0" fillId="0" borderId="16" xfId="0" applyBorder="1" applyAlignment="1">
      <alignment horizontal="center"/>
    </xf>
    <xf numFmtId="0" fontId="10" fillId="0" borderId="16" xfId="5" applyBorder="1" applyAlignment="1">
      <alignment wrapText="1"/>
    </xf>
    <xf numFmtId="43" fontId="10" fillId="0" borderId="16" xfId="5" applyNumberFormat="1" applyBorder="1"/>
    <xf numFmtId="165" fontId="10" fillId="0" borderId="16" xfId="5" applyNumberFormat="1" applyBorder="1"/>
    <xf numFmtId="171" fontId="23" fillId="0" borderId="44" xfId="2" applyNumberFormat="1" applyFont="1" applyBorder="1" applyAlignment="1">
      <alignment wrapText="1"/>
    </xf>
    <xf numFmtId="164" fontId="10" fillId="0" borderId="16" xfId="2" applyNumberFormat="1" applyFont="1" applyBorder="1"/>
    <xf numFmtId="3" fontId="10" fillId="0" borderId="16" xfId="5" applyNumberFormat="1" applyBorder="1"/>
    <xf numFmtId="3" fontId="10" fillId="10" borderId="16" xfId="5" applyNumberFormat="1" applyFill="1" applyBorder="1"/>
    <xf numFmtId="164" fontId="10" fillId="0" borderId="16" xfId="1" applyNumberFormat="1" applyFont="1" applyBorder="1"/>
    <xf numFmtId="164" fontId="7" fillId="13" borderId="16" xfId="1" applyNumberFormat="1" applyFont="1" applyFill="1" applyBorder="1"/>
    <xf numFmtId="164" fontId="7" fillId="13" borderId="16" xfId="1" applyNumberFormat="1" applyFont="1" applyFill="1" applyBorder="1" applyAlignment="1">
      <alignment horizontal="left"/>
    </xf>
    <xf numFmtId="2" fontId="0" fillId="0" borderId="0" xfId="0" applyNumberFormat="1" applyAlignment="1">
      <alignment horizontal="center"/>
    </xf>
    <xf numFmtId="0" fontId="19" fillId="0" borderId="16" xfId="0" applyFont="1" applyBorder="1" applyAlignment="1">
      <alignment vertical="center"/>
    </xf>
    <xf numFmtId="0" fontId="19" fillId="0" borderId="16" xfId="0" applyFont="1" applyBorder="1" applyAlignment="1">
      <alignment horizontal="left" vertical="center"/>
    </xf>
    <xf numFmtId="0" fontId="19" fillId="0" borderId="16" xfId="0" applyFont="1" applyBorder="1" applyAlignment="1"/>
    <xf numFmtId="166" fontId="0" fillId="0" borderId="16" xfId="0" applyNumberFormat="1" applyFont="1" applyBorder="1" applyAlignment="1">
      <alignment horizontal="center" vertical="center"/>
    </xf>
    <xf numFmtId="166" fontId="0" fillId="0" borderId="16" xfId="0" applyNumberFormat="1" applyFont="1" applyBorder="1" applyAlignment="1">
      <alignment horizontal="center"/>
    </xf>
    <xf numFmtId="166" fontId="51" fillId="0" borderId="16" xfId="0" applyNumberFormat="1" applyFont="1" applyBorder="1" applyAlignment="1">
      <alignment horizontal="center" vertical="center"/>
    </xf>
    <xf numFmtId="166" fontId="18" fillId="0" borderId="16" xfId="0" applyNumberFormat="1" applyFont="1" applyBorder="1" applyAlignment="1">
      <alignment horizontal="center" vertical="center"/>
    </xf>
    <xf numFmtId="0" fontId="0" fillId="0" borderId="16" xfId="0" applyFill="1" applyBorder="1" applyAlignment="1">
      <alignment horizontal="center"/>
    </xf>
    <xf numFmtId="0" fontId="0" fillId="0" borderId="16" xfId="0" applyFill="1" applyBorder="1" applyAlignment="1">
      <alignment horizontal="center" wrapText="1"/>
    </xf>
    <xf numFmtId="0" fontId="37" fillId="0" borderId="55" xfId="0" applyFont="1" applyBorder="1" applyAlignment="1">
      <alignment horizontal="center" wrapText="1"/>
    </xf>
    <xf numFmtId="164" fontId="0" fillId="0" borderId="42" xfId="1" applyNumberFormat="1" applyFont="1" applyBorder="1"/>
    <xf numFmtId="0" fontId="18" fillId="0" borderId="16" xfId="0" applyFont="1" applyBorder="1" applyAlignment="1">
      <alignment horizontal="center" wrapText="1"/>
    </xf>
    <xf numFmtId="3" fontId="17" fillId="0" borderId="16" xfId="0" applyNumberFormat="1" applyFont="1" applyBorder="1" applyAlignment="1">
      <alignment horizontal="right" wrapText="1"/>
    </xf>
    <xf numFmtId="3" fontId="17" fillId="0" borderId="16" xfId="0" applyNumberFormat="1" applyFont="1" applyBorder="1" applyAlignment="1">
      <alignment horizontal="right"/>
    </xf>
    <xf numFmtId="0" fontId="17" fillId="0" borderId="16" xfId="0" applyFont="1" applyBorder="1"/>
    <xf numFmtId="3" fontId="17" fillId="0" borderId="16" xfId="0" applyNumberFormat="1" applyFont="1" applyBorder="1" applyAlignment="1">
      <alignment horizontal="right" vertical="top" wrapText="1"/>
    </xf>
    <xf numFmtId="1" fontId="17" fillId="0" borderId="16" xfId="0" applyNumberFormat="1" applyFont="1" applyBorder="1" applyAlignment="1">
      <alignment horizontal="right"/>
    </xf>
    <xf numFmtId="3" fontId="17" fillId="6" borderId="16" xfId="0" applyNumberFormat="1" applyFont="1" applyFill="1" applyBorder="1" applyAlignment="1">
      <alignment horizontal="right" wrapText="1"/>
    </xf>
    <xf numFmtId="1" fontId="0" fillId="0" borderId="16" xfId="0" applyNumberFormat="1" applyBorder="1" applyAlignment="1">
      <alignment horizontal="center" wrapText="1"/>
    </xf>
    <xf numFmtId="4" fontId="0" fillId="0" borderId="16" xfId="0" applyNumberFormat="1" applyBorder="1" applyAlignment="1">
      <alignment horizontal="center"/>
    </xf>
    <xf numFmtId="2" fontId="0" fillId="0" borderId="16" xfId="0" applyNumberFormat="1" applyFill="1" applyBorder="1" applyAlignment="1">
      <alignment horizontal="center" wrapText="1"/>
    </xf>
    <xf numFmtId="43" fontId="10" fillId="4" borderId="16" xfId="5" applyNumberFormat="1" applyFill="1" applyBorder="1"/>
    <xf numFmtId="43" fontId="10" fillId="23" borderId="16" xfId="5" applyNumberFormat="1" applyFill="1" applyBorder="1"/>
    <xf numFmtId="43" fontId="10" fillId="15" borderId="16" xfId="5" applyNumberFormat="1" applyFill="1" applyBorder="1"/>
    <xf numFmtId="0" fontId="10" fillId="16" borderId="16" xfId="5" applyFill="1" applyBorder="1"/>
    <xf numFmtId="0" fontId="10" fillId="0" borderId="52" xfId="5" applyBorder="1" applyAlignment="1">
      <alignment horizontal="center"/>
    </xf>
    <xf numFmtId="0" fontId="0" fillId="0" borderId="16" xfId="0" applyBorder="1" applyAlignment="1">
      <alignment vertical="center"/>
    </xf>
    <xf numFmtId="0" fontId="0" fillId="0" borderId="16" xfId="0" applyBorder="1" applyAlignment="1"/>
    <xf numFmtId="0" fontId="18" fillId="0" borderId="16" xfId="0" applyFont="1" applyBorder="1" applyAlignment="1"/>
    <xf numFmtId="0" fontId="10" fillId="0" borderId="16" xfId="5" applyFill="1" applyBorder="1" applyAlignment="1">
      <alignment horizontal="center" vertical="center"/>
    </xf>
    <xf numFmtId="0" fontId="10" fillId="0" borderId="16" xfId="5" applyFill="1" applyBorder="1" applyAlignment="1">
      <alignment horizontal="center"/>
    </xf>
    <xf numFmtId="0" fontId="10" fillId="0" borderId="16" xfId="5" applyBorder="1" applyAlignment="1">
      <alignment horizontal="center" vertical="center"/>
    </xf>
    <xf numFmtId="0" fontId="10" fillId="0" borderId="16" xfId="5" applyBorder="1" applyAlignment="1">
      <alignment horizontal="center"/>
    </xf>
    <xf numFmtId="0" fontId="10" fillId="0" borderId="16" xfId="5" applyFont="1" applyBorder="1" applyAlignment="1">
      <alignment horizontal="center" vertical="center"/>
    </xf>
    <xf numFmtId="0" fontId="10" fillId="0" borderId="44" xfId="5" applyBorder="1" applyAlignment="1">
      <alignment horizontal="center"/>
    </xf>
    <xf numFmtId="0" fontId="10" fillId="0" borderId="51" xfId="5" applyBorder="1" applyAlignment="1">
      <alignment horizontal="center"/>
    </xf>
    <xf numFmtId="0" fontId="10" fillId="0" borderId="42" xfId="5" applyBorder="1" applyAlignment="1">
      <alignment horizontal="center"/>
    </xf>
    <xf numFmtId="0" fontId="10" fillId="0" borderId="44" xfId="5" applyFill="1" applyBorder="1" applyAlignment="1">
      <alignment horizontal="center"/>
    </xf>
    <xf numFmtId="0" fontId="10" fillId="0" borderId="51" xfId="5" applyFill="1" applyBorder="1" applyAlignment="1">
      <alignment horizontal="center"/>
    </xf>
    <xf numFmtId="0" fontId="10" fillId="0" borderId="42" xfId="5" applyFill="1" applyBorder="1" applyAlignment="1">
      <alignment horizontal="center"/>
    </xf>
    <xf numFmtId="0" fontId="0" fillId="16" borderId="39" xfId="0" applyFill="1" applyBorder="1" applyAlignment="1">
      <alignment horizontal="center" wrapText="1"/>
    </xf>
    <xf numFmtId="0" fontId="0" fillId="16" borderId="9" xfId="0" applyFill="1" applyBorder="1" applyAlignment="1">
      <alignment horizontal="center" wrapText="1"/>
    </xf>
    <xf numFmtId="0" fontId="0" fillId="16" borderId="23" xfId="0" applyFill="1" applyBorder="1" applyAlignment="1">
      <alignment horizontal="center" wrapText="1"/>
    </xf>
    <xf numFmtId="1" fontId="49" fillId="0" borderId="39" xfId="0" applyNumberFormat="1" applyFont="1" applyBorder="1" applyAlignment="1">
      <alignment horizontal="center" wrapText="1"/>
    </xf>
    <xf numFmtId="1" fontId="49" fillId="0" borderId="23" xfId="0" applyNumberFormat="1" applyFont="1" applyBorder="1" applyAlignment="1">
      <alignment horizontal="center" wrapText="1"/>
    </xf>
    <xf numFmtId="0" fontId="18" fillId="0" borderId="16" xfId="0" applyFont="1" applyBorder="1" applyAlignment="1">
      <alignment horizontal="center" wrapText="1"/>
    </xf>
    <xf numFmtId="1" fontId="0" fillId="0" borderId="16" xfId="0" applyNumberFormat="1" applyBorder="1" applyAlignment="1">
      <alignment horizontal="center" wrapText="1"/>
    </xf>
    <xf numFmtId="1" fontId="0" fillId="15" borderId="39" xfId="0" applyNumberFormat="1" applyFill="1" applyBorder="1" applyAlignment="1">
      <alignment horizontal="center" vertical="center" wrapText="1"/>
    </xf>
    <xf numFmtId="1" fontId="0" fillId="15" borderId="23" xfId="0" applyNumberFormat="1" applyFill="1" applyBorder="1" applyAlignment="1">
      <alignment horizontal="center" vertical="center" wrapText="1"/>
    </xf>
    <xf numFmtId="1" fontId="0" fillId="15" borderId="39" xfId="0" applyNumberFormat="1" applyFill="1" applyBorder="1" applyAlignment="1">
      <alignment horizontal="center" wrapText="1"/>
    </xf>
    <xf numFmtId="1" fontId="0" fillId="15" borderId="23" xfId="0" applyNumberFormat="1" applyFill="1" applyBorder="1" applyAlignment="1">
      <alignment horizontal="center" wrapText="1"/>
    </xf>
    <xf numFmtId="0" fontId="19" fillId="5" borderId="40" xfId="0" applyFont="1" applyFill="1" applyBorder="1" applyAlignment="1">
      <alignment horizontal="center"/>
    </xf>
    <xf numFmtId="0" fontId="19" fillId="5" borderId="29" xfId="0" applyFont="1" applyFill="1" applyBorder="1" applyAlignment="1">
      <alignment horizontal="center"/>
    </xf>
    <xf numFmtId="0" fontId="19" fillId="5" borderId="14" xfId="0" applyFont="1" applyFill="1" applyBorder="1" applyAlignment="1">
      <alignment horizontal="center"/>
    </xf>
    <xf numFmtId="0" fontId="19" fillId="5" borderId="28" xfId="0" applyFont="1" applyFill="1" applyBorder="1" applyAlignment="1">
      <alignment horizontal="center"/>
    </xf>
    <xf numFmtId="0" fontId="0" fillId="0" borderId="12" xfId="0" applyBorder="1" applyAlignment="1">
      <alignment horizontal="center" vertical="top" wrapText="1"/>
    </xf>
    <xf numFmtId="0" fontId="0" fillId="0" borderId="5" xfId="0" applyBorder="1" applyAlignment="1">
      <alignment horizontal="center" vertical="top" wrapText="1"/>
    </xf>
    <xf numFmtId="0" fontId="17" fillId="5" borderId="35" xfId="3" applyFill="1" applyBorder="1" applyAlignment="1">
      <alignment horizontal="center"/>
    </xf>
    <xf numFmtId="0" fontId="0" fillId="0" borderId="8" xfId="0" applyBorder="1"/>
    <xf numFmtId="0" fontId="0" fillId="0" borderId="0" xfId="0" applyAlignment="1">
      <alignment horizontal="center" wrapText="1"/>
    </xf>
    <xf numFmtId="0" fontId="17" fillId="5" borderId="8" xfId="3" applyFill="1" applyBorder="1" applyAlignment="1">
      <alignment horizontal="center"/>
    </xf>
    <xf numFmtId="0" fontId="0" fillId="0" borderId="43" xfId="0" applyBorder="1" applyAlignment="1">
      <alignment horizontal="center" vertical="center" wrapText="1"/>
    </xf>
    <xf numFmtId="0" fontId="0" fillId="0" borderId="33" xfId="0" applyBorder="1" applyAlignment="1">
      <alignment horizontal="center" vertical="center" wrapText="1"/>
    </xf>
    <xf numFmtId="0" fontId="0" fillId="0" borderId="44" xfId="0" applyBorder="1" applyAlignment="1">
      <alignment horizontal="center" vertical="top" wrapText="1"/>
    </xf>
    <xf numFmtId="0" fontId="0" fillId="0" borderId="42" xfId="0" applyBorder="1" applyAlignment="1">
      <alignment horizontal="center" vertical="top" wrapText="1"/>
    </xf>
    <xf numFmtId="0" fontId="0" fillId="0" borderId="43" xfId="0" applyBorder="1" applyAlignment="1">
      <alignment horizontal="center"/>
    </xf>
    <xf numFmtId="0" fontId="0" fillId="0" borderId="33" xfId="0" applyBorder="1" applyAlignment="1">
      <alignment horizontal="center"/>
    </xf>
    <xf numFmtId="0" fontId="19" fillId="5" borderId="44" xfId="0" applyFont="1" applyFill="1" applyBorder="1" applyAlignment="1">
      <alignment horizontal="center"/>
    </xf>
    <xf numFmtId="0" fontId="19" fillId="5" borderId="51" xfId="0" applyFont="1" applyFill="1" applyBorder="1" applyAlignment="1">
      <alignment horizontal="center"/>
    </xf>
    <xf numFmtId="0" fontId="19" fillId="5" borderId="42" xfId="0" applyFont="1" applyFill="1" applyBorder="1" applyAlignment="1">
      <alignment horizontal="center"/>
    </xf>
    <xf numFmtId="2" fontId="0" fillId="0" borderId="16" xfId="0" applyNumberFormat="1" applyBorder="1" applyAlignment="1">
      <alignment horizontal="center" wrapText="1"/>
    </xf>
    <xf numFmtId="1" fontId="0" fillId="0" borderId="44" xfId="0" applyNumberFormat="1" applyBorder="1" applyAlignment="1">
      <alignment horizontal="center" wrapText="1"/>
    </xf>
    <xf numFmtId="1" fontId="0" fillId="0" borderId="42" xfId="0" applyNumberFormat="1" applyBorder="1" applyAlignment="1">
      <alignment horizontal="center" wrapText="1"/>
    </xf>
    <xf numFmtId="0" fontId="0" fillId="0" borderId="39" xfId="0" applyBorder="1" applyAlignment="1">
      <alignment horizontal="center"/>
    </xf>
    <xf numFmtId="0" fontId="0" fillId="0" borderId="23" xfId="0" applyBorder="1" applyAlignment="1">
      <alignment horizontal="center"/>
    </xf>
    <xf numFmtId="0" fontId="8" fillId="3" borderId="32" xfId="3" applyNumberFormat="1" applyFont="1" applyFill="1" applyBorder="1" applyAlignment="1" applyProtection="1">
      <alignment horizontal="center" vertical="center" wrapText="1"/>
    </xf>
    <xf numFmtId="0" fontId="7" fillId="3" borderId="32" xfId="3" applyFont="1" applyFill="1" applyBorder="1" applyAlignment="1">
      <alignment horizontal="center" vertical="center" wrapText="1"/>
    </xf>
    <xf numFmtId="0" fontId="10" fillId="0" borderId="23" xfId="3" applyNumberFormat="1" applyFont="1" applyFill="1" applyBorder="1" applyAlignment="1" applyProtection="1">
      <alignment horizontal="center" wrapText="1"/>
    </xf>
    <xf numFmtId="0" fontId="10" fillId="0" borderId="23" xfId="3" applyFont="1" applyBorder="1" applyAlignment="1">
      <alignment horizontal="center" wrapText="1"/>
    </xf>
    <xf numFmtId="0" fontId="17" fillId="0" borderId="39" xfId="3" applyBorder="1" applyAlignment="1">
      <alignment horizontal="center" vertical="center"/>
    </xf>
    <xf numFmtId="0" fontId="17" fillId="0" borderId="23" xfId="3" quotePrefix="1" applyBorder="1" applyAlignment="1">
      <alignment horizontal="center" vertical="center"/>
    </xf>
    <xf numFmtId="0" fontId="17" fillId="0" borderId="23" xfId="3" applyBorder="1" applyAlignment="1">
      <alignment horizontal="center" vertical="center"/>
    </xf>
    <xf numFmtId="0" fontId="10" fillId="0" borderId="16" xfId="3" applyFont="1" applyBorder="1" applyAlignment="1">
      <alignment horizontal="center" vertical="top" wrapText="1"/>
    </xf>
    <xf numFmtId="0" fontId="10" fillId="0" borderId="16" xfId="3" applyNumberFormat="1" applyFont="1" applyFill="1" applyBorder="1" applyAlignment="1" applyProtection="1">
      <alignment horizontal="left" vertical="top" wrapText="1"/>
    </xf>
    <xf numFmtId="0" fontId="10" fillId="0" borderId="16" xfId="3" applyFont="1" applyBorder="1" applyAlignment="1">
      <alignment horizontal="left" vertical="top" wrapText="1"/>
    </xf>
    <xf numFmtId="0" fontId="10" fillId="2" borderId="16" xfId="3" applyNumberFormat="1" applyFont="1" applyFill="1" applyBorder="1" applyAlignment="1" applyProtection="1">
      <alignment horizontal="left" vertical="center" wrapText="1"/>
    </xf>
    <xf numFmtId="0" fontId="10" fillId="2" borderId="16" xfId="3" applyFont="1" applyFill="1" applyBorder="1" applyAlignment="1">
      <alignment horizontal="left" vertical="center" wrapText="1"/>
    </xf>
    <xf numFmtId="0" fontId="10" fillId="0" borderId="16" xfId="3" applyNumberFormat="1" applyFont="1" applyFill="1" applyBorder="1" applyAlignment="1" applyProtection="1">
      <alignment horizontal="left" vertical="center" wrapText="1"/>
    </xf>
    <xf numFmtId="0" fontId="10" fillId="0" borderId="16" xfId="3" applyFont="1" applyBorder="1" applyAlignment="1">
      <alignment horizontal="left" vertical="center" wrapText="1"/>
    </xf>
    <xf numFmtId="0" fontId="17" fillId="0" borderId="39" xfId="3" quotePrefix="1" applyBorder="1" applyAlignment="1">
      <alignment horizontal="center" vertical="center"/>
    </xf>
    <xf numFmtId="0" fontId="17" fillId="0" borderId="16" xfId="3" applyBorder="1" applyAlignment="1">
      <alignment horizontal="center"/>
    </xf>
    <xf numFmtId="0" fontId="17" fillId="0" borderId="16" xfId="3" applyBorder="1" applyAlignment="1">
      <alignment horizontal="center" vertical="justify"/>
    </xf>
    <xf numFmtId="0" fontId="17" fillId="0" borderId="16" xfId="3" applyFill="1" applyBorder="1" applyAlignment="1">
      <alignment horizontal="center"/>
    </xf>
    <xf numFmtId="0" fontId="18" fillId="0" borderId="16" xfId="3" applyFont="1" applyBorder="1" applyAlignment="1">
      <alignment horizontal="center"/>
    </xf>
    <xf numFmtId="0" fontId="18" fillId="0" borderId="16" xfId="3" applyFont="1" applyBorder="1" applyAlignment="1">
      <alignment horizontal="center" vertical="center" wrapText="1"/>
    </xf>
    <xf numFmtId="0" fontId="17" fillId="0" borderId="16" xfId="3" applyBorder="1" applyAlignment="1">
      <alignment horizontal="center" vertical="center"/>
    </xf>
    <xf numFmtId="2" fontId="17" fillId="0" borderId="16" xfId="3" applyNumberFormat="1" applyBorder="1" applyAlignment="1">
      <alignment horizontal="center" vertical="center"/>
    </xf>
    <xf numFmtId="0" fontId="0" fillId="0" borderId="16" xfId="0" applyBorder="1" applyAlignment="1">
      <alignment horizontal="center" vertical="center" wrapText="1"/>
    </xf>
    <xf numFmtId="0" fontId="0" fillId="4" borderId="28" xfId="0" applyFill="1" applyBorder="1" applyAlignment="1">
      <alignment horizontal="center"/>
    </xf>
    <xf numFmtId="0" fontId="0" fillId="4" borderId="14" xfId="0" applyFill="1" applyBorder="1" applyAlignment="1">
      <alignment horizontal="center"/>
    </xf>
    <xf numFmtId="0" fontId="0" fillId="4" borderId="40"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0" fillId="4" borderId="29"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10" fillId="0" borderId="39" xfId="5" applyBorder="1" applyAlignment="1">
      <alignment horizontal="center" vertical="center" wrapText="1"/>
    </xf>
    <xf numFmtId="0" fontId="10" fillId="0" borderId="23" xfId="5" applyBorder="1" applyAlignment="1">
      <alignment horizontal="center" vertical="center" wrapText="1"/>
    </xf>
    <xf numFmtId="0" fontId="10" fillId="0" borderId="44" xfId="5" applyBorder="1" applyAlignment="1">
      <alignment horizontal="center" vertical="center" wrapText="1"/>
    </xf>
    <xf numFmtId="0" fontId="10" fillId="0" borderId="51" xfId="5" applyBorder="1" applyAlignment="1">
      <alignment horizontal="center" vertical="center" wrapText="1"/>
    </xf>
    <xf numFmtId="0" fontId="10" fillId="0" borderId="42" xfId="5" applyBorder="1" applyAlignment="1">
      <alignment horizontal="center" vertical="center" wrapText="1"/>
    </xf>
    <xf numFmtId="0" fontId="7" fillId="6" borderId="53" xfId="5" applyFont="1" applyFill="1" applyBorder="1" applyAlignment="1">
      <alignment horizontal="center"/>
    </xf>
    <xf numFmtId="0" fontId="7" fillId="6" borderId="54" xfId="5" applyFont="1" applyFill="1" applyBorder="1" applyAlignment="1">
      <alignment horizontal="center"/>
    </xf>
    <xf numFmtId="0" fontId="25" fillId="8" borderId="39" xfId="5" applyFont="1" applyFill="1" applyBorder="1" applyAlignment="1">
      <alignment horizontal="center" vertical="center" wrapText="1"/>
    </xf>
    <xf numFmtId="0" fontId="25" fillId="8" borderId="9" xfId="5" applyFont="1" applyFill="1" applyBorder="1" applyAlignment="1">
      <alignment horizontal="center" vertical="center" wrapText="1"/>
    </xf>
    <xf numFmtId="0" fontId="25" fillId="8" borderId="23" xfId="5" applyFont="1" applyFill="1" applyBorder="1" applyAlignment="1">
      <alignment horizontal="center" vertical="center" wrapText="1"/>
    </xf>
    <xf numFmtId="0" fontId="10" fillId="15" borderId="16" xfId="5" applyFill="1" applyBorder="1" applyAlignment="1">
      <alignment horizontal="center" wrapText="1"/>
    </xf>
    <xf numFmtId="0" fontId="10" fillId="15" borderId="43" xfId="5" applyFill="1" applyBorder="1" applyAlignment="1">
      <alignment horizontal="center" wrapText="1"/>
    </xf>
    <xf numFmtId="0" fontId="10" fillId="15" borderId="52" xfId="5" applyFill="1" applyBorder="1" applyAlignment="1">
      <alignment horizontal="center" wrapText="1"/>
    </xf>
    <xf numFmtId="0" fontId="47" fillId="17" borderId="0" xfId="5" applyFont="1" applyFill="1" applyAlignment="1">
      <alignment horizontal="center" wrapText="1"/>
    </xf>
    <xf numFmtId="165" fontId="25" fillId="10" borderId="15" xfId="2" applyNumberFormat="1" applyFont="1" applyFill="1" applyBorder="1" applyAlignment="1">
      <alignment horizontal="center" vertical="center" wrapText="1"/>
    </xf>
    <xf numFmtId="165" fontId="25" fillId="10" borderId="9" xfId="2" applyNumberFormat="1" applyFont="1" applyFill="1" applyBorder="1" applyAlignment="1">
      <alignment horizontal="center" vertical="center" wrapText="1"/>
    </xf>
    <xf numFmtId="165" fontId="25" fillId="10" borderId="23" xfId="2" applyNumberFormat="1" applyFont="1" applyFill="1" applyBorder="1" applyAlignment="1">
      <alignment horizontal="center" vertical="center" wrapText="1"/>
    </xf>
    <xf numFmtId="165" fontId="25" fillId="10" borderId="39" xfId="2" applyNumberFormat="1" applyFont="1" applyFill="1" applyBorder="1" applyAlignment="1">
      <alignment horizontal="center" vertical="center" wrapText="1"/>
    </xf>
    <xf numFmtId="0" fontId="25" fillId="6" borderId="16" xfId="5" applyFont="1" applyFill="1" applyBorder="1" applyAlignment="1">
      <alignment horizontal="center" vertical="center" wrapText="1"/>
    </xf>
    <xf numFmtId="0" fontId="10" fillId="0" borderId="16" xfId="5" applyBorder="1" applyAlignment="1">
      <alignment horizontal="center" wrapText="1"/>
    </xf>
    <xf numFmtId="0" fontId="23" fillId="8" borderId="16" xfId="5" applyFont="1" applyFill="1" applyBorder="1" applyAlignment="1">
      <alignment horizontal="center"/>
    </xf>
    <xf numFmtId="0" fontId="25" fillId="0" borderId="16" xfId="5" applyFont="1" applyBorder="1" applyAlignment="1">
      <alignment horizontal="center" vertical="center" wrapText="1"/>
    </xf>
    <xf numFmtId="0" fontId="23" fillId="0" borderId="16" xfId="5" applyFont="1" applyBorder="1" applyAlignment="1">
      <alignment horizontal="center" wrapText="1"/>
    </xf>
    <xf numFmtId="0" fontId="10" fillId="0" borderId="16" xfId="5" applyBorder="1" applyAlignment="1">
      <alignment horizontal="center" vertical="center" wrapText="1"/>
    </xf>
    <xf numFmtId="0" fontId="23" fillId="0" borderId="16" xfId="5" applyFont="1" applyBorder="1" applyAlignment="1">
      <alignment horizontal="right" wrapText="1" indent="1"/>
    </xf>
    <xf numFmtId="0" fontId="23" fillId="0" borderId="16" xfId="5" applyFont="1" applyBorder="1" applyAlignment="1">
      <alignment wrapText="1"/>
    </xf>
    <xf numFmtId="0" fontId="10" fillId="16" borderId="37" xfId="5" applyFill="1" applyBorder="1" applyAlignment="1">
      <alignment horizontal="center" wrapText="1"/>
    </xf>
    <xf numFmtId="0" fontId="10" fillId="16" borderId="0" xfId="5" applyFill="1" applyBorder="1" applyAlignment="1">
      <alignment horizontal="center" wrapText="1"/>
    </xf>
    <xf numFmtId="0" fontId="23" fillId="8" borderId="16" xfId="5" applyFont="1" applyFill="1" applyBorder="1" applyAlignment="1">
      <alignment horizontal="right" wrapText="1" indent="1"/>
    </xf>
    <xf numFmtId="0" fontId="23" fillId="8" borderId="16" xfId="5" applyFont="1" applyFill="1" applyBorder="1" applyAlignment="1">
      <alignment horizontal="center" wrapText="1"/>
    </xf>
    <xf numFmtId="0" fontId="25" fillId="0" borderId="16" xfId="5" applyFont="1" applyBorder="1" applyAlignment="1">
      <alignment horizontal="center" vertical="top" wrapText="1"/>
    </xf>
    <xf numFmtId="0" fontId="10" fillId="0" borderId="0" xfId="5" applyAlignment="1">
      <alignment horizontal="center" wrapText="1"/>
    </xf>
    <xf numFmtId="0" fontId="10" fillId="0" borderId="52" xfId="5" applyBorder="1" applyAlignment="1">
      <alignment horizontal="center" wrapText="1"/>
    </xf>
    <xf numFmtId="165" fontId="25" fillId="10" borderId="10" xfId="2" applyNumberFormat="1" applyFont="1" applyFill="1" applyBorder="1" applyAlignment="1">
      <alignment horizontal="center" vertical="center" wrapText="1"/>
    </xf>
    <xf numFmtId="0" fontId="0" fillId="0" borderId="16" xfId="0" applyBorder="1" applyAlignment="1">
      <alignment horizontal="center"/>
    </xf>
    <xf numFmtId="4" fontId="0" fillId="0" borderId="16" xfId="0" applyNumberFormat="1" applyBorder="1" applyAlignment="1">
      <alignment horizontal="center"/>
    </xf>
  </cellXfs>
  <cellStyles count="8">
    <cellStyle name="Comma" xfId="1" builtinId="3"/>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stacked"/>
        <c:ser>
          <c:idx val="0"/>
          <c:order val="0"/>
          <c:tx>
            <c:strRef>
              <c:f>data!$B$57</c:f>
              <c:strCache>
                <c:ptCount val="1"/>
                <c:pt idx="0">
                  <c:v>sawah irigasi</c:v>
                </c:pt>
              </c:strCache>
            </c:strRef>
          </c:tx>
          <c:cat>
            <c:numRef>
              <c:f>data!$A$58:$A$72</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data!$B$58:$B$72</c:f>
              <c:numCache>
                <c:formatCode>#,##0</c:formatCode>
                <c:ptCount val="15"/>
                <c:pt idx="0">
                  <c:v>750487</c:v>
                </c:pt>
                <c:pt idx="1">
                  <c:v>756991</c:v>
                </c:pt>
                <c:pt idx="2">
                  <c:v>762954</c:v>
                </c:pt>
                <c:pt idx="3">
                  <c:v>759552</c:v>
                </c:pt>
                <c:pt idx="4">
                  <c:v>755956</c:v>
                </c:pt>
                <c:pt idx="5" formatCode="_(* #,##0_);_(* \(#,##0\);_(* &quot;-&quot;??_);_(@_)">
                  <c:v>757323.25</c:v>
                </c:pt>
                <c:pt idx="6" formatCode="_(* #,##0_);_(* \(#,##0\);_(* &quot;-&quot;??_);_(@_)">
                  <c:v>758690.5</c:v>
                </c:pt>
                <c:pt idx="7" formatCode="_(* #,##0_);_(* \(#,##0\);_(* &quot;-&quot;??_);_(@_)">
                  <c:v>760057.75</c:v>
                </c:pt>
                <c:pt idx="8" formatCode="_(* #,##0_);_(* \(#,##0\);_(* &quot;-&quot;??_);_(@_)">
                  <c:v>761425</c:v>
                </c:pt>
                <c:pt idx="9" formatCode="_(* #,##0_);_(* \(#,##0\);_(* &quot;-&quot;??_);_(@_)">
                  <c:v>762792.25</c:v>
                </c:pt>
                <c:pt idx="10" formatCode="_(* #,##0_);_(* \(#,##0\);_(* &quot;-&quot;??_);_(@_)">
                  <c:v>764159.5</c:v>
                </c:pt>
                <c:pt idx="11" formatCode="_(* #,##0_);_(* \(#,##0\);_(* &quot;-&quot;??_);_(@_)">
                  <c:v>765526.75</c:v>
                </c:pt>
                <c:pt idx="12" formatCode="_(* #,##0_);_(* \(#,##0\);_(* &quot;-&quot;??_);_(@_)">
                  <c:v>766894</c:v>
                </c:pt>
                <c:pt idx="13" formatCode="_(* #,##0_);_(* \(#,##0\);_(* &quot;-&quot;??_);_(@_)">
                  <c:v>768261.25</c:v>
                </c:pt>
                <c:pt idx="14" formatCode="_(* #,##0_);_(* \(#,##0\);_(* &quot;-&quot;??_);_(@_)">
                  <c:v>769628.5</c:v>
                </c:pt>
              </c:numCache>
            </c:numRef>
          </c:val>
        </c:ser>
        <c:ser>
          <c:idx val="1"/>
          <c:order val="1"/>
          <c:tx>
            <c:strRef>
              <c:f>data!$C$57</c:f>
              <c:strCache>
                <c:ptCount val="1"/>
                <c:pt idx="0">
                  <c:v>sawah non irigasi</c:v>
                </c:pt>
              </c:strCache>
            </c:strRef>
          </c:tx>
          <c:cat>
            <c:numRef>
              <c:f>data!$A$58:$A$72</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data!$C$58:$C$72</c:f>
              <c:numCache>
                <c:formatCode>#,##0</c:formatCode>
                <c:ptCount val="15"/>
                <c:pt idx="0">
                  <c:v>176295</c:v>
                </c:pt>
                <c:pt idx="1">
                  <c:v>177854</c:v>
                </c:pt>
                <c:pt idx="2">
                  <c:v>182950</c:v>
                </c:pt>
                <c:pt idx="3">
                  <c:v>177874</c:v>
                </c:pt>
                <c:pt idx="4">
                  <c:v>174312</c:v>
                </c:pt>
                <c:pt idx="5" formatCode="_(* #,##0_);_(* \(#,##0\);_(* &quot;-&quot;??_);_(@_)">
                  <c:v>173816.25</c:v>
                </c:pt>
                <c:pt idx="6" formatCode="_(* #,##0_);_(* \(#,##0\);_(* &quot;-&quot;??_);_(@_)">
                  <c:v>173320.5</c:v>
                </c:pt>
                <c:pt idx="7" formatCode="_(* #,##0_);_(* \(#,##0\);_(* &quot;-&quot;??_);_(@_)">
                  <c:v>172824.75</c:v>
                </c:pt>
                <c:pt idx="8" formatCode="_(* #,##0_);_(* \(#,##0\);_(* &quot;-&quot;??_);_(@_)">
                  <c:v>172329</c:v>
                </c:pt>
                <c:pt idx="9" formatCode="_(* #,##0_);_(* \(#,##0\);_(* &quot;-&quot;??_);_(@_)">
                  <c:v>171833.25</c:v>
                </c:pt>
                <c:pt idx="10" formatCode="_(* #,##0_);_(* \(#,##0\);_(* &quot;-&quot;??_);_(@_)">
                  <c:v>171337.5</c:v>
                </c:pt>
                <c:pt idx="11" formatCode="_(* #,##0_);_(* \(#,##0\);_(* &quot;-&quot;??_);_(@_)">
                  <c:v>170841.75</c:v>
                </c:pt>
                <c:pt idx="12" formatCode="_(* #,##0_);_(* \(#,##0\);_(* &quot;-&quot;??_);_(@_)">
                  <c:v>170346</c:v>
                </c:pt>
                <c:pt idx="13" formatCode="_(* #,##0_);_(* \(#,##0\);_(* &quot;-&quot;??_);_(@_)">
                  <c:v>169850.25</c:v>
                </c:pt>
                <c:pt idx="14" formatCode="_(* #,##0_);_(* \(#,##0\);_(* &quot;-&quot;??_);_(@_)">
                  <c:v>169354.5</c:v>
                </c:pt>
              </c:numCache>
            </c:numRef>
          </c:val>
        </c:ser>
        <c:ser>
          <c:idx val="2"/>
          <c:order val="2"/>
          <c:tx>
            <c:strRef>
              <c:f>data!$H$56</c:f>
              <c:strCache>
                <c:ptCount val="1"/>
                <c:pt idx="0">
                  <c:v>Total lahan kering produktif</c:v>
                </c:pt>
              </c:strCache>
            </c:strRef>
          </c:tx>
          <c:cat>
            <c:numRef>
              <c:f>data!$A$58:$A$72</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data!$H$58:$H$72</c:f>
              <c:numCache>
                <c:formatCode>#,##0</c:formatCode>
                <c:ptCount val="15"/>
                <c:pt idx="0">
                  <c:v>585775</c:v>
                </c:pt>
                <c:pt idx="1">
                  <c:v>577085</c:v>
                </c:pt>
                <c:pt idx="2">
                  <c:v>563383</c:v>
                </c:pt>
                <c:pt idx="3">
                  <c:v>635069</c:v>
                </c:pt>
                <c:pt idx="4">
                  <c:v>648969</c:v>
                </c:pt>
                <c:pt idx="5">
                  <c:v>700541</c:v>
                </c:pt>
                <c:pt idx="6">
                  <c:v>713739</c:v>
                </c:pt>
                <c:pt idx="7">
                  <c:v>735066.33333333337</c:v>
                </c:pt>
                <c:pt idx="8">
                  <c:v>756393.66666666663</c:v>
                </c:pt>
                <c:pt idx="9">
                  <c:v>777721</c:v>
                </c:pt>
                <c:pt idx="10">
                  <c:v>799048.33333333337</c:v>
                </c:pt>
                <c:pt idx="11">
                  <c:v>820375.66666666663</c:v>
                </c:pt>
                <c:pt idx="12">
                  <c:v>841703</c:v>
                </c:pt>
                <c:pt idx="13">
                  <c:v>863030.33333333337</c:v>
                </c:pt>
                <c:pt idx="14">
                  <c:v>884357.66666666663</c:v>
                </c:pt>
              </c:numCache>
            </c:numRef>
          </c:val>
        </c:ser>
        <c:overlap val="100"/>
        <c:axId val="162118656"/>
        <c:axId val="162756480"/>
      </c:barChart>
      <c:catAx>
        <c:axId val="162118656"/>
        <c:scaling>
          <c:orientation val="minMax"/>
        </c:scaling>
        <c:axPos val="b"/>
        <c:numFmt formatCode="0" sourceLinked="1"/>
        <c:tickLblPos val="nextTo"/>
        <c:txPr>
          <a:bodyPr/>
          <a:lstStyle/>
          <a:p>
            <a:pPr>
              <a:defRPr lang="en-US"/>
            </a:pPr>
            <a:endParaRPr lang="id-ID"/>
          </a:p>
        </c:txPr>
        <c:crossAx val="162756480"/>
        <c:crosses val="autoZero"/>
        <c:auto val="1"/>
        <c:lblAlgn val="ctr"/>
        <c:lblOffset val="100"/>
      </c:catAx>
      <c:valAx>
        <c:axId val="162756480"/>
        <c:scaling>
          <c:orientation val="minMax"/>
        </c:scaling>
        <c:axPos val="l"/>
        <c:majorGridlines/>
        <c:numFmt formatCode="#,##0" sourceLinked="1"/>
        <c:tickLblPos val="nextTo"/>
        <c:txPr>
          <a:bodyPr/>
          <a:lstStyle/>
          <a:p>
            <a:pPr>
              <a:defRPr lang="en-US"/>
            </a:pPr>
            <a:endParaRPr lang="id-ID"/>
          </a:p>
        </c:txPr>
        <c:crossAx val="162118656"/>
        <c:crosses val="autoZero"/>
        <c:crossBetween val="between"/>
      </c:valAx>
    </c:plotArea>
    <c:legend>
      <c:legendPos val="r"/>
      <c:txPr>
        <a:bodyPr/>
        <a:lstStyle/>
        <a:p>
          <a:pPr>
            <a:defRPr lang="en-US"/>
          </a:pPr>
          <a:endParaRPr lang="id-ID"/>
        </a:p>
      </c:txPr>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a:t>Kandungan N dari pupuk sintetis</a:t>
            </a:r>
          </a:p>
        </c:rich>
      </c:tx>
    </c:title>
    <c:plotArea>
      <c:layout/>
      <c:barChart>
        <c:barDir val="col"/>
        <c:grouping val="stacked"/>
        <c:ser>
          <c:idx val="0"/>
          <c:order val="0"/>
          <c:tx>
            <c:strRef>
              <c:f>'Direct N2O'!$B$136:$E$136</c:f>
              <c:strCache>
                <c:ptCount val="1"/>
                <c:pt idx="0">
                  <c:v>Kandungan N DARI LAHAN SAWAH </c:v>
                </c:pt>
              </c:strCache>
            </c:strRef>
          </c:tx>
          <c:cat>
            <c:numRef>
              <c:f>'Direct N2O'!$A$138:$A$148</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'Direct N2O'!$F$138:$F$148</c:f>
              <c:numCache>
                <c:formatCode>0</c:formatCode>
                <c:ptCount val="11"/>
                <c:pt idx="0">
                  <c:v>20790.199646955454</c:v>
                </c:pt>
                <c:pt idx="1">
                  <c:v>208141.4557280099</c:v>
                </c:pt>
                <c:pt idx="2">
                  <c:v>228194.28313347962</c:v>
                </c:pt>
                <c:pt idx="3">
                  <c:v>213805.76071279144</c:v>
                </c:pt>
                <c:pt idx="4">
                  <c:v>212633.7594895763</c:v>
                </c:pt>
                <c:pt idx="5">
                  <c:v>271294.68681105395</c:v>
                </c:pt>
                <c:pt idx="6">
                  <c:v>304684.19001005322</c:v>
                </c:pt>
                <c:pt idx="7">
                  <c:v>335910.70484345761</c:v>
                </c:pt>
                <c:pt idx="8">
                  <c:v>366364.31098175078</c:v>
                </c:pt>
                <c:pt idx="9">
                  <c:v>396075.03774119233</c:v>
                </c:pt>
                <c:pt idx="10">
                  <c:v>425071.3772062317</c:v>
                </c:pt>
              </c:numCache>
            </c:numRef>
          </c:val>
        </c:ser>
        <c:ser>
          <c:idx val="1"/>
          <c:order val="1"/>
          <c:tx>
            <c:strRef>
              <c:f>'Direct N2O'!$G$136:$K$136</c:f>
              <c:strCache>
                <c:ptCount val="1"/>
                <c:pt idx="0">
                  <c:v>Kandungan N DARI LAHAN KERING</c:v>
                </c:pt>
              </c:strCache>
            </c:strRef>
          </c:tx>
          <c:cat>
            <c:numRef>
              <c:f>'Direct N2O'!$A$138:$A$148</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'Direct N2O'!$L$138:$L$148</c:f>
              <c:numCache>
                <c:formatCode>_(* #,##0_);_(* \(#,##0\);_(* "-"??_);_(@_)</c:formatCode>
                <c:ptCount val="11"/>
                <c:pt idx="0">
                  <c:v>13140.500353044545</c:v>
                </c:pt>
                <c:pt idx="1">
                  <c:v>128486.87427199012</c:v>
                </c:pt>
                <c:pt idx="2">
                  <c:v>135913.13686652039</c:v>
                </c:pt>
                <c:pt idx="3">
                  <c:v>144844.93778720856</c:v>
                </c:pt>
                <c:pt idx="4">
                  <c:v>148336.52051042372</c:v>
                </c:pt>
                <c:pt idx="5">
                  <c:v>204108.03235530501</c:v>
                </c:pt>
                <c:pt idx="6">
                  <c:v>233328.77948177155</c:v>
                </c:pt>
                <c:pt idx="7">
                  <c:v>264681.40428906737</c:v>
                </c:pt>
                <c:pt idx="8">
                  <c:v>296775.85800895456</c:v>
                </c:pt>
                <c:pt idx="9">
                  <c:v>329582.14218113862</c:v>
                </c:pt>
                <c:pt idx="10">
                  <c:v>363071.79553151334</c:v>
                </c:pt>
              </c:numCache>
            </c:numRef>
          </c:val>
        </c:ser>
        <c:gapWidth val="95"/>
        <c:overlap val="100"/>
        <c:axId val="162935936"/>
        <c:axId val="162937472"/>
      </c:barChart>
      <c:catAx>
        <c:axId val="162935936"/>
        <c:scaling>
          <c:orientation val="minMax"/>
        </c:scaling>
        <c:axPos val="b"/>
        <c:numFmt formatCode="General" sourceLinked="1"/>
        <c:majorTickMark val="none"/>
        <c:tickLblPos val="nextTo"/>
        <c:txPr>
          <a:bodyPr/>
          <a:lstStyle/>
          <a:p>
            <a:pPr>
              <a:defRPr lang="en-US"/>
            </a:pPr>
            <a:endParaRPr lang="id-ID"/>
          </a:p>
        </c:txPr>
        <c:crossAx val="162937472"/>
        <c:crosses val="autoZero"/>
        <c:auto val="1"/>
        <c:lblAlgn val="ctr"/>
        <c:lblOffset val="100"/>
      </c:catAx>
      <c:valAx>
        <c:axId val="162937472"/>
        <c:scaling>
          <c:orientation val="minMax"/>
        </c:scaling>
        <c:axPos val="l"/>
        <c:majorGridlines/>
        <c:title>
          <c:tx>
            <c:rich>
              <a:bodyPr/>
              <a:lstStyle/>
              <a:p>
                <a:pPr>
                  <a:defRPr lang="en-US"/>
                </a:pPr>
                <a:r>
                  <a:rPr lang="id-ID"/>
                  <a:t>Total (Gg N/th)</a:t>
                </a:r>
              </a:p>
            </c:rich>
          </c:tx>
          <c:layout>
            <c:manualLayout>
              <c:xMode val="edge"/>
              <c:yMode val="edge"/>
              <c:x val="0.1561481499696489"/>
              <c:y val="0.30477315102916686"/>
            </c:manualLayout>
          </c:layout>
        </c:title>
        <c:numFmt formatCode="0" sourceLinked="1"/>
        <c:majorTickMark val="none"/>
        <c:tickLblPos val="nextTo"/>
        <c:txPr>
          <a:bodyPr/>
          <a:lstStyle/>
          <a:p>
            <a:pPr>
              <a:defRPr lang="en-US"/>
            </a:pPr>
            <a:endParaRPr lang="id-ID"/>
          </a:p>
        </c:txPr>
        <c:crossAx val="162935936"/>
        <c:crosses val="autoZero"/>
        <c:crossBetween val="between"/>
      </c:valAx>
      <c:dTable>
        <c:showHorzBorder val="1"/>
        <c:showVertBorder val="1"/>
        <c:showOutline val="1"/>
        <c:showKeys val="1"/>
        <c:txPr>
          <a:bodyPr/>
          <a:lstStyle/>
          <a:p>
            <a:pPr rtl="0">
              <a:defRPr lang="en-US" sz="900"/>
            </a:pPr>
            <a:endParaRPr lang="id-ID"/>
          </a:p>
        </c:txPr>
      </c:dTable>
    </c:plotArea>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id-ID"/>
  <c:chart>
    <c:title>
      <c:txPr>
        <a:bodyPr/>
        <a:lstStyle/>
        <a:p>
          <a:pPr>
            <a:defRPr lang="en-US" sz="1400"/>
          </a:pPr>
          <a:endParaRPr lang="id-ID"/>
        </a:p>
      </c:txPr>
    </c:title>
    <c:plotArea>
      <c:layout>
        <c:manualLayout>
          <c:layoutTarget val="inner"/>
          <c:xMode val="edge"/>
          <c:yMode val="edge"/>
          <c:x val="0.10614968849463262"/>
          <c:y val="0.15404806945401481"/>
          <c:w val="0.87756864691504788"/>
          <c:h val="0.72797038787486412"/>
        </c:manualLayout>
      </c:layout>
      <c:lineChart>
        <c:grouping val="standard"/>
        <c:ser>
          <c:idx val="0"/>
          <c:order val="0"/>
          <c:tx>
            <c:strRef>
              <c:f>'Direct N2O'!$H$14</c:f>
              <c:strCache>
                <c:ptCount val="1"/>
                <c:pt idx="0">
                  <c:v>Emisi Langsung N2O dari pemakaian pupuk Sintetis di lahan kering</c:v>
                </c:pt>
              </c:strCache>
            </c:strRef>
          </c:tx>
          <c:cat>
            <c:numRef>
              <c:f>'Direct N2O'!$B$15:$B$39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N2O'!$H$15:$H$39</c:f>
              <c:numCache>
                <c:formatCode>_(* #,##0.00_);_(* \(#,##0.00\);_(* "-"??_);_(@_)</c:formatCode>
                <c:ptCount val="25"/>
                <c:pt idx="0">
                  <c:v>0.13140500353044546</c:v>
                </c:pt>
                <c:pt idx="1">
                  <c:v>1.2848687427199013</c:v>
                </c:pt>
                <c:pt idx="2">
                  <c:v>1.3591313686652042</c:v>
                </c:pt>
                <c:pt idx="3">
                  <c:v>1.4484493778720857</c:v>
                </c:pt>
                <c:pt idx="4">
                  <c:v>1.4833652051042372</c:v>
                </c:pt>
                <c:pt idx="5">
                  <c:v>2.0410803235530501</c:v>
                </c:pt>
                <c:pt idx="6">
                  <c:v>2.3332877948177155</c:v>
                </c:pt>
                <c:pt idx="7">
                  <c:v>2.6468140428906741</c:v>
                </c:pt>
                <c:pt idx="8">
                  <c:v>2.9677585800895456</c:v>
                </c:pt>
                <c:pt idx="9">
                  <c:v>3.2958214218113864</c:v>
                </c:pt>
                <c:pt idx="10">
                  <c:v>3.6307179553151334</c:v>
                </c:pt>
                <c:pt idx="11">
                  <c:v>3.9721779684696275</c:v>
                </c:pt>
                <c:pt idx="12">
                  <c:v>4.3199447512289018</c:v>
                </c:pt>
                <c:pt idx="13">
                  <c:v>4.6737742635452664</c:v>
                </c:pt>
                <c:pt idx="14">
                  <c:v>5.033434364068448</c:v>
                </c:pt>
                <c:pt idx="15">
                  <c:v>5.3987040945151064</c:v>
                </c:pt>
                <c:pt idx="16">
                  <c:v>5.7693730150590712</c:v>
                </c:pt>
                <c:pt idx="17">
                  <c:v>6.1452405865730881</c:v>
                </c:pt>
                <c:pt idx="18">
                  <c:v>6.5261155958937351</c:v>
                </c:pt>
                <c:pt idx="19">
                  <c:v>6.9118156206635115</c:v>
                </c:pt>
                <c:pt idx="20">
                  <c:v>7.3021665306067689</c:v>
                </c:pt>
                <c:pt idx="21">
                  <c:v>7.697002022367494</c:v>
                </c:pt>
                <c:pt idx="22">
                  <c:v>8.0961631853241141</c:v>
                </c:pt>
                <c:pt idx="23">
                  <c:v>8.4994980959764632</c:v>
                </c:pt>
                <c:pt idx="24">
                  <c:v>8.9068614387531539</c:v>
                </c:pt>
              </c:numCache>
            </c:numRef>
          </c:val>
        </c:ser>
        <c:marker val="1"/>
        <c:axId val="162971648"/>
        <c:axId val="162973184"/>
      </c:lineChart>
      <c:catAx>
        <c:axId val="162971648"/>
        <c:scaling>
          <c:orientation val="minMax"/>
        </c:scaling>
        <c:axPos val="b"/>
        <c:numFmt formatCode="General" sourceLinked="1"/>
        <c:majorTickMark val="none"/>
        <c:tickLblPos val="nextTo"/>
        <c:txPr>
          <a:bodyPr rot="4080000"/>
          <a:lstStyle/>
          <a:p>
            <a:pPr>
              <a:defRPr lang="en-US"/>
            </a:pPr>
            <a:endParaRPr lang="id-ID"/>
          </a:p>
        </c:txPr>
        <c:crossAx val="162973184"/>
        <c:crosses val="autoZero"/>
        <c:auto val="1"/>
        <c:lblAlgn val="ctr"/>
        <c:lblOffset val="100"/>
      </c:catAx>
      <c:valAx>
        <c:axId val="162973184"/>
        <c:scaling>
          <c:orientation val="minMax"/>
        </c:scaling>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24"/>
            </c:manualLayout>
          </c:layout>
        </c:title>
        <c:numFmt formatCode="_(* #,##0.00_);_(* \(#,##0.00\);_(* &quot;-&quot;??_);_(@_)" sourceLinked="0"/>
        <c:majorTickMark val="none"/>
        <c:tickLblPos val="nextTo"/>
        <c:txPr>
          <a:bodyPr/>
          <a:lstStyle/>
          <a:p>
            <a:pPr>
              <a:defRPr lang="en-US"/>
            </a:pPr>
            <a:endParaRPr lang="id-ID"/>
          </a:p>
        </c:txPr>
        <c:crossAx val="162971648"/>
        <c:crosses val="autoZero"/>
        <c:crossBetween val="between"/>
        <c:majorUnit val="0.5"/>
      </c:valAx>
    </c:plotArea>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id-ID"/>
  <c:chart>
    <c:title>
      <c:txPr>
        <a:bodyPr/>
        <a:lstStyle/>
        <a:p>
          <a:pPr>
            <a:defRPr lang="en-US" sz="1400"/>
          </a:pPr>
          <a:endParaRPr lang="id-ID"/>
        </a:p>
      </c:txPr>
    </c:title>
    <c:plotArea>
      <c:layout>
        <c:manualLayout>
          <c:layoutTarget val="inner"/>
          <c:xMode val="edge"/>
          <c:yMode val="edge"/>
          <c:x val="0.10614968849463262"/>
          <c:y val="0.15404806945401481"/>
          <c:w val="0.87756864691504788"/>
          <c:h val="0.72797038787486412"/>
        </c:manualLayout>
      </c:layout>
      <c:lineChart>
        <c:grouping val="standard"/>
        <c:ser>
          <c:idx val="0"/>
          <c:order val="0"/>
          <c:tx>
            <c:strRef>
              <c:f>'Direct N2O'!$H$40</c:f>
              <c:strCache>
                <c:ptCount val="1"/>
                <c:pt idx="0">
                  <c:v>Emisi Langsung N2O dari pemakaian pupuk organik di lahan kering</c:v>
                </c:pt>
              </c:strCache>
            </c:strRef>
          </c:tx>
          <c:cat>
            <c:numRef>
              <c:f>'Direct N2O'!$B$41:$B$63</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'Direct N2O'!$H$41:$H$63</c:f>
              <c:numCache>
                <c:formatCode>_(* #,##0.000_);_(* \(#,##0.000\);_(* "-"??_);_(@_)</c:formatCode>
                <c:ptCount val="23"/>
                <c:pt idx="0">
                  <c:v>3.8432659712831288E-3</c:v>
                </c:pt>
                <c:pt idx="1">
                  <c:v>1.3234516567620249E-2</c:v>
                </c:pt>
                <c:pt idx="2">
                  <c:v>1.2759223904328484E-2</c:v>
                </c:pt>
                <c:pt idx="3">
                  <c:v>2.0517866209248687E-2</c:v>
                </c:pt>
                <c:pt idx="4">
                  <c:v>4.3859635604314141E-2</c:v>
                </c:pt>
                <c:pt idx="5">
                  <c:v>3.5198770411922119E-2</c:v>
                </c:pt>
                <c:pt idx="6">
                  <c:v>2.9309018465104527E-2</c:v>
                </c:pt>
                <c:pt idx="7">
                  <c:v>4.1662860575279584E-2</c:v>
                </c:pt>
                <c:pt idx="8">
                  <c:v>4.7684647339260047E-2</c:v>
                </c:pt>
                <c:pt idx="9">
                  <c:v>5.3840294905385826E-2</c:v>
                </c:pt>
                <c:pt idx="10">
                  <c:v>6.0124792061431405E-2</c:v>
                </c:pt>
                <c:pt idx="11">
                  <c:v>6.6533374645265722E-2</c:v>
                </c:pt>
                <c:pt idx="12">
                  <c:v>7.3061510505907409E-2</c:v>
                </c:pt>
                <c:pt idx="13">
                  <c:v>7.9704885549944274E-2</c:v>
                </c:pt>
                <c:pt idx="14">
                  <c:v>8.6459390783016704E-2</c:v>
                </c:pt>
                <c:pt idx="15">
                  <c:v>9.3321110264550186E-2</c:v>
                </c:pt>
                <c:pt idx="16">
                  <c:v>0.10028630990152125</c:v>
                </c:pt>
                <c:pt idx="17">
                  <c:v>0.10735142701385356</c:v>
                </c:pt>
                <c:pt idx="18">
                  <c:v>0.11451306061016055</c:v>
                </c:pt>
                <c:pt idx="19">
                  <c:v>0.12176796231804982</c:v>
                </c:pt>
                <c:pt idx="20">
                  <c:v>0.12911302791815629</c:v>
                </c:pt>
                <c:pt idx="21">
                  <c:v>0.13654528943553357</c:v>
                </c:pt>
                <c:pt idx="22">
                  <c:v>0.14406190774605807</c:v>
                </c:pt>
              </c:numCache>
            </c:numRef>
          </c:val>
        </c:ser>
        <c:marker val="1"/>
        <c:axId val="163133312"/>
        <c:axId val="163134848"/>
      </c:lineChart>
      <c:catAx>
        <c:axId val="163133312"/>
        <c:scaling>
          <c:orientation val="minMax"/>
        </c:scaling>
        <c:axPos val="b"/>
        <c:numFmt formatCode="General" sourceLinked="1"/>
        <c:majorTickMark val="none"/>
        <c:tickLblPos val="nextTo"/>
        <c:txPr>
          <a:bodyPr rot="4080000"/>
          <a:lstStyle/>
          <a:p>
            <a:pPr>
              <a:defRPr lang="en-US"/>
            </a:pPr>
            <a:endParaRPr lang="id-ID"/>
          </a:p>
        </c:txPr>
        <c:crossAx val="163134848"/>
        <c:crosses val="autoZero"/>
        <c:auto val="1"/>
        <c:lblAlgn val="ctr"/>
        <c:lblOffset val="100"/>
      </c:catAx>
      <c:valAx>
        <c:axId val="163134848"/>
        <c:scaling>
          <c:orientation val="minMax"/>
        </c:scaling>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24"/>
            </c:manualLayout>
          </c:layout>
        </c:title>
        <c:numFmt formatCode="_(* #,##0.00_);_(* \(#,##0.00\);_(* &quot;-&quot;??_);_(@_)" sourceLinked="0"/>
        <c:majorTickMark val="none"/>
        <c:tickLblPos val="nextTo"/>
        <c:txPr>
          <a:bodyPr/>
          <a:lstStyle/>
          <a:p>
            <a:pPr>
              <a:defRPr lang="en-US"/>
            </a:pPr>
            <a:endParaRPr lang="id-ID"/>
          </a:p>
        </c:txPr>
        <c:crossAx val="163133312"/>
        <c:crosses val="autoZero"/>
        <c:crossBetween val="between"/>
      </c:valAx>
    </c:plotArea>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id-ID"/>
  <c:chart>
    <c:title>
      <c:txPr>
        <a:bodyPr/>
        <a:lstStyle/>
        <a:p>
          <a:pPr>
            <a:defRPr lang="en-US" sz="1400"/>
          </a:pPr>
          <a:endParaRPr lang="id-ID"/>
        </a:p>
      </c:txPr>
    </c:title>
    <c:plotArea>
      <c:layout>
        <c:manualLayout>
          <c:layoutTarget val="inner"/>
          <c:xMode val="edge"/>
          <c:yMode val="edge"/>
          <c:x val="0.10614968849463262"/>
          <c:y val="0.15404806945401481"/>
          <c:w val="0.87756864691504788"/>
          <c:h val="0.72797038787486412"/>
        </c:manualLayout>
      </c:layout>
      <c:lineChart>
        <c:grouping val="standard"/>
        <c:ser>
          <c:idx val="0"/>
          <c:order val="0"/>
          <c:tx>
            <c:strRef>
              <c:f>'Direct N2O'!$H$64</c:f>
              <c:strCache>
                <c:ptCount val="1"/>
                <c:pt idx="0">
                  <c:v>Emisi Langsung N2O dari pemakaian pupuk Sintetis di lahan sawah</c:v>
                </c:pt>
              </c:strCache>
            </c:strRef>
          </c:tx>
          <c:cat>
            <c:numRef>
              <c:f>'Direct N2O'!$B$65:$B$89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N2O'!$H$65:$H$89</c:f>
              <c:numCache>
                <c:formatCode>_(* #,##0.00_);_(* \(#,##0.00\);_(* "-"??_);_(@_)</c:formatCode>
                <c:ptCount val="25"/>
                <c:pt idx="0">
                  <c:v>6.2370598940866356E-2</c:v>
                </c:pt>
                <c:pt idx="1">
                  <c:v>0.62442436718402983</c:v>
                </c:pt>
                <c:pt idx="2">
                  <c:v>0.68458284940043879</c:v>
                </c:pt>
                <c:pt idx="3">
                  <c:v>0.64141728213837423</c:v>
                </c:pt>
                <c:pt idx="4">
                  <c:v>0.63790127846872902</c:v>
                </c:pt>
                <c:pt idx="5">
                  <c:v>0.81388406043316175</c:v>
                </c:pt>
                <c:pt idx="6">
                  <c:v>0.91405257003015972</c:v>
                </c:pt>
                <c:pt idx="7">
                  <c:v>1.0077321145303728</c:v>
                </c:pt>
                <c:pt idx="8">
                  <c:v>1.0990929329452523</c:v>
                </c:pt>
                <c:pt idx="9">
                  <c:v>1.188225113223577</c:v>
                </c:pt>
                <c:pt idx="10">
                  <c:v>1.2752141316186951</c:v>
                </c:pt>
                <c:pt idx="11">
                  <c:v>1.360141144062073</c:v>
                </c:pt>
                <c:pt idx="12">
                  <c:v>1.4430832557238513</c:v>
                </c:pt>
                <c:pt idx="13">
                  <c:v>1.5241137706369765</c:v>
                </c:pt>
                <c:pt idx="14">
                  <c:v>1.6033024230876705</c:v>
                </c:pt>
                <c:pt idx="15">
                  <c:v>1.6807155923080703</c:v>
                </c:pt>
                <c:pt idx="16">
                  <c:v>1.7564165018545288</c:v>
                </c:pt>
                <c:pt idx="17">
                  <c:v>1.8304654049390103</c:v>
                </c:pt>
                <c:pt idx="18">
                  <c:v>1.9029197568483944</c:v>
                </c:pt>
                <c:pt idx="19">
                  <c:v>1.9738343754922494</c:v>
                </c:pt>
                <c:pt idx="20">
                  <c:v>2.0432615910218104</c:v>
                </c:pt>
                <c:pt idx="21">
                  <c:v>2.1112513853753496</c:v>
                </c:pt>
                <c:pt idx="22">
                  <c:v>2.1778515225384032</c:v>
                </c:pt>
                <c:pt idx="23">
                  <c:v>2.2431076702247443</c:v>
                </c:pt>
                <c:pt idx="24">
                  <c:v>2.3070635136353168</c:v>
                </c:pt>
              </c:numCache>
            </c:numRef>
          </c:val>
        </c:ser>
        <c:marker val="1"/>
        <c:axId val="163145984"/>
        <c:axId val="163168256"/>
      </c:lineChart>
      <c:catAx>
        <c:axId val="163145984"/>
        <c:scaling>
          <c:orientation val="minMax"/>
        </c:scaling>
        <c:axPos val="b"/>
        <c:numFmt formatCode="General" sourceLinked="1"/>
        <c:majorTickMark val="none"/>
        <c:tickLblPos val="nextTo"/>
        <c:txPr>
          <a:bodyPr rot="4080000"/>
          <a:lstStyle/>
          <a:p>
            <a:pPr>
              <a:defRPr lang="en-US"/>
            </a:pPr>
            <a:endParaRPr lang="id-ID"/>
          </a:p>
        </c:txPr>
        <c:crossAx val="163168256"/>
        <c:crosses val="autoZero"/>
        <c:auto val="1"/>
        <c:lblAlgn val="ctr"/>
        <c:lblOffset val="100"/>
      </c:catAx>
      <c:valAx>
        <c:axId val="163168256"/>
        <c:scaling>
          <c:orientation val="minMax"/>
        </c:scaling>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24"/>
            </c:manualLayout>
          </c:layout>
        </c:title>
        <c:numFmt formatCode="_(* #,##0.00_);_(* \(#,##0.00\);_(* &quot;-&quot;??_);_(@_)" sourceLinked="0"/>
        <c:majorTickMark val="none"/>
        <c:tickLblPos val="nextTo"/>
        <c:txPr>
          <a:bodyPr/>
          <a:lstStyle/>
          <a:p>
            <a:pPr>
              <a:defRPr lang="en-US"/>
            </a:pPr>
            <a:endParaRPr lang="id-ID"/>
          </a:p>
        </c:txPr>
        <c:crossAx val="163145984"/>
        <c:crosses val="autoZero"/>
        <c:crossBetween val="between"/>
        <c:majorUnit val="0.2"/>
      </c:valAx>
    </c:plotArea>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id-ID"/>
  <c:chart>
    <c:title>
      <c:txPr>
        <a:bodyPr/>
        <a:lstStyle/>
        <a:p>
          <a:pPr>
            <a:defRPr lang="en-US" sz="1400"/>
          </a:pPr>
          <a:endParaRPr lang="id-ID"/>
        </a:p>
      </c:txPr>
    </c:title>
    <c:plotArea>
      <c:layout>
        <c:manualLayout>
          <c:layoutTarget val="inner"/>
          <c:xMode val="edge"/>
          <c:yMode val="edge"/>
          <c:x val="0.10614968849463262"/>
          <c:y val="0.15404806945401481"/>
          <c:w val="0.87756864691504788"/>
          <c:h val="0.72797038787486412"/>
        </c:manualLayout>
      </c:layout>
      <c:lineChart>
        <c:grouping val="standard"/>
        <c:ser>
          <c:idx val="0"/>
          <c:order val="0"/>
          <c:tx>
            <c:strRef>
              <c:f>'Direct N2O'!$L$10:$L$12</c:f>
              <c:strCache>
                <c:ptCount val="1"/>
                <c:pt idx="0">
                  <c:v>Emisi Langsung N2O dari pemakaian pupuk Sintetis  (sawah+kering)</c:v>
                </c:pt>
              </c:strCache>
            </c:strRef>
          </c:tx>
          <c:cat>
            <c:numRef>
              <c:f>'Direct N2O'!$B$65:$B$89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N2O'!$L$15:$L$39</c:f>
              <c:numCache>
                <c:formatCode>_(* #,##0.00_);_(* \(#,##0.00\);_(* "-"??_);_(@_)</c:formatCode>
                <c:ptCount val="25"/>
                <c:pt idx="0">
                  <c:v>0.19377560247131181</c:v>
                </c:pt>
                <c:pt idx="1">
                  <c:v>1.9092931099039312</c:v>
                </c:pt>
                <c:pt idx="2">
                  <c:v>2.0437142180656429</c:v>
                </c:pt>
                <c:pt idx="3">
                  <c:v>2.0898666600104598</c:v>
                </c:pt>
                <c:pt idx="4">
                  <c:v>2.121266483572966</c:v>
                </c:pt>
                <c:pt idx="5">
                  <c:v>2.854964383986212</c:v>
                </c:pt>
                <c:pt idx="6">
                  <c:v>3.2473403648478754</c:v>
                </c:pt>
                <c:pt idx="7">
                  <c:v>3.6545461574210467</c:v>
                </c:pt>
                <c:pt idx="8">
                  <c:v>4.0668515130347984</c:v>
                </c:pt>
                <c:pt idx="9">
                  <c:v>4.4840465350349632</c:v>
                </c:pt>
                <c:pt idx="10">
                  <c:v>4.905932086933829</c:v>
                </c:pt>
                <c:pt idx="11">
                  <c:v>5.3323191125317004</c:v>
                </c:pt>
                <c:pt idx="12">
                  <c:v>5.7630280069527533</c:v>
                </c:pt>
                <c:pt idx="13">
                  <c:v>6.1978880341822427</c:v>
                </c:pt>
                <c:pt idx="14">
                  <c:v>6.6367367871561189</c:v>
                </c:pt>
                <c:pt idx="15">
                  <c:v>7.0794196868231767</c:v>
                </c:pt>
                <c:pt idx="16">
                  <c:v>7.5257895169135995</c:v>
                </c:pt>
                <c:pt idx="17">
                  <c:v>7.9757059915120987</c:v>
                </c:pt>
                <c:pt idx="18">
                  <c:v>8.4290353527421296</c:v>
                </c:pt>
                <c:pt idx="19">
                  <c:v>8.8856499961557613</c:v>
                </c:pt>
                <c:pt idx="20">
                  <c:v>9.3454281216285793</c:v>
                </c:pt>
                <c:pt idx="21">
                  <c:v>9.8082534077428427</c:v>
                </c:pt>
                <c:pt idx="22">
                  <c:v>10.274014707862516</c:v>
                </c:pt>
                <c:pt idx="23">
                  <c:v>10.742605766201208</c:v>
                </c:pt>
                <c:pt idx="24">
                  <c:v>11.213924952388471</c:v>
                </c:pt>
              </c:numCache>
            </c:numRef>
          </c:val>
        </c:ser>
        <c:marker val="1"/>
        <c:axId val="163253632"/>
        <c:axId val="163259520"/>
      </c:lineChart>
      <c:catAx>
        <c:axId val="163253632"/>
        <c:scaling>
          <c:orientation val="minMax"/>
        </c:scaling>
        <c:axPos val="b"/>
        <c:numFmt formatCode="General" sourceLinked="1"/>
        <c:majorTickMark val="none"/>
        <c:tickLblPos val="nextTo"/>
        <c:txPr>
          <a:bodyPr rot="4080000"/>
          <a:lstStyle/>
          <a:p>
            <a:pPr>
              <a:defRPr lang="en-US"/>
            </a:pPr>
            <a:endParaRPr lang="id-ID"/>
          </a:p>
        </c:txPr>
        <c:crossAx val="163259520"/>
        <c:crosses val="autoZero"/>
        <c:auto val="1"/>
        <c:lblAlgn val="ctr"/>
        <c:lblOffset val="100"/>
      </c:catAx>
      <c:valAx>
        <c:axId val="163259520"/>
        <c:scaling>
          <c:orientation val="minMax"/>
        </c:scaling>
        <c:axPos val="l"/>
        <c:majorGridlines/>
        <c:title>
          <c:tx>
            <c:rich>
              <a:bodyPr/>
              <a:lstStyle/>
              <a:p>
                <a:pPr>
                  <a:defRPr lang="en-US"/>
                </a:pPr>
                <a:r>
                  <a:rPr lang="en-US"/>
                  <a:t> Ribu </a:t>
                </a:r>
                <a:r>
                  <a:rPr lang="id-ID"/>
                  <a:t>ton N2O/tahun</a:t>
                </a:r>
              </a:p>
            </c:rich>
          </c:tx>
          <c:layout>
            <c:manualLayout>
              <c:xMode val="edge"/>
              <c:yMode val="edge"/>
              <c:x val="2.0559787936527299E-3"/>
              <c:y val="0.35259952800017624"/>
            </c:manualLayout>
          </c:layout>
        </c:title>
        <c:numFmt formatCode="_(* #,##0.00_);_(* \(#,##0.00\);_(* &quot;-&quot;??_);_(@_)" sourceLinked="0"/>
        <c:majorTickMark val="none"/>
        <c:tickLblPos val="nextTo"/>
        <c:txPr>
          <a:bodyPr/>
          <a:lstStyle/>
          <a:p>
            <a:pPr>
              <a:defRPr lang="en-US"/>
            </a:pPr>
            <a:endParaRPr lang="id-ID"/>
          </a:p>
        </c:txPr>
        <c:crossAx val="163253632"/>
        <c:crosses val="autoZero"/>
        <c:crossBetween val="between"/>
        <c:majorUnit val="1"/>
      </c:valAx>
    </c:plotArea>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400"/>
            </a:pPr>
            <a:r>
              <a:rPr lang="id-ID" sz="1400"/>
              <a:t>Emisi </a:t>
            </a:r>
            <a:r>
              <a:rPr lang="id-ID" sz="1400" b="1" i="0" u="none" strike="noStrike" baseline="0"/>
              <a:t>langsung </a:t>
            </a:r>
            <a:r>
              <a:rPr lang="id-ID" sz="1400"/>
              <a:t>N2O  dari Penggunaan Pupuk </a:t>
            </a:r>
            <a:r>
              <a:rPr lang="en-US" sz="1400"/>
              <a:t>Sintetis</a:t>
            </a:r>
            <a:endParaRPr lang="id-ID" sz="1400"/>
          </a:p>
        </c:rich>
      </c:tx>
    </c:title>
    <c:plotArea>
      <c:layout>
        <c:manualLayout>
          <c:layoutTarget val="inner"/>
          <c:xMode val="edge"/>
          <c:yMode val="edge"/>
          <c:x val="0.13791463917541075"/>
          <c:y val="9.536543508984463E-2"/>
          <c:w val="0.84914510977075097"/>
          <c:h val="0.75648960226125583"/>
        </c:manualLayout>
      </c:layout>
      <c:barChart>
        <c:barDir val="col"/>
        <c:grouping val="stacked"/>
        <c:ser>
          <c:idx val="0"/>
          <c:order val="0"/>
          <c:tx>
            <c:strRef>
              <c:f>'Direct N2O'!$H$14</c:f>
              <c:strCache>
                <c:ptCount val="1"/>
                <c:pt idx="0">
                  <c:v>Emisi Langsung N2O dari pemakaian pupuk Sintetis di lahan kering</c:v>
                </c:pt>
              </c:strCache>
            </c:strRef>
          </c:tx>
          <c:cat>
            <c:numRef>
              <c:f>'Direct N2O'!$B$15:$B$39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N2O'!$I$15:$I$39</c:f>
              <c:numCache>
                <c:formatCode>_(* #,##0.00_);_(* \(#,##0.00\);_(* "-"??_);_(@_)</c:formatCode>
                <c:ptCount val="25"/>
                <c:pt idx="0">
                  <c:v>40.735551094438094</c:v>
                </c:pt>
                <c:pt idx="1">
                  <c:v>398.30931024316936</c:v>
                </c:pt>
                <c:pt idx="2">
                  <c:v>421.3307242862133</c:v>
                </c:pt>
                <c:pt idx="3">
                  <c:v>449.0193071403466</c:v>
                </c:pt>
                <c:pt idx="4">
                  <c:v>459.84321358231352</c:v>
                </c:pt>
                <c:pt idx="5">
                  <c:v>632.73490030144558</c:v>
                </c:pt>
                <c:pt idx="6">
                  <c:v>723.31921639349184</c:v>
                </c:pt>
                <c:pt idx="7">
                  <c:v>820.51235329610893</c:v>
                </c:pt>
                <c:pt idx="8">
                  <c:v>920.00515982775914</c:v>
                </c:pt>
                <c:pt idx="9">
                  <c:v>1021.7046407615297</c:v>
                </c:pt>
                <c:pt idx="10">
                  <c:v>1125.5225661476914</c:v>
                </c:pt>
                <c:pt idx="11">
                  <c:v>1231.3751702255845</c:v>
                </c:pt>
                <c:pt idx="12">
                  <c:v>1339.1828728809596</c:v>
                </c:pt>
                <c:pt idx="13">
                  <c:v>1448.8700216990326</c:v>
                </c:pt>
                <c:pt idx="14">
                  <c:v>1560.3646528612189</c:v>
                </c:pt>
                <c:pt idx="15">
                  <c:v>1673.5982692996829</c:v>
                </c:pt>
                <c:pt idx="16">
                  <c:v>1788.505634668312</c:v>
                </c:pt>
                <c:pt idx="17">
                  <c:v>1905.0245818376573</c:v>
                </c:pt>
                <c:pt idx="18">
                  <c:v>2023.095834727058</c:v>
                </c:pt>
                <c:pt idx="19">
                  <c:v>2142.6628424056885</c:v>
                </c:pt>
                <c:pt idx="20">
                  <c:v>2263.6716244880981</c:v>
                </c:pt>
                <c:pt idx="21">
                  <c:v>2386.070626933923</c:v>
                </c:pt>
                <c:pt idx="22">
                  <c:v>2509.8105874504754</c:v>
                </c:pt>
                <c:pt idx="23">
                  <c:v>2634.8444097527035</c:v>
                </c:pt>
                <c:pt idx="24">
                  <c:v>2761.1270460134779</c:v>
                </c:pt>
              </c:numCache>
            </c:numRef>
          </c:val>
        </c:ser>
        <c:ser>
          <c:idx val="1"/>
          <c:order val="1"/>
          <c:tx>
            <c:strRef>
              <c:f>'Direct N2O'!$H$64</c:f>
              <c:strCache>
                <c:ptCount val="1"/>
                <c:pt idx="0">
                  <c:v>Emisi Langsung N2O dari pemakaian pupuk Sintetis di lahan sawah</c:v>
                </c:pt>
              </c:strCache>
            </c:strRef>
          </c:tx>
          <c:cat>
            <c:numRef>
              <c:f>'Direct N2O'!$B$15:$B$39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N2O'!$I$65:$I$89</c:f>
              <c:numCache>
                <c:formatCode>_(* #,##0.00_);_(* \(#,##0.00\);_(* "-"??_);_(@_)</c:formatCode>
                <c:ptCount val="25"/>
                <c:pt idx="0">
                  <c:v>19.33488567166857</c:v>
                </c:pt>
                <c:pt idx="1">
                  <c:v>193.57155382704926</c:v>
                </c:pt>
                <c:pt idx="2">
                  <c:v>212.22068331413601</c:v>
                </c:pt>
                <c:pt idx="3">
                  <c:v>198.839357462896</c:v>
                </c:pt>
                <c:pt idx="4">
                  <c:v>197.74939632530601</c:v>
                </c:pt>
                <c:pt idx="5">
                  <c:v>252.30405873428015</c:v>
                </c:pt>
                <c:pt idx="6">
                  <c:v>283.35629670934952</c:v>
                </c:pt>
                <c:pt idx="7">
                  <c:v>312.39695550441559</c:v>
                </c:pt>
                <c:pt idx="8">
                  <c:v>340.71880921302824</c:v>
                </c:pt>
                <c:pt idx="9">
                  <c:v>368.34978509930886</c:v>
                </c:pt>
                <c:pt idx="10">
                  <c:v>395.3163808017955</c:v>
                </c:pt>
                <c:pt idx="11">
                  <c:v>421.64375465924263</c:v>
                </c:pt>
                <c:pt idx="12">
                  <c:v>447.35580927439389</c:v>
                </c:pt>
                <c:pt idx="13">
                  <c:v>472.47526889746274</c:v>
                </c:pt>
                <c:pt idx="14">
                  <c:v>497.02375115717786</c:v>
                </c:pt>
                <c:pt idx="15">
                  <c:v>521.02183361550181</c:v>
                </c:pt>
                <c:pt idx="16">
                  <c:v>544.48911557490396</c:v>
                </c:pt>
                <c:pt idx="17">
                  <c:v>567.44427553109324</c:v>
                </c:pt>
                <c:pt idx="18">
                  <c:v>589.90512462300228</c:v>
                </c:pt>
                <c:pt idx="19">
                  <c:v>611.88865640259735</c:v>
                </c:pt>
                <c:pt idx="20">
                  <c:v>633.41109321676117</c:v>
                </c:pt>
                <c:pt idx="21">
                  <c:v>654.48792946635842</c:v>
                </c:pt>
                <c:pt idx="22">
                  <c:v>675.13397198690495</c:v>
                </c:pt>
                <c:pt idx="23">
                  <c:v>695.36337776967071</c:v>
                </c:pt>
                <c:pt idx="24">
                  <c:v>715.18968922694819</c:v>
                </c:pt>
              </c:numCache>
            </c:numRef>
          </c:val>
        </c:ser>
        <c:gapWidth val="75"/>
        <c:overlap val="100"/>
        <c:axId val="163304960"/>
        <c:axId val="163306496"/>
      </c:barChart>
      <c:catAx>
        <c:axId val="163304960"/>
        <c:scaling>
          <c:orientation val="minMax"/>
        </c:scaling>
        <c:axPos val="b"/>
        <c:numFmt formatCode="General" sourceLinked="1"/>
        <c:majorTickMark val="none"/>
        <c:tickLblPos val="nextTo"/>
        <c:txPr>
          <a:bodyPr rot="0" vert="horz"/>
          <a:lstStyle/>
          <a:p>
            <a:pPr>
              <a:defRPr lang="en-US" sz="1050"/>
            </a:pPr>
            <a:endParaRPr lang="id-ID"/>
          </a:p>
        </c:txPr>
        <c:crossAx val="163306496"/>
        <c:crosses val="autoZero"/>
        <c:auto val="1"/>
        <c:lblAlgn val="ctr"/>
        <c:lblOffset val="100"/>
        <c:tickMarkSkip val="10"/>
      </c:catAx>
      <c:valAx>
        <c:axId val="163306496"/>
        <c:scaling>
          <c:orientation val="minMax"/>
        </c:scaling>
        <c:axPos val="l"/>
        <c:majorGridlines/>
        <c:numFmt formatCode="_(* #,##0.00_);_(* \(#,##0.00\);_(* &quot;-&quot;??_);_(@_)" sourceLinked="1"/>
        <c:majorTickMark val="none"/>
        <c:tickLblPos val="nextTo"/>
        <c:spPr>
          <a:ln w="9525">
            <a:noFill/>
          </a:ln>
        </c:spPr>
        <c:txPr>
          <a:bodyPr/>
          <a:lstStyle/>
          <a:p>
            <a:pPr>
              <a:defRPr lang="en-US" sz="1050"/>
            </a:pPr>
            <a:endParaRPr lang="id-ID"/>
          </a:p>
        </c:txPr>
        <c:crossAx val="163304960"/>
        <c:crosses val="autoZero"/>
        <c:crossBetween val="between"/>
      </c:valAx>
    </c:plotArea>
    <c:legend>
      <c:legendPos val="b"/>
      <c:txPr>
        <a:bodyPr/>
        <a:lstStyle/>
        <a:p>
          <a:pPr>
            <a:defRPr sz="1200"/>
          </a:pPr>
          <a:endParaRPr lang="id-ID"/>
        </a:p>
      </c:txPr>
    </c:legend>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800" b="1" i="0" u="none" strike="noStrike" baseline="0"/>
              <a:t>Rekapitulasi BaU  Baseline Sektor Pertanian</a:t>
            </a:r>
            <a:endParaRPr lang="id-ID"/>
          </a:p>
        </c:rich>
      </c:tx>
      <c:layout/>
    </c:title>
    <c:view3D>
      <c:rAngAx val="1"/>
    </c:view3D>
    <c:plotArea>
      <c:layout/>
      <c:bar3DChart>
        <c:barDir val="col"/>
        <c:grouping val="stacked"/>
        <c:ser>
          <c:idx val="0"/>
          <c:order val="0"/>
          <c:tx>
            <c:strRef>
              <c:f>'Perhitungan ke CO2-eq'!$A$18</c:f>
              <c:strCache>
                <c:ptCount val="1"/>
                <c:pt idx="0">
                  <c:v>Lahan sawah irigasi</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CO2-eq'!$E$18:$AA$18</c:f>
              <c:numCache>
                <c:formatCode>#,##0.00</c:formatCode>
                <c:ptCount val="23"/>
                <c:pt idx="0">
                  <c:v>790.84759823999991</c:v>
                </c:pt>
                <c:pt idx="1">
                  <c:v>787.3212211199999</c:v>
                </c:pt>
                <c:pt idx="2">
                  <c:v>783.59375135999983</c:v>
                </c:pt>
                <c:pt idx="3">
                  <c:v>785.0109880199999</c:v>
                </c:pt>
                <c:pt idx="4">
                  <c:v>786.42822467999997</c:v>
                </c:pt>
                <c:pt idx="5">
                  <c:v>787.84546133999993</c:v>
                </c:pt>
                <c:pt idx="6">
                  <c:v>789.26269799999989</c:v>
                </c:pt>
                <c:pt idx="7">
                  <c:v>790.67993465999996</c:v>
                </c:pt>
                <c:pt idx="8">
                  <c:v>792.09717132000003</c:v>
                </c:pt>
                <c:pt idx="9">
                  <c:v>793.5144079800001</c:v>
                </c:pt>
                <c:pt idx="10">
                  <c:v>794.93164463999983</c:v>
                </c:pt>
                <c:pt idx="11">
                  <c:v>796.3488812999999</c:v>
                </c:pt>
                <c:pt idx="12">
                  <c:v>797.76611795999997</c:v>
                </c:pt>
                <c:pt idx="13">
                  <c:v>799.18335461999993</c:v>
                </c:pt>
                <c:pt idx="14">
                  <c:v>800.60059128</c:v>
                </c:pt>
                <c:pt idx="15">
                  <c:v>802.01782793999996</c:v>
                </c:pt>
                <c:pt idx="16">
                  <c:v>803.43506460000003</c:v>
                </c:pt>
                <c:pt idx="17">
                  <c:v>804.85230125999999</c:v>
                </c:pt>
                <c:pt idx="18">
                  <c:v>806.26953792000006</c:v>
                </c:pt>
                <c:pt idx="19">
                  <c:v>807.68677457999979</c:v>
                </c:pt>
                <c:pt idx="20">
                  <c:v>809.10401123999986</c:v>
                </c:pt>
                <c:pt idx="21">
                  <c:v>810.52124789999993</c:v>
                </c:pt>
                <c:pt idx="22">
                  <c:v>811.93848456000001</c:v>
                </c:pt>
              </c:numCache>
            </c:numRef>
          </c:val>
        </c:ser>
        <c:ser>
          <c:idx val="1"/>
          <c:order val="1"/>
          <c:tx>
            <c:strRef>
              <c:f>'Perhitungan ke CO2-eq'!$A$19</c:f>
              <c:strCache>
                <c:ptCount val="1"/>
                <c:pt idx="0">
                  <c:v>Lahan sawah non irigasi</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CO2-eq'!$E$19:$AA$19</c:f>
              <c:numCache>
                <c:formatCode>#,##0.00</c:formatCode>
                <c:ptCount val="23"/>
                <c:pt idx="0">
                  <c:v>98.622856499999997</c:v>
                </c:pt>
                <c:pt idx="1">
                  <c:v>95.886537179999991</c:v>
                </c:pt>
                <c:pt idx="2">
                  <c:v>93.966369839999999</c:v>
                </c:pt>
                <c:pt idx="3">
                  <c:v>93.699125887500003</c:v>
                </c:pt>
                <c:pt idx="4">
                  <c:v>93.431881935000007</c:v>
                </c:pt>
                <c:pt idx="5">
                  <c:v>93.164637982500011</c:v>
                </c:pt>
                <c:pt idx="6">
                  <c:v>92.897394030000015</c:v>
                </c:pt>
                <c:pt idx="7">
                  <c:v>92.630150077499991</c:v>
                </c:pt>
                <c:pt idx="8">
                  <c:v>92.362906124999995</c:v>
                </c:pt>
                <c:pt idx="9">
                  <c:v>92.095662172499999</c:v>
                </c:pt>
                <c:pt idx="10">
                  <c:v>91.828418220000003</c:v>
                </c:pt>
                <c:pt idx="11">
                  <c:v>91.561174267500007</c:v>
                </c:pt>
                <c:pt idx="12">
                  <c:v>91.293930315000011</c:v>
                </c:pt>
                <c:pt idx="13">
                  <c:v>91.026686362500001</c:v>
                </c:pt>
                <c:pt idx="14">
                  <c:v>90.759442409999991</c:v>
                </c:pt>
                <c:pt idx="15">
                  <c:v>90.492198457499995</c:v>
                </c:pt>
                <c:pt idx="16">
                  <c:v>90.224954504999999</c:v>
                </c:pt>
                <c:pt idx="17">
                  <c:v>89.957710552500004</c:v>
                </c:pt>
                <c:pt idx="18">
                  <c:v>89.690466600000008</c:v>
                </c:pt>
                <c:pt idx="19">
                  <c:v>89.423222647500012</c:v>
                </c:pt>
                <c:pt idx="20">
                  <c:v>89.155978694999988</c:v>
                </c:pt>
                <c:pt idx="21">
                  <c:v>88.888734742499992</c:v>
                </c:pt>
                <c:pt idx="22">
                  <c:v>88.621490789999996</c:v>
                </c:pt>
              </c:numCache>
            </c:numRef>
          </c:val>
        </c:ser>
        <c:ser>
          <c:idx val="2"/>
          <c:order val="2"/>
          <c:tx>
            <c:strRef>
              <c:f>'Perhitungan ke CO2-eq'!$A$20</c:f>
              <c:strCache>
                <c:ptCount val="1"/>
                <c:pt idx="0">
                  <c:v>Peternakan CH4 (entetik dan manure)</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CO2-eq'!$E$20:$AA$20</c:f>
              <c:numCache>
                <c:formatCode>#,##0.00</c:formatCode>
                <c:ptCount val="23"/>
                <c:pt idx="0">
                  <c:v>1535.3770772899998</c:v>
                </c:pt>
                <c:pt idx="1">
                  <c:v>1640.5034037</c:v>
                </c:pt>
                <c:pt idx="2">
                  <c:v>1737.5838514299994</c:v>
                </c:pt>
                <c:pt idx="3">
                  <c:v>1756.1568313317448</c:v>
                </c:pt>
                <c:pt idx="4">
                  <c:v>1833.6756020185474</c:v>
                </c:pt>
                <c:pt idx="5">
                  <c:v>1911.1943736386863</c:v>
                </c:pt>
                <c:pt idx="6">
                  <c:v>1988.7131461918973</c:v>
                </c:pt>
                <c:pt idx="7">
                  <c:v>2066.2319196779154</c:v>
                </c:pt>
                <c:pt idx="8">
                  <c:v>2143.7506940964763</c:v>
                </c:pt>
                <c:pt idx="9">
                  <c:v>2221.2694694473153</c:v>
                </c:pt>
                <c:pt idx="10">
                  <c:v>2298.7882457301689</c:v>
                </c:pt>
                <c:pt idx="11">
                  <c:v>2376.3070229447708</c:v>
                </c:pt>
                <c:pt idx="12">
                  <c:v>2453.8258010908571</c:v>
                </c:pt>
                <c:pt idx="13">
                  <c:v>2531.3445801681664</c:v>
                </c:pt>
                <c:pt idx="14">
                  <c:v>2608.8633601764304</c:v>
                </c:pt>
                <c:pt idx="15">
                  <c:v>2686.3821411153881</c:v>
                </c:pt>
                <c:pt idx="16">
                  <c:v>2763.9009229847748</c:v>
                </c:pt>
                <c:pt idx="17">
                  <c:v>2841.4197057843257</c:v>
                </c:pt>
                <c:pt idx="18">
                  <c:v>2918.9384895137764</c:v>
                </c:pt>
                <c:pt idx="19">
                  <c:v>2996.4572741728643</c:v>
                </c:pt>
                <c:pt idx="20">
                  <c:v>3073.9760597613263</c:v>
                </c:pt>
                <c:pt idx="21">
                  <c:v>3151.494846278898</c:v>
                </c:pt>
                <c:pt idx="22">
                  <c:v>3229.0136337253161</c:v>
                </c:pt>
              </c:numCache>
            </c:numRef>
          </c:val>
        </c:ser>
        <c:ser>
          <c:idx val="3"/>
          <c:order val="3"/>
          <c:tx>
            <c:strRef>
              <c:f>'Perhitungan ke CO2-eq'!$A$21</c:f>
              <c:strCache>
                <c:ptCount val="1"/>
                <c:pt idx="0">
                  <c:v>Peternakan N2O (manure management)</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CO2-eq'!$E$21:$AA$21</c:f>
              <c:numCache>
                <c:formatCode>#,##0.00</c:formatCode>
                <c:ptCount val="23"/>
                <c:pt idx="0">
                  <c:v>25.698160802976112</c:v>
                </c:pt>
                <c:pt idx="1">
                  <c:v>27.714700181009235</c:v>
                </c:pt>
                <c:pt idx="2">
                  <c:v>29.881997223259656</c:v>
                </c:pt>
                <c:pt idx="3">
                  <c:v>30.082837977685045</c:v>
                </c:pt>
                <c:pt idx="4">
                  <c:v>31.59005416939257</c:v>
                </c:pt>
                <c:pt idx="5">
                  <c:v>33.097270454539078</c:v>
                </c:pt>
                <c:pt idx="6">
                  <c:v>34.604486833098008</c:v>
                </c:pt>
                <c:pt idx="7">
                  <c:v>36.111703305042887</c:v>
                </c:pt>
                <c:pt idx="8">
                  <c:v>37.618919870347234</c:v>
                </c:pt>
                <c:pt idx="9">
                  <c:v>39.12613652898456</c:v>
                </c:pt>
                <c:pt idx="10">
                  <c:v>40.633353280928382</c:v>
                </c:pt>
                <c:pt idx="11">
                  <c:v>42.140570126152241</c:v>
                </c:pt>
                <c:pt idx="12">
                  <c:v>43.647787064629668</c:v>
                </c:pt>
                <c:pt idx="13">
                  <c:v>45.155004096334217</c:v>
                </c:pt>
                <c:pt idx="14">
                  <c:v>46.662221221239456</c:v>
                </c:pt>
                <c:pt idx="15">
                  <c:v>48.169438439318917</c:v>
                </c:pt>
                <c:pt idx="16">
                  <c:v>49.676655750546175</c:v>
                </c:pt>
                <c:pt idx="17">
                  <c:v>51.183873154894826</c:v>
                </c:pt>
                <c:pt idx="18">
                  <c:v>52.691090652338453</c:v>
                </c:pt>
                <c:pt idx="19">
                  <c:v>54.198308242850615</c:v>
                </c:pt>
                <c:pt idx="20">
                  <c:v>55.705525926404952</c:v>
                </c:pt>
                <c:pt idx="21">
                  <c:v>57.21274370297504</c:v>
                </c:pt>
                <c:pt idx="22">
                  <c:v>58.719961572534537</c:v>
                </c:pt>
              </c:numCache>
            </c:numRef>
          </c:val>
        </c:ser>
        <c:ser>
          <c:idx val="4"/>
          <c:order val="4"/>
          <c:tx>
            <c:strRef>
              <c:f>'Perhitungan ke CO2-eq'!$A$23</c:f>
              <c:strCache>
                <c:ptCount val="1"/>
                <c:pt idx="0">
                  <c:v>Pupuk Urea-CO2</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CO2-eq'!$E$23:$AA$23</c:f>
              <c:numCache>
                <c:formatCode>#,##0.00</c:formatCode>
                <c:ptCount val="23"/>
                <c:pt idx="0">
                  <c:v>0.14203380000000002</c:v>
                </c:pt>
                <c:pt idx="1">
                  <c:v>0.13338437</c:v>
                </c:pt>
                <c:pt idx="2">
                  <c:v>0.13529859999999999</c:v>
                </c:pt>
                <c:pt idx="3">
                  <c:v>0.18164033288712503</c:v>
                </c:pt>
                <c:pt idx="4">
                  <c:v>0.20528492078876495</c:v>
                </c:pt>
                <c:pt idx="5">
                  <c:v>0.22891775982632639</c:v>
                </c:pt>
                <c:pt idx="6">
                  <c:v>0.25253886166996958</c:v>
                </c:pt>
                <c:pt idx="7">
                  <c:v>0.27614823797235494</c:v>
                </c:pt>
                <c:pt idx="8">
                  <c:v>0.2997459003689289</c:v>
                </c:pt>
                <c:pt idx="9">
                  <c:v>0.32333186047763823</c:v>
                </c:pt>
                <c:pt idx="10">
                  <c:v>0.34690612989935882</c:v>
                </c:pt>
                <c:pt idx="11">
                  <c:v>0.3704687202176094</c:v>
                </c:pt>
                <c:pt idx="12">
                  <c:v>0.39401964299860004</c:v>
                </c:pt>
                <c:pt idx="13">
                  <c:v>0.41755890979170801</c:v>
                </c:pt>
                <c:pt idx="14">
                  <c:v>0.44108653212881088</c:v>
                </c:pt>
                <c:pt idx="15">
                  <c:v>0.46460252152485848</c:v>
                </c:pt>
                <c:pt idx="16">
                  <c:v>0.4881068894776821</c:v>
                </c:pt>
                <c:pt idx="17">
                  <c:v>0.51159964746804243</c:v>
                </c:pt>
                <c:pt idx="18">
                  <c:v>0.53508080695986748</c:v>
                </c:pt>
                <c:pt idx="19">
                  <c:v>0.55855037939982422</c:v>
                </c:pt>
                <c:pt idx="20">
                  <c:v>0.58200837621793744</c:v>
                </c:pt>
                <c:pt idx="21">
                  <c:v>0.60545480882716174</c:v>
                </c:pt>
                <c:pt idx="22">
                  <c:v>0.62888968862357142</c:v>
                </c:pt>
              </c:numCache>
            </c:numRef>
          </c:val>
        </c:ser>
        <c:ser>
          <c:idx val="5"/>
          <c:order val="5"/>
          <c:tx>
            <c:strRef>
              <c:f>'Perhitungan ke CO2-eq'!$A$24</c:f>
              <c:strCache>
                <c:ptCount val="1"/>
                <c:pt idx="0">
                  <c:v>N2O Langsung  dari pemakaian pupuk sintetis</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CO2-eq'!$E$24:$AA$24</c:f>
              <c:numCache>
                <c:formatCode>#,##0.00</c:formatCode>
                <c:ptCount val="23"/>
                <c:pt idx="0">
                  <c:v>609.02683698356157</c:v>
                </c:pt>
                <c:pt idx="1">
                  <c:v>622.78026468311703</c:v>
                </c:pt>
                <c:pt idx="2">
                  <c:v>632.13741210474382</c:v>
                </c:pt>
                <c:pt idx="3">
                  <c:v>850.77938642789115</c:v>
                </c:pt>
                <c:pt idx="4">
                  <c:v>967.7074287246669</c:v>
                </c:pt>
                <c:pt idx="5">
                  <c:v>1089.0547549114719</c:v>
                </c:pt>
                <c:pt idx="6">
                  <c:v>1211.9217508843699</c:v>
                </c:pt>
                <c:pt idx="7">
                  <c:v>1336.245867440419</c:v>
                </c:pt>
                <c:pt idx="8">
                  <c:v>1461.9677619062811</c:v>
                </c:pt>
                <c:pt idx="9">
                  <c:v>1589.0310955344466</c:v>
                </c:pt>
                <c:pt idx="10">
                  <c:v>1717.3823460719204</c:v>
                </c:pt>
                <c:pt idx="11">
                  <c:v>1846.9706341863084</c:v>
                </c:pt>
                <c:pt idx="12">
                  <c:v>1977.7475625725235</c:v>
                </c:pt>
                <c:pt idx="13">
                  <c:v>2109.6670666733066</c:v>
                </c:pt>
                <c:pt idx="14">
                  <c:v>2242.6852760402526</c:v>
                </c:pt>
                <c:pt idx="15">
                  <c:v>2376.7603854706053</c:v>
                </c:pt>
                <c:pt idx="16">
                  <c:v>2511.8525351171547</c:v>
                </c:pt>
                <c:pt idx="17">
                  <c:v>2647.9236988544167</c:v>
                </c:pt>
                <c:pt idx="18">
                  <c:v>2784.9375802453164</c:v>
                </c:pt>
                <c:pt idx="19">
                  <c:v>2922.8595155073672</c:v>
                </c:pt>
                <c:pt idx="20">
                  <c:v>3061.6563829430297</c:v>
                </c:pt>
                <c:pt idx="21">
                  <c:v>3201.2965183279603</c:v>
                </c:pt>
                <c:pt idx="22">
                  <c:v>3341.7496358117642</c:v>
                </c:pt>
              </c:numCache>
            </c:numRef>
          </c:val>
        </c:ser>
        <c:ser>
          <c:idx val="6"/>
          <c:order val="6"/>
          <c:tx>
            <c:strRef>
              <c:f>'Perhitungan ke CO2-eq'!$A$26</c:f>
              <c:strCache>
                <c:ptCount val="1"/>
                <c:pt idx="0">
                  <c:v>N2O Langsung dari pemakaian pupuk organik</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CO2-eq'!$E$26:$AA$26</c:f>
              <c:numCache>
                <c:formatCode>#,##0.00</c:formatCode>
                <c:ptCount val="23"/>
                <c:pt idx="0">
                  <c:v>1.1452932594423724</c:v>
                </c:pt>
                <c:pt idx="1">
                  <c:v>3.9438859371508341</c:v>
                </c:pt>
                <c:pt idx="2">
                  <c:v>3.8022487234898881</c:v>
                </c:pt>
                <c:pt idx="3">
                  <c:v>6.1143241303561089</c:v>
                </c:pt>
                <c:pt idx="4">
                  <c:v>13.070171410085614</c:v>
                </c:pt>
                <c:pt idx="5">
                  <c:v>10.48923358275279</c:v>
                </c:pt>
                <c:pt idx="6">
                  <c:v>8.7340875026011489</c:v>
                </c:pt>
                <c:pt idx="7">
                  <c:v>12.415532451433316</c:v>
                </c:pt>
                <c:pt idx="8">
                  <c:v>14.210024907099495</c:v>
                </c:pt>
                <c:pt idx="9">
                  <c:v>16.044407881804975</c:v>
                </c:pt>
                <c:pt idx="10">
                  <c:v>17.917188034306559</c:v>
                </c:pt>
                <c:pt idx="11">
                  <c:v>19.826945644289186</c:v>
                </c:pt>
                <c:pt idx="12">
                  <c:v>21.772330130760409</c:v>
                </c:pt>
                <c:pt idx="13">
                  <c:v>23.752055893883394</c:v>
                </c:pt>
                <c:pt idx="14">
                  <c:v>25.764898453338979</c:v>
                </c:pt>
                <c:pt idx="15">
                  <c:v>27.809690858835957</c:v>
                </c:pt>
                <c:pt idx="16">
                  <c:v>29.885320350653334</c:v>
                </c:pt>
                <c:pt idx="17">
                  <c:v>31.99072525012836</c:v>
                </c:pt>
                <c:pt idx="18">
                  <c:v>34.124892061827843</c:v>
                </c:pt>
                <c:pt idx="19">
                  <c:v>36.286852770778843</c:v>
                </c:pt>
                <c:pt idx="20">
                  <c:v>38.475682319610577</c:v>
                </c:pt>
                <c:pt idx="21">
                  <c:v>40.690496251789</c:v>
                </c:pt>
                <c:pt idx="22">
                  <c:v>42.930448508325306</c:v>
                </c:pt>
              </c:numCache>
            </c:numRef>
          </c:val>
        </c:ser>
        <c:gapWidth val="95"/>
        <c:gapDepth val="95"/>
        <c:shape val="box"/>
        <c:axId val="163449088"/>
        <c:axId val="163463168"/>
        <c:axId val="0"/>
      </c:bar3DChart>
      <c:catAx>
        <c:axId val="163449088"/>
        <c:scaling>
          <c:orientation val="minMax"/>
        </c:scaling>
        <c:axPos val="b"/>
        <c:numFmt formatCode="0" sourceLinked="1"/>
        <c:majorTickMark val="none"/>
        <c:tickLblPos val="nextTo"/>
        <c:txPr>
          <a:bodyPr/>
          <a:lstStyle/>
          <a:p>
            <a:pPr>
              <a:defRPr lang="en-US"/>
            </a:pPr>
            <a:endParaRPr lang="id-ID"/>
          </a:p>
        </c:txPr>
        <c:crossAx val="163463168"/>
        <c:crosses val="autoZero"/>
        <c:auto val="1"/>
        <c:lblAlgn val="ctr"/>
        <c:lblOffset val="100"/>
      </c:catAx>
      <c:valAx>
        <c:axId val="163463168"/>
        <c:scaling>
          <c:orientation val="minMax"/>
        </c:scaling>
        <c:axPos val="l"/>
        <c:majorGridlines/>
        <c:title>
          <c:tx>
            <c:rich>
              <a:bodyPr/>
              <a:lstStyle/>
              <a:p>
                <a:pPr>
                  <a:defRPr lang="en-US"/>
                </a:pPr>
                <a:r>
                  <a:rPr lang="en-US"/>
                  <a:t>Ribu</a:t>
                </a:r>
                <a:r>
                  <a:rPr lang="en-US" baseline="0"/>
                  <a:t> ton </a:t>
                </a:r>
                <a:r>
                  <a:rPr lang="id-ID"/>
                  <a:t> CO2 e</a:t>
                </a:r>
              </a:p>
            </c:rich>
          </c:tx>
          <c:layout>
            <c:manualLayout>
              <c:xMode val="edge"/>
              <c:yMode val="edge"/>
              <c:x val="0.15063239887836163"/>
              <c:y val="0.28919052732044898"/>
            </c:manualLayout>
          </c:layout>
        </c:title>
        <c:numFmt formatCode="#,##0" sourceLinked="0"/>
        <c:majorTickMark val="none"/>
        <c:tickLblPos val="nextTo"/>
        <c:txPr>
          <a:bodyPr/>
          <a:lstStyle/>
          <a:p>
            <a:pPr>
              <a:defRPr lang="en-US"/>
            </a:pPr>
            <a:endParaRPr lang="id-ID"/>
          </a:p>
        </c:txPr>
        <c:crossAx val="163449088"/>
        <c:crosses val="autoZero"/>
        <c:crossBetween val="between"/>
      </c:valAx>
      <c:dTable>
        <c:showHorzBorder val="1"/>
        <c:showVertBorder val="1"/>
        <c:showOutline val="1"/>
        <c:showKeys val="1"/>
        <c:txPr>
          <a:bodyPr/>
          <a:lstStyle/>
          <a:p>
            <a:pPr rtl="0">
              <a:defRPr lang="en-US" sz="600"/>
            </a:pPr>
            <a:endParaRPr lang="id-ID"/>
          </a:p>
        </c:txPr>
      </c:dTable>
    </c:plotArea>
    <c:plotVisOnly val="1"/>
    <c:dispBlanksAs val="gap"/>
  </c:chart>
  <c:printSettings>
    <c:headerFooter/>
    <c:pageMargins b="0.75000000000000122" l="0.70000000000000062" r="0.70000000000000062" t="0.75000000000000122" header="0.30000000000000032" footer="0.30000000000000032"/>
    <c:pageSetup paperSize="9" orientation="landscape" horizontalDpi="0"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en-US" sz="1200"/>
              <a:t>Ribu ton CO2 eq pada Tahun</a:t>
            </a:r>
            <a:r>
              <a:rPr lang="en-US" sz="1200" baseline="0"/>
              <a:t> 2030</a:t>
            </a:r>
            <a:endParaRPr lang="en-US" sz="1200"/>
          </a:p>
        </c:rich>
      </c:tx>
      <c:layout>
        <c:manualLayout>
          <c:xMode val="edge"/>
          <c:yMode val="edge"/>
          <c:x val="0.61536930930821743"/>
          <c:y val="2.0509253926095632E-2"/>
        </c:manualLayout>
      </c:layout>
      <c:overlay val="1"/>
    </c:title>
    <c:plotArea>
      <c:layout>
        <c:manualLayout>
          <c:layoutTarget val="inner"/>
          <c:xMode val="edge"/>
          <c:yMode val="edge"/>
          <c:x val="0.15241774392733384"/>
          <c:y val="0.17638339784523457"/>
          <c:w val="0.37870764650617961"/>
          <c:h val="0.63421641648861304"/>
        </c:manualLayout>
      </c:layout>
      <c:pieChart>
        <c:varyColors val="1"/>
        <c:ser>
          <c:idx val="0"/>
          <c:order val="0"/>
          <c:dLbls>
            <c:dLbl>
              <c:idx val="0"/>
              <c:layout>
                <c:manualLayout>
                  <c:x val="-0.10599796063058492"/>
                  <c:y val="-7.659075910077956E-2"/>
                </c:manualLayout>
              </c:layout>
              <c:showCatName val="1"/>
              <c:showPercent val="1"/>
            </c:dLbl>
            <c:dLbl>
              <c:idx val="1"/>
              <c:layout>
                <c:manualLayout>
                  <c:x val="5.0656459177983684E-2"/>
                  <c:y val="6.7367433658513443E-2"/>
                </c:manualLayout>
              </c:layout>
              <c:showCatName val="1"/>
              <c:showPercent val="1"/>
            </c:dLbl>
            <c:dLbl>
              <c:idx val="3"/>
              <c:layout>
                <c:manualLayout>
                  <c:x val="0.24157459067146744"/>
                  <c:y val="1.9184676870761717E-2"/>
                </c:manualLayout>
              </c:layout>
              <c:showCatName val="1"/>
              <c:showPercent val="1"/>
            </c:dLbl>
            <c:dLbl>
              <c:idx val="4"/>
              <c:layout>
                <c:manualLayout>
                  <c:x val="-7.6964506357286314E-2"/>
                  <c:y val="-1.3181757583454882E-3"/>
                </c:manualLayout>
              </c:layout>
              <c:showCatName val="1"/>
              <c:showPercent val="1"/>
            </c:dLbl>
            <c:dLbl>
              <c:idx val="6"/>
              <c:layout>
                <c:manualLayout>
                  <c:x val="-0.22541551738669849"/>
                  <c:y val="4.187306009911191E-2"/>
                </c:manualLayout>
              </c:layout>
              <c:showCatName val="1"/>
              <c:showPercent val="1"/>
            </c:dLbl>
            <c:numFmt formatCode="0.00%" sourceLinked="0"/>
            <c:txPr>
              <a:bodyPr/>
              <a:lstStyle/>
              <a:p>
                <a:pPr>
                  <a:defRPr lang="en-US"/>
                </a:pPr>
                <a:endParaRPr lang="id-ID"/>
              </a:p>
            </c:txPr>
            <c:showCatName val="1"/>
            <c:showPercent val="1"/>
            <c:showLeaderLines val="1"/>
          </c:dLbls>
          <c:cat>
            <c:strRef>
              <c:f>'Perhitungan ke CO2-eq'!$A$18:$A$26</c:f>
              <c:strCache>
                <c:ptCount val="7"/>
                <c:pt idx="0">
                  <c:v>Lahan sawah irigasi</c:v>
                </c:pt>
                <c:pt idx="1">
                  <c:v>Lahan sawah non irigasi</c:v>
                </c:pt>
                <c:pt idx="2">
                  <c:v>Peternakan CH4 (entetik dan manure)</c:v>
                </c:pt>
                <c:pt idx="3">
                  <c:v>Peternakan N2O (manure management)</c:v>
                </c:pt>
                <c:pt idx="4">
                  <c:v>Pupuk Urea-CO2</c:v>
                </c:pt>
                <c:pt idx="5">
                  <c:v>N2O Langsung  dari pemakaian pupuk sintetis</c:v>
                </c:pt>
                <c:pt idx="6">
                  <c:v>N2O Langsung dari pemakaian pupuk organik</c:v>
                </c:pt>
              </c:strCache>
            </c:strRef>
          </c:cat>
          <c:val>
            <c:numRef>
              <c:f>'Perhitungan ke CO2-eq'!$AA$18:$AA$26</c:f>
              <c:numCache>
                <c:formatCode>#,##0.00</c:formatCode>
                <c:ptCount val="7"/>
                <c:pt idx="0">
                  <c:v>811.93848456000001</c:v>
                </c:pt>
                <c:pt idx="1">
                  <c:v>88.621490789999996</c:v>
                </c:pt>
                <c:pt idx="2">
                  <c:v>3229.0136337253161</c:v>
                </c:pt>
                <c:pt idx="3">
                  <c:v>58.719961572534537</c:v>
                </c:pt>
                <c:pt idx="4">
                  <c:v>0.62888968862357142</c:v>
                </c:pt>
                <c:pt idx="5">
                  <c:v>3341.7496358117642</c:v>
                </c:pt>
                <c:pt idx="6">
                  <c:v>42.930448508325306</c:v>
                </c:pt>
              </c:numCache>
            </c:numRef>
          </c:val>
        </c:ser>
        <c:dLbls>
          <c:showVal val="1"/>
        </c:dLbls>
        <c:firstSliceAng val="0"/>
      </c:pieChart>
    </c:plotArea>
    <c:legend>
      <c:legendPos val="r"/>
      <c:layout>
        <c:manualLayout>
          <c:xMode val="edge"/>
          <c:yMode val="edge"/>
          <c:x val="0.67535111371188783"/>
          <c:y val="0.25956664818038999"/>
          <c:w val="0.29963410341288632"/>
          <c:h val="0.72179170134219961"/>
        </c:manualLayout>
      </c:layout>
      <c:txPr>
        <a:bodyPr/>
        <a:lstStyle/>
        <a:p>
          <a:pPr>
            <a:defRPr lang="en-US"/>
          </a:pPr>
          <a:endParaRPr lang="id-ID"/>
        </a:p>
      </c:txPr>
    </c:legend>
    <c:plotVisOnly val="1"/>
    <c:dispBlanksAs val="zero"/>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600"/>
            </a:pPr>
            <a:r>
              <a:rPr lang="id-ID" sz="1600" b="1" i="0" u="sng" strike="noStrike" baseline="0"/>
              <a:t>BaU baseline CH</a:t>
            </a:r>
            <a:r>
              <a:rPr lang="id-ID" sz="1600" b="1" i="0" u="sng" strike="noStrike" baseline="-25000"/>
              <a:t>4</a:t>
            </a:r>
            <a:r>
              <a:rPr lang="id-ID" sz="1600" b="1" i="0" u="sng" strike="noStrike" baseline="0"/>
              <a:t> dari fermentasi enterik dan kotoran ternak </a:t>
            </a:r>
            <a:endParaRPr lang="id-ID" sz="1600"/>
          </a:p>
        </c:rich>
      </c:tx>
    </c:title>
    <c:plotArea>
      <c:layout>
        <c:manualLayout>
          <c:layoutTarget val="inner"/>
          <c:xMode val="edge"/>
          <c:yMode val="edge"/>
          <c:x val="6.897222330667277E-2"/>
          <c:y val="9.8182167193631847E-2"/>
          <c:w val="0.91861770306915369"/>
          <c:h val="0.74576694199441418"/>
        </c:manualLayout>
      </c:layout>
      <c:lineChart>
        <c:grouping val="standard"/>
        <c:ser>
          <c:idx val="0"/>
          <c:order val="0"/>
          <c:cat>
            <c:numRef>
              <c:f>'Peternakan-CH4'!$D$40:$AH$40</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'Peternakan-CH4'!$D$53:$AH$53</c:f>
              <c:numCache>
                <c:formatCode>#,##0.00</c:formatCode>
                <c:ptCount val="31"/>
                <c:pt idx="0">
                  <c:v>50.176369289999982</c:v>
                </c:pt>
                <c:pt idx="1">
                  <c:v>49.978419716666671</c:v>
                </c:pt>
                <c:pt idx="2">
                  <c:v>51.657739619999994</c:v>
                </c:pt>
                <c:pt idx="3">
                  <c:v>54.020374319999995</c:v>
                </c:pt>
                <c:pt idx="4">
                  <c:v>57.553667653333335</c:v>
                </c:pt>
                <c:pt idx="5">
                  <c:v>57.302330603432317</c:v>
                </c:pt>
                <c:pt idx="6">
                  <c:v>62.376535083333337</c:v>
                </c:pt>
                <c:pt idx="7">
                  <c:v>66.691821326666656</c:v>
                </c:pt>
                <c:pt idx="8">
                  <c:v>73.113194156666651</c:v>
                </c:pt>
                <c:pt idx="9">
                  <c:v>78.119209699999999</c:v>
                </c:pt>
                <c:pt idx="10">
                  <c:v>82.742088163333307</c:v>
                </c:pt>
                <c:pt idx="11" formatCode="0.00">
                  <c:v>83.626515777702139</c:v>
                </c:pt>
                <c:pt idx="12" formatCode="0.00">
                  <c:v>87.31788581040702</c:v>
                </c:pt>
                <c:pt idx="13" formatCode="0.00">
                  <c:v>91.009255887556492</c:v>
                </c:pt>
                <c:pt idx="14" formatCode="0.00">
                  <c:v>94.700626009137963</c:v>
                </c:pt>
                <c:pt idx="15" formatCode="0.00">
                  <c:v>98.391996175138829</c:v>
                </c:pt>
                <c:pt idx="16" formatCode="_(* #,##0.00_);_(* \(#,##0.00\);_(* &quot;-&quot;??_);_(@_)">
                  <c:v>102.08336638554648</c:v>
                </c:pt>
                <c:pt idx="17" formatCode="_(* #,##0.00_);_(* \(#,##0.00\);_(* &quot;-&quot;??_);_(@_)">
                  <c:v>105.77473664034835</c:v>
                </c:pt>
                <c:pt idx="18" formatCode="_(* #,##0.00_);_(* \(#,##0.00\);_(* &quot;-&quot;??_);_(@_)">
                  <c:v>109.46610693953185</c:v>
                </c:pt>
                <c:pt idx="19" formatCode="_(* #,##0.00_);_(* \(#,##0.00\);_(* &quot;-&quot;??_);_(@_)">
                  <c:v>113.15747728308433</c:v>
                </c:pt>
                <c:pt idx="20" formatCode="_(* #,##0.00_);_(* \(#,##0.00\);_(* &quot;-&quot;??_);_(@_)">
                  <c:v>116.84884767099319</c:v>
                </c:pt>
                <c:pt idx="21" formatCode="_(* #,##0.00_);_(* \(#,##0.00\);_(* &quot;-&quot;??_);_(@_)">
                  <c:v>120.54021810324602</c:v>
                </c:pt>
                <c:pt idx="22" formatCode="_(* #,##0.00_);_(* \(#,##0.00\);_(* &quot;-&quot;??_);_(@_)">
                  <c:v>124.23158857983003</c:v>
                </c:pt>
                <c:pt idx="23" formatCode="_(* #,##0.00_);_(* \(#,##0.00\);_(* &quot;-&quot;??_);_(@_)">
                  <c:v>127.92295910073277</c:v>
                </c:pt>
                <c:pt idx="24" formatCode="_(* #,##0.00_);_(* \(#,##0.00\);_(* &quot;-&quot;??_);_(@_)">
                  <c:v>131.61432966594165</c:v>
                </c:pt>
                <c:pt idx="25" formatCode="_(* #,##0.00_);_(* \(#,##0.00\);_(* &quot;-&quot;??_);_(@_)">
                  <c:v>135.30570027544408</c:v>
                </c:pt>
                <c:pt idx="26" formatCode="_(* #,##0.00_);_(* \(#,##0.00\);_(* &quot;-&quot;??_);_(@_)">
                  <c:v>138.99707092922745</c:v>
                </c:pt>
                <c:pt idx="27" formatCode="_(* #,##0.00_);_(* \(#,##0.00\);_(* &quot;-&quot;??_);_(@_)">
                  <c:v>142.68844162727925</c:v>
                </c:pt>
                <c:pt idx="28" formatCode="_(* #,##0.00_);_(* \(#,##0.00\);_(* &quot;-&quot;??_);_(@_)">
                  <c:v>146.37981236958697</c:v>
                </c:pt>
                <c:pt idx="29" formatCode="_(* #,##0.00_);_(* \(#,##0.00\);_(* &quot;-&quot;??_);_(@_)">
                  <c:v>150.07118315613801</c:v>
                </c:pt>
                <c:pt idx="30" formatCode="_(* #,##0.00_);_(* \(#,##0.00\);_(* &quot;-&quot;??_);_(@_)">
                  <c:v>153.76255398691981</c:v>
                </c:pt>
              </c:numCache>
            </c:numRef>
          </c:val>
        </c:ser>
        <c:hiLowLines/>
        <c:marker val="1"/>
        <c:axId val="164699520"/>
        <c:axId val="131290240"/>
      </c:lineChart>
      <c:catAx>
        <c:axId val="164699520"/>
        <c:scaling>
          <c:orientation val="minMax"/>
        </c:scaling>
        <c:axPos val="b"/>
        <c:numFmt formatCode="General" sourceLinked="1"/>
        <c:majorTickMark val="none"/>
        <c:tickLblPos val="nextTo"/>
        <c:txPr>
          <a:bodyPr rot="-4140000" vert="horz"/>
          <a:lstStyle/>
          <a:p>
            <a:pPr>
              <a:defRPr lang="en-US"/>
            </a:pPr>
            <a:endParaRPr lang="id-ID"/>
          </a:p>
        </c:txPr>
        <c:crossAx val="131290240"/>
        <c:crosses val="autoZero"/>
        <c:auto val="1"/>
        <c:lblAlgn val="ctr"/>
        <c:lblOffset val="100"/>
      </c:catAx>
      <c:valAx>
        <c:axId val="131290240"/>
        <c:scaling>
          <c:orientation val="minMax"/>
        </c:scaling>
        <c:axPos val="l"/>
        <c:majorGridlines/>
        <c:title>
          <c:tx>
            <c:rich>
              <a:bodyPr/>
              <a:lstStyle/>
              <a:p>
                <a:pPr>
                  <a:defRPr lang="en-US"/>
                </a:pPr>
                <a:r>
                  <a:rPr lang="en-US"/>
                  <a:t>Ribu</a:t>
                </a:r>
                <a:r>
                  <a:rPr lang="en-US" baseline="0"/>
                  <a:t> ton </a:t>
                </a:r>
                <a:r>
                  <a:rPr lang="id-ID"/>
                  <a:t> CH4/th</a:t>
                </a:r>
              </a:p>
            </c:rich>
          </c:tx>
          <c:layout>
            <c:manualLayout>
              <c:xMode val="edge"/>
              <c:yMode val="edge"/>
              <c:x val="4.5382353362700516E-3"/>
              <c:y val="0.35000951984797385"/>
            </c:manualLayout>
          </c:layout>
        </c:title>
        <c:numFmt formatCode="#,##0" sourceLinked="0"/>
        <c:majorTickMark val="none"/>
        <c:tickLblPos val="nextTo"/>
        <c:txPr>
          <a:bodyPr/>
          <a:lstStyle/>
          <a:p>
            <a:pPr>
              <a:defRPr lang="en-US"/>
            </a:pPr>
            <a:endParaRPr lang="id-ID"/>
          </a:p>
        </c:txPr>
        <c:crossAx val="164699520"/>
        <c:crosses val="autoZero"/>
        <c:crossBetween val="between"/>
        <c:majorUnit val="15"/>
      </c:valAx>
    </c:plotArea>
    <c:plotVisOnly val="1"/>
    <c:dispBlanksAs val="gap"/>
  </c:chart>
  <c:printSettings>
    <c:headerFooter/>
    <c:pageMargins b="0.75000000000000155" l="0.70000000000000062" r="0.70000000000000062" t="0.75000000000000155"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800" b="1" i="0" u="sng" baseline="0"/>
              <a:t>BaU baseline N2O asal kotoran ternak </a:t>
            </a:r>
            <a:endParaRPr lang="id-ID" sz="1800" b="1" i="0" baseline="0"/>
          </a:p>
        </c:rich>
      </c:tx>
    </c:title>
    <c:plotArea>
      <c:layout>
        <c:manualLayout>
          <c:layoutTarget val="inner"/>
          <c:xMode val="edge"/>
          <c:yMode val="edge"/>
          <c:x val="8.3391683156516572E-2"/>
          <c:y val="9.2403199554261239E-2"/>
          <c:w val="0.89608665183849323"/>
          <c:h val="0.82765857989353664"/>
        </c:manualLayout>
      </c:layout>
      <c:lineChart>
        <c:grouping val="standard"/>
        <c:ser>
          <c:idx val="0"/>
          <c:order val="0"/>
          <c:tx>
            <c:strRef>
              <c:f>'Peternakan-N2O'!$C$2</c:f>
              <c:strCache>
                <c:ptCount val="1"/>
                <c:pt idx="0">
                  <c:v>Emisi N2O secara langsung dari pengelolaan kotoran hewan untuk pupuk</c:v>
                </c:pt>
              </c:strCache>
            </c:strRef>
          </c:tx>
          <c:cat>
            <c:numRef>
              <c:f>'Peternakan-N2O'!$D$52:$AH$52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'Peternakan-N2O'!$D$65:$AH$65</c:f>
              <c:numCache>
                <c:formatCode>0.000</c:formatCode>
                <c:ptCount val="31"/>
                <c:pt idx="0">
                  <c:v>5.5428808635702868E-2</c:v>
                </c:pt>
                <c:pt idx="1">
                  <c:v>5.4842368779958579E-2</c:v>
                </c:pt>
                <c:pt idx="2">
                  <c:v>5.7604464627670722E-2</c:v>
                </c:pt>
                <c:pt idx="3">
                  <c:v>6.0406519570162867E-2</c:v>
                </c:pt>
                <c:pt idx="4">
                  <c:v>6.5662736193387139E-2</c:v>
                </c:pt>
                <c:pt idx="5">
                  <c:v>6.6039751148677425E-2</c:v>
                </c:pt>
                <c:pt idx="6">
                  <c:v>7.2172728356394295E-2</c:v>
                </c:pt>
                <c:pt idx="7">
                  <c:v>7.7329711078753582E-2</c:v>
                </c:pt>
                <c:pt idx="8">
                  <c:v>8.6235438936161452E-2</c:v>
                </c:pt>
                <c:pt idx="9">
                  <c:v>9.3002349600702125E-2</c:v>
                </c:pt>
                <c:pt idx="10">
                  <c:v>0.10027515846731429</c:v>
                </c:pt>
                <c:pt idx="11">
                  <c:v>0.10094912073048673</c:v>
                </c:pt>
                <c:pt idx="12">
                  <c:v>0.10600689318588111</c:v>
                </c:pt>
                <c:pt idx="13">
                  <c:v>0.11106466595482911</c:v>
                </c:pt>
                <c:pt idx="14">
                  <c:v>0.11612243903724163</c:v>
                </c:pt>
                <c:pt idx="15">
                  <c:v>0.12118021243302983</c:v>
                </c:pt>
                <c:pt idx="16">
                  <c:v>0.12623798614210482</c:v>
                </c:pt>
                <c:pt idx="17">
                  <c:v>0.13129576016437772</c:v>
                </c:pt>
                <c:pt idx="18">
                  <c:v>0.13635353449975968</c:v>
                </c:pt>
                <c:pt idx="19">
                  <c:v>0.14141130914816188</c:v>
                </c:pt>
                <c:pt idx="20">
                  <c:v>0.14646908410949552</c:v>
                </c:pt>
                <c:pt idx="21">
                  <c:v>0.15152685938367186</c:v>
                </c:pt>
                <c:pt idx="22">
                  <c:v>0.15658463497060221</c:v>
                </c:pt>
                <c:pt idx="23">
                  <c:v>0.16164241087019771</c:v>
                </c:pt>
                <c:pt idx="24">
                  <c:v>0.16670018708236972</c:v>
                </c:pt>
                <c:pt idx="25">
                  <c:v>0.17175796360702961</c:v>
                </c:pt>
                <c:pt idx="26">
                  <c:v>0.17681574044408876</c:v>
                </c:pt>
                <c:pt idx="27">
                  <c:v>0.18187351759345843</c:v>
                </c:pt>
                <c:pt idx="28">
                  <c:v>0.18693129505505018</c:v>
                </c:pt>
                <c:pt idx="29">
                  <c:v>0.19198907282877531</c:v>
                </c:pt>
                <c:pt idx="30">
                  <c:v>0.19704685091454543</c:v>
                </c:pt>
              </c:numCache>
            </c:numRef>
          </c:val>
        </c:ser>
        <c:marker val="1"/>
        <c:axId val="131581440"/>
        <c:axId val="131582976"/>
      </c:lineChart>
      <c:catAx>
        <c:axId val="131581440"/>
        <c:scaling>
          <c:orientation val="minMax"/>
        </c:scaling>
        <c:axPos val="b"/>
        <c:numFmt formatCode="General" sourceLinked="1"/>
        <c:majorTickMark val="none"/>
        <c:tickLblPos val="nextTo"/>
        <c:txPr>
          <a:bodyPr/>
          <a:lstStyle/>
          <a:p>
            <a:pPr>
              <a:defRPr lang="en-US" sz="1100"/>
            </a:pPr>
            <a:endParaRPr lang="id-ID"/>
          </a:p>
        </c:txPr>
        <c:crossAx val="131582976"/>
        <c:crosses val="autoZero"/>
        <c:auto val="1"/>
        <c:lblAlgn val="ctr"/>
        <c:lblOffset val="100"/>
      </c:catAx>
      <c:valAx>
        <c:axId val="131582976"/>
        <c:scaling>
          <c:orientation val="minMax"/>
        </c:scaling>
        <c:axPos val="l"/>
        <c:majorGridlines/>
        <c:title>
          <c:tx>
            <c:rich>
              <a:bodyPr/>
              <a:lstStyle/>
              <a:p>
                <a:pPr>
                  <a:defRPr lang="en-US"/>
                </a:pPr>
                <a:r>
                  <a:rPr lang="en-US" sz="1400" baseline="0"/>
                  <a:t> Ribu Ton </a:t>
                </a:r>
                <a:r>
                  <a:rPr lang="id-ID" sz="1400"/>
                  <a:t>N2O/th</a:t>
                </a:r>
              </a:p>
            </c:rich>
          </c:tx>
          <c:layout>
            <c:manualLayout>
              <c:xMode val="edge"/>
              <c:yMode val="edge"/>
              <c:x val="3.2479454143611566E-4"/>
              <c:y val="0.38629531009562385"/>
            </c:manualLayout>
          </c:layout>
        </c:title>
        <c:numFmt formatCode="0.000" sourceLinked="1"/>
        <c:majorTickMark val="none"/>
        <c:tickLblPos val="nextTo"/>
        <c:txPr>
          <a:bodyPr/>
          <a:lstStyle/>
          <a:p>
            <a:pPr>
              <a:defRPr lang="en-US" sz="1100"/>
            </a:pPr>
            <a:endParaRPr lang="id-ID"/>
          </a:p>
        </c:txPr>
        <c:crossAx val="131581440"/>
        <c:crosses val="autoZero"/>
        <c:crossBetween val="between"/>
      </c:valAx>
    </c:plotArea>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200"/>
            </a:pPr>
            <a:r>
              <a:rPr lang="id-ID" sz="1200" b="1" i="0" u="sng" baseline="0"/>
              <a:t>BaU baseline N2O tidak langsung  asal kotoran ternak </a:t>
            </a:r>
            <a:endParaRPr lang="id-ID" sz="1200" b="1" i="0" baseline="0"/>
          </a:p>
        </c:rich>
      </c:tx>
    </c:title>
    <c:plotArea>
      <c:layout/>
      <c:lineChart>
        <c:grouping val="standard"/>
        <c:ser>
          <c:idx val="0"/>
          <c:order val="0"/>
          <c:tx>
            <c:strRef>
              <c:f>'Peternakan-N2O'!$AK$2</c:f>
              <c:strCache>
                <c:ptCount val="1"/>
                <c:pt idx="0">
                  <c:v>Emisi N2O secara tidak langsung dari pengelolaan kotoran hewan untuk pupuk</c:v>
                </c:pt>
              </c:strCache>
            </c:strRef>
          </c:tx>
          <c:cat>
            <c:numRef>
              <c:f>'Peternakan-N2O'!$AL$37:$AV$37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'Peternakan-N2O'!$AL$51:$AV$51</c:f>
              <c:numCache>
                <c:formatCode>General</c:formatCode>
                <c:ptCount val="11"/>
                <c:pt idx="0">
                  <c:v>5.4023577907244</c:v>
                </c:pt>
                <c:pt idx="1">
                  <c:v>5.6235570399328569</c:v>
                </c:pt>
                <c:pt idx="2">
                  <c:v>5.8608046752375991</c:v>
                </c:pt>
                <c:pt idx="3">
                  <c:v>6.1148621541907433</c:v>
                </c:pt>
                <c:pt idx="4">
                  <c:v>6.3865624650796571</c:v>
                </c:pt>
                <c:pt idx="5">
                  <c:v>6.6767970755614865</c:v>
                </c:pt>
                <c:pt idx="6">
                  <c:v>6.9865294132435993</c:v>
                </c:pt>
                <c:pt idx="7">
                  <c:v>7.316790069204</c:v>
                </c:pt>
                <c:pt idx="8">
                  <c:v>7.6686878215294296</c:v>
                </c:pt>
                <c:pt idx="9">
                  <c:v>8.0434054830712007</c:v>
                </c:pt>
                <c:pt idx="10">
                  <c:v>8.4422137590685704</c:v>
                </c:pt>
              </c:numCache>
            </c:numRef>
          </c:val>
        </c:ser>
        <c:marker val="1"/>
        <c:axId val="131623552"/>
        <c:axId val="131633536"/>
      </c:lineChart>
      <c:catAx>
        <c:axId val="131623552"/>
        <c:scaling>
          <c:orientation val="minMax"/>
        </c:scaling>
        <c:axPos val="b"/>
        <c:numFmt formatCode="General" sourceLinked="1"/>
        <c:majorTickMark val="none"/>
        <c:tickLblPos val="nextTo"/>
        <c:txPr>
          <a:bodyPr/>
          <a:lstStyle/>
          <a:p>
            <a:pPr>
              <a:defRPr lang="en-US"/>
            </a:pPr>
            <a:endParaRPr lang="id-ID"/>
          </a:p>
        </c:txPr>
        <c:crossAx val="131633536"/>
        <c:crosses val="autoZero"/>
        <c:auto val="1"/>
        <c:lblAlgn val="ctr"/>
        <c:lblOffset val="100"/>
      </c:catAx>
      <c:valAx>
        <c:axId val="131633536"/>
        <c:scaling>
          <c:orientation val="minMax"/>
        </c:scaling>
        <c:axPos val="l"/>
        <c:majorGridlines/>
        <c:title>
          <c:tx>
            <c:rich>
              <a:bodyPr/>
              <a:lstStyle/>
              <a:p>
                <a:pPr>
                  <a:defRPr lang="en-US"/>
                </a:pPr>
                <a:r>
                  <a:rPr lang="id-ID"/>
                  <a:t>Gg N2O/th</a:t>
                </a:r>
              </a:p>
            </c:rich>
          </c:tx>
        </c:title>
        <c:numFmt formatCode="General" sourceLinked="1"/>
        <c:majorTickMark val="none"/>
        <c:tickLblPos val="nextTo"/>
        <c:txPr>
          <a:bodyPr/>
          <a:lstStyle/>
          <a:p>
            <a:pPr>
              <a:defRPr lang="en-US"/>
            </a:pPr>
            <a:endParaRPr lang="id-ID"/>
          </a:p>
        </c:txPr>
        <c:crossAx val="131623552"/>
        <c:crosses val="autoZero"/>
        <c:crossBetween val="between"/>
      </c:valAx>
      <c:dTable>
        <c:showHorzBorder val="1"/>
        <c:showVertBorder val="1"/>
        <c:showOutline val="1"/>
        <c:showKeys val="1"/>
        <c:txPr>
          <a:bodyPr/>
          <a:lstStyle/>
          <a:p>
            <a:pPr rtl="0">
              <a:defRPr lang="en-US"/>
            </a:pPr>
            <a:endParaRPr lang="id-ID"/>
          </a:p>
        </c:txPr>
      </c:dTable>
    </c:plotArea>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400"/>
            </a:pPr>
            <a:r>
              <a:rPr lang="id-ID" sz="1400"/>
              <a:t>Rekapitulasi emisi GRK dari sektor peternakan </a:t>
            </a:r>
          </a:p>
        </c:rich>
      </c:tx>
    </c:title>
    <c:view3D>
      <c:rAngAx val="1"/>
    </c:view3D>
    <c:plotArea>
      <c:layout>
        <c:manualLayout>
          <c:layoutTarget val="inner"/>
          <c:xMode val="edge"/>
          <c:yMode val="edge"/>
          <c:x val="0.23490182985077396"/>
          <c:y val="0.16647896757712419"/>
          <c:w val="0.73918533151553956"/>
          <c:h val="0.57777923160198486"/>
        </c:manualLayout>
      </c:layout>
      <c:bar3DChart>
        <c:barDir val="col"/>
        <c:grouping val="stacked"/>
        <c:ser>
          <c:idx val="0"/>
          <c:order val="0"/>
          <c:tx>
            <c:strRef>
              <c:f>'REKAP PETERNAKAN'!$C$2:$D$2</c:f>
              <c:strCache>
                <c:ptCount val="1"/>
                <c:pt idx="0">
                  <c:v>Peternakan CH4 (entetik dan manure)</c:v>
                </c:pt>
              </c:strCache>
            </c:strRef>
          </c:tx>
          <c:cat>
            <c:numRef>
              <c:f>'REKAP PETERNAKAN'!$B$4:$B$28</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'REKAP PETERNAKAN'!$D$4:$D$28</c:f>
              <c:numCache>
                <c:formatCode>#,##0.00</c:formatCode>
                <c:ptCount val="25"/>
                <c:pt idx="0">
                  <c:v>1309.90723675</c:v>
                </c:pt>
                <c:pt idx="1">
                  <c:v>1400.5282478599997</c:v>
                </c:pt>
                <c:pt idx="2">
                  <c:v>1535.3770772899998</c:v>
                </c:pt>
                <c:pt idx="3">
                  <c:v>1640.5034037</c:v>
                </c:pt>
                <c:pt idx="4">
                  <c:v>1737.5838514299994</c:v>
                </c:pt>
                <c:pt idx="5">
                  <c:v>1756.1568313317448</c:v>
                </c:pt>
                <c:pt idx="6">
                  <c:v>1833.6756020185474</c:v>
                </c:pt>
                <c:pt idx="7">
                  <c:v>1911.1943736386863</c:v>
                </c:pt>
                <c:pt idx="8">
                  <c:v>1988.7131461918973</c:v>
                </c:pt>
                <c:pt idx="9">
                  <c:v>2066.2319196779154</c:v>
                </c:pt>
                <c:pt idx="10">
                  <c:v>2143.7506940964763</c:v>
                </c:pt>
                <c:pt idx="11">
                  <c:v>2221.2694694473153</c:v>
                </c:pt>
                <c:pt idx="12">
                  <c:v>2298.7882457301689</c:v>
                </c:pt>
                <c:pt idx="13">
                  <c:v>2376.3070229447708</c:v>
                </c:pt>
                <c:pt idx="14">
                  <c:v>2453.8258010908571</c:v>
                </c:pt>
                <c:pt idx="15">
                  <c:v>2531.3445801681664</c:v>
                </c:pt>
                <c:pt idx="16">
                  <c:v>2608.8633601764304</c:v>
                </c:pt>
                <c:pt idx="17">
                  <c:v>2686.3821411153881</c:v>
                </c:pt>
                <c:pt idx="18">
                  <c:v>2763.9009229847748</c:v>
                </c:pt>
                <c:pt idx="19">
                  <c:v>2841.4197057843257</c:v>
                </c:pt>
                <c:pt idx="20">
                  <c:v>2918.9384895137764</c:v>
                </c:pt>
                <c:pt idx="21">
                  <c:v>2996.4572741728643</c:v>
                </c:pt>
                <c:pt idx="22">
                  <c:v>3073.9760597613263</c:v>
                </c:pt>
                <c:pt idx="23">
                  <c:v>3151.494846278898</c:v>
                </c:pt>
                <c:pt idx="24">
                  <c:v>3229.0136337253161</c:v>
                </c:pt>
              </c:numCache>
            </c:numRef>
          </c:val>
        </c:ser>
        <c:ser>
          <c:idx val="1"/>
          <c:order val="1"/>
          <c:tx>
            <c:strRef>
              <c:f>'REKAP PETERNAKAN'!$E$2:$F$2</c:f>
              <c:strCache>
                <c:ptCount val="1"/>
                <c:pt idx="0">
                  <c:v>Peternakan N2O (manure management)</c:v>
                </c:pt>
              </c:strCache>
            </c:strRef>
          </c:tx>
          <c:cat>
            <c:numRef>
              <c:f>'REKAP PETERNAKAN'!$B$4:$B$28</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'REKAP PETERNAKAN'!$F$4:$F$28</c:f>
              <c:numCache>
                <c:formatCode>#,##0.00</c:formatCode>
                <c:ptCount val="25"/>
                <c:pt idx="0">
                  <c:v>21.507473050205501</c:v>
                </c:pt>
                <c:pt idx="1">
                  <c:v>23.044253901468569</c:v>
                </c:pt>
                <c:pt idx="2">
                  <c:v>25.698160802976112</c:v>
                </c:pt>
                <c:pt idx="3">
                  <c:v>27.714700181009235</c:v>
                </c:pt>
                <c:pt idx="4">
                  <c:v>29.881997223259656</c:v>
                </c:pt>
                <c:pt idx="5">
                  <c:v>30.082837977685045</c:v>
                </c:pt>
                <c:pt idx="6">
                  <c:v>31.59005416939257</c:v>
                </c:pt>
                <c:pt idx="7">
                  <c:v>33.097270454539078</c:v>
                </c:pt>
                <c:pt idx="8">
                  <c:v>34.604486833098008</c:v>
                </c:pt>
                <c:pt idx="9">
                  <c:v>36.111703305042887</c:v>
                </c:pt>
                <c:pt idx="10">
                  <c:v>37.618919870347234</c:v>
                </c:pt>
                <c:pt idx="11">
                  <c:v>39.12613652898456</c:v>
                </c:pt>
                <c:pt idx="12">
                  <c:v>40.633353280928382</c:v>
                </c:pt>
                <c:pt idx="13">
                  <c:v>42.140570126152241</c:v>
                </c:pt>
                <c:pt idx="14">
                  <c:v>43.647787064629668</c:v>
                </c:pt>
                <c:pt idx="15">
                  <c:v>45.155004096334217</c:v>
                </c:pt>
                <c:pt idx="16">
                  <c:v>46.662221221239456</c:v>
                </c:pt>
                <c:pt idx="17">
                  <c:v>48.169438439318917</c:v>
                </c:pt>
                <c:pt idx="18">
                  <c:v>49.676655750546175</c:v>
                </c:pt>
                <c:pt idx="19">
                  <c:v>51.183873154894826</c:v>
                </c:pt>
                <c:pt idx="20">
                  <c:v>52.691090652338453</c:v>
                </c:pt>
                <c:pt idx="21">
                  <c:v>54.198308242850615</c:v>
                </c:pt>
                <c:pt idx="22">
                  <c:v>55.705525926404952</c:v>
                </c:pt>
                <c:pt idx="23">
                  <c:v>57.21274370297504</c:v>
                </c:pt>
                <c:pt idx="24">
                  <c:v>58.719961572534537</c:v>
                </c:pt>
              </c:numCache>
            </c:numRef>
          </c:val>
        </c:ser>
        <c:gapWidth val="75"/>
        <c:shape val="box"/>
        <c:axId val="131644032"/>
        <c:axId val="131686784"/>
        <c:axId val="0"/>
      </c:bar3DChart>
      <c:catAx>
        <c:axId val="131644032"/>
        <c:scaling>
          <c:orientation val="minMax"/>
        </c:scaling>
        <c:axPos val="b"/>
        <c:numFmt formatCode="General" sourceLinked="1"/>
        <c:majorTickMark val="none"/>
        <c:tickLblPos val="nextTo"/>
        <c:crossAx val="131686784"/>
        <c:crosses val="autoZero"/>
        <c:auto val="1"/>
        <c:lblAlgn val="ctr"/>
        <c:lblOffset val="100"/>
      </c:catAx>
      <c:valAx>
        <c:axId val="131686784"/>
        <c:scaling>
          <c:orientation val="minMax"/>
        </c:scaling>
        <c:axPos val="l"/>
        <c:majorGridlines/>
        <c:numFmt formatCode="#,##0.00" sourceLinked="1"/>
        <c:majorTickMark val="none"/>
        <c:tickLblPos val="nextTo"/>
        <c:spPr>
          <a:ln w="9525">
            <a:noFill/>
          </a:ln>
        </c:spPr>
        <c:crossAx val="131644032"/>
        <c:crosses val="autoZero"/>
        <c:crossBetween val="between"/>
      </c:valAx>
    </c:plotArea>
    <c:legend>
      <c:legendPos val="b"/>
    </c:legend>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200"/>
              <a:t>Rekapitulasi  CO2eq dari lahan padi sawah irigasi dan non irigasi</a:t>
            </a:r>
          </a:p>
        </c:rich>
      </c:tx>
    </c:title>
    <c:plotArea>
      <c:layout>
        <c:manualLayout>
          <c:layoutTarget val="inner"/>
          <c:xMode val="edge"/>
          <c:yMode val="edge"/>
          <c:x val="0.12743826189349142"/>
          <c:y val="0.10012642930564609"/>
          <c:w val="0.85399108794897793"/>
          <c:h val="0.70388704892494258"/>
        </c:manualLayout>
      </c:layout>
      <c:barChart>
        <c:barDir val="col"/>
        <c:grouping val="stacked"/>
        <c:ser>
          <c:idx val="0"/>
          <c:order val="0"/>
          <c:tx>
            <c:strRef>
              <c:f>'Lahan sawah'!$C$75:$C$76</c:f>
              <c:strCache>
                <c:ptCount val="1"/>
                <c:pt idx="0">
                  <c:v>Sawah irigasi (Ribu ton CH4/th)</c:v>
                </c:pt>
              </c:strCache>
            </c:strRef>
          </c:tx>
          <c:cat>
            <c:numRef>
              <c:f>'Lahan sawah'!$B$77:$B$101</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sawah'!$D$77:$D$101</c:f>
              <c:numCache>
                <c:formatCode>General</c:formatCode>
                <c:ptCount val="25"/>
                <c:pt idx="0">
                  <c:v>777.92480472</c:v>
                </c:pt>
                <c:pt idx="1">
                  <c:v>784.66659095999989</c:v>
                </c:pt>
                <c:pt idx="2">
                  <c:v>790.84759823999991</c:v>
                </c:pt>
                <c:pt idx="3">
                  <c:v>787.3212211199999</c:v>
                </c:pt>
                <c:pt idx="4">
                  <c:v>783.59375135999983</c:v>
                </c:pt>
                <c:pt idx="5">
                  <c:v>785.0109880199999</c:v>
                </c:pt>
                <c:pt idx="6">
                  <c:v>786.42822467999997</c:v>
                </c:pt>
                <c:pt idx="7">
                  <c:v>787.84546133999993</c:v>
                </c:pt>
                <c:pt idx="8">
                  <c:v>789.26269799999989</c:v>
                </c:pt>
                <c:pt idx="9">
                  <c:v>790.67993465999996</c:v>
                </c:pt>
                <c:pt idx="10">
                  <c:v>792.09717132000003</c:v>
                </c:pt>
                <c:pt idx="11">
                  <c:v>793.5144079800001</c:v>
                </c:pt>
                <c:pt idx="12">
                  <c:v>794.93164463999983</c:v>
                </c:pt>
                <c:pt idx="13">
                  <c:v>796.3488812999999</c:v>
                </c:pt>
                <c:pt idx="14">
                  <c:v>797.76611795999997</c:v>
                </c:pt>
                <c:pt idx="15">
                  <c:v>799.18335461999993</c:v>
                </c:pt>
                <c:pt idx="16">
                  <c:v>800.60059128</c:v>
                </c:pt>
                <c:pt idx="17">
                  <c:v>802.01782793999996</c:v>
                </c:pt>
                <c:pt idx="18">
                  <c:v>803.43506460000003</c:v>
                </c:pt>
                <c:pt idx="19">
                  <c:v>804.85230125999999</c:v>
                </c:pt>
                <c:pt idx="20">
                  <c:v>806.26953792000006</c:v>
                </c:pt>
                <c:pt idx="21">
                  <c:v>807.68677457999979</c:v>
                </c:pt>
                <c:pt idx="22">
                  <c:v>809.10401123999986</c:v>
                </c:pt>
                <c:pt idx="23">
                  <c:v>810.52124789999993</c:v>
                </c:pt>
                <c:pt idx="24">
                  <c:v>811.93848456000001</c:v>
                </c:pt>
              </c:numCache>
            </c:numRef>
          </c:val>
        </c:ser>
        <c:ser>
          <c:idx val="1"/>
          <c:order val="1"/>
          <c:tx>
            <c:strRef>
              <c:f>'Lahan sawah'!$E$75:$E$76</c:f>
              <c:strCache>
                <c:ptCount val="1"/>
                <c:pt idx="0">
                  <c:v>Sawah non irigasi (Ribu ton CH4/th)</c:v>
                </c:pt>
              </c:strCache>
            </c:strRef>
          </c:tx>
          <c:cat>
            <c:numRef>
              <c:f>'Lahan sawah'!$B$77:$B$101</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sawah'!$F$77:$F$101</c:f>
              <c:numCache>
                <c:formatCode>General</c:formatCode>
                <c:ptCount val="25"/>
                <c:pt idx="0">
                  <c:v>95.035345650000011</c:v>
                </c:pt>
                <c:pt idx="1">
                  <c:v>95.87575578000002</c:v>
                </c:pt>
                <c:pt idx="2">
                  <c:v>98.622856499999997</c:v>
                </c:pt>
                <c:pt idx="3">
                  <c:v>95.886537179999991</c:v>
                </c:pt>
                <c:pt idx="4">
                  <c:v>93.966369839999999</c:v>
                </c:pt>
                <c:pt idx="5">
                  <c:v>93.699125887500003</c:v>
                </c:pt>
                <c:pt idx="6">
                  <c:v>93.431881935000007</c:v>
                </c:pt>
                <c:pt idx="7">
                  <c:v>93.164637982500011</c:v>
                </c:pt>
                <c:pt idx="8">
                  <c:v>92.897394030000015</c:v>
                </c:pt>
                <c:pt idx="9">
                  <c:v>92.630150077499991</c:v>
                </c:pt>
                <c:pt idx="10">
                  <c:v>92.362906124999995</c:v>
                </c:pt>
                <c:pt idx="11">
                  <c:v>92.095662172499999</c:v>
                </c:pt>
                <c:pt idx="12">
                  <c:v>91.828418220000003</c:v>
                </c:pt>
                <c:pt idx="13">
                  <c:v>91.561174267500007</c:v>
                </c:pt>
                <c:pt idx="14">
                  <c:v>91.293930315000011</c:v>
                </c:pt>
                <c:pt idx="15">
                  <c:v>91.026686362500001</c:v>
                </c:pt>
                <c:pt idx="16">
                  <c:v>90.759442409999991</c:v>
                </c:pt>
                <c:pt idx="17">
                  <c:v>90.492198457499995</c:v>
                </c:pt>
                <c:pt idx="18">
                  <c:v>90.224954504999999</c:v>
                </c:pt>
                <c:pt idx="19">
                  <c:v>89.957710552500004</c:v>
                </c:pt>
                <c:pt idx="20">
                  <c:v>89.690466600000008</c:v>
                </c:pt>
                <c:pt idx="21">
                  <c:v>89.423222647500012</c:v>
                </c:pt>
                <c:pt idx="22">
                  <c:v>89.155978694999988</c:v>
                </c:pt>
                <c:pt idx="23">
                  <c:v>88.888734742499992</c:v>
                </c:pt>
                <c:pt idx="24">
                  <c:v>88.621490789999996</c:v>
                </c:pt>
              </c:numCache>
            </c:numRef>
          </c:val>
        </c:ser>
        <c:gapWidth val="75"/>
        <c:overlap val="100"/>
        <c:axId val="135148288"/>
        <c:axId val="135149824"/>
      </c:barChart>
      <c:catAx>
        <c:axId val="135148288"/>
        <c:scaling>
          <c:orientation val="minMax"/>
        </c:scaling>
        <c:axPos val="b"/>
        <c:numFmt formatCode="General" sourceLinked="1"/>
        <c:majorTickMark val="none"/>
        <c:tickLblPos val="nextTo"/>
        <c:txPr>
          <a:bodyPr rot="-3600000"/>
          <a:lstStyle/>
          <a:p>
            <a:pPr>
              <a:defRPr lang="en-US"/>
            </a:pPr>
            <a:endParaRPr lang="id-ID"/>
          </a:p>
        </c:txPr>
        <c:crossAx val="135149824"/>
        <c:crosses val="autoZero"/>
        <c:auto val="1"/>
        <c:lblAlgn val="ctr"/>
        <c:lblOffset val="100"/>
      </c:catAx>
      <c:valAx>
        <c:axId val="135149824"/>
        <c:scaling>
          <c:orientation val="minMax"/>
        </c:scaling>
        <c:axPos val="l"/>
        <c:majorGridlines/>
        <c:numFmt formatCode="0" sourceLinked="0"/>
        <c:majorTickMark val="none"/>
        <c:tickLblPos val="nextTo"/>
        <c:spPr>
          <a:ln w="9525">
            <a:noFill/>
          </a:ln>
        </c:spPr>
        <c:txPr>
          <a:bodyPr/>
          <a:lstStyle/>
          <a:p>
            <a:pPr>
              <a:defRPr lang="en-US" sz="1050"/>
            </a:pPr>
            <a:endParaRPr lang="id-ID"/>
          </a:p>
        </c:txPr>
        <c:crossAx val="135148288"/>
        <c:crosses val="autoZero"/>
        <c:crossBetween val="between"/>
      </c:valAx>
    </c:plotArea>
    <c:legend>
      <c:legendPos val="b"/>
      <c:txPr>
        <a:bodyPr/>
        <a:lstStyle/>
        <a:p>
          <a:pPr>
            <a:defRPr sz="1050"/>
          </a:pPr>
          <a:endParaRPr lang="id-ID"/>
        </a:p>
      </c:txPr>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overlay val="1"/>
      <c:txPr>
        <a:bodyPr/>
        <a:lstStyle/>
        <a:p>
          <a:pPr>
            <a:defRPr lang="en-US"/>
          </a:pPr>
          <a:endParaRPr lang="id-ID"/>
        </a:p>
      </c:txPr>
    </c:title>
    <c:plotArea>
      <c:layout>
        <c:manualLayout>
          <c:layoutTarget val="inner"/>
          <c:xMode val="edge"/>
          <c:yMode val="edge"/>
          <c:x val="0.11501616341101707"/>
          <c:y val="0.1549805753916596"/>
          <c:w val="0.86743417191898819"/>
          <c:h val="0.73063293730075463"/>
        </c:manualLayout>
      </c:layout>
      <c:lineChart>
        <c:grouping val="standard"/>
        <c:ser>
          <c:idx val="0"/>
          <c:order val="0"/>
          <c:tx>
            <c:strRef>
              <c:f>'Lahan sawah'!$C$3</c:f>
              <c:strCache>
                <c:ptCount val="1"/>
                <c:pt idx="0">
                  <c:v>Emisi CH4 tahunan dari lahan padi sawah irigasi</c:v>
                </c:pt>
              </c:strCache>
            </c:strRef>
          </c:tx>
          <c:cat>
            <c:numRef>
              <c:f>'Lahan sawah'!$B$11:$B$35</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sawah'!$K$11:$K$35</c:f>
              <c:numCache>
                <c:formatCode>0.00</c:formatCode>
                <c:ptCount val="25"/>
                <c:pt idx="0">
                  <c:v>37.044038319999999</c:v>
                </c:pt>
                <c:pt idx="1">
                  <c:v>37.365075759999996</c:v>
                </c:pt>
                <c:pt idx="2">
                  <c:v>37.659409439999997</c:v>
                </c:pt>
                <c:pt idx="3">
                  <c:v>37.491486719999997</c:v>
                </c:pt>
                <c:pt idx="4">
                  <c:v>37.313988159999994</c:v>
                </c:pt>
                <c:pt idx="5">
                  <c:v>37.381475619999996</c:v>
                </c:pt>
                <c:pt idx="6">
                  <c:v>37.448963079999999</c:v>
                </c:pt>
                <c:pt idx="7">
                  <c:v>37.516450539999994</c:v>
                </c:pt>
                <c:pt idx="8">
                  <c:v>37.583937999999996</c:v>
                </c:pt>
                <c:pt idx="9">
                  <c:v>37.651425459999999</c:v>
                </c:pt>
                <c:pt idx="10">
                  <c:v>37.718912920000001</c:v>
                </c:pt>
                <c:pt idx="11">
                  <c:v>37.786400380000003</c:v>
                </c:pt>
                <c:pt idx="12">
                  <c:v>37.853887839999992</c:v>
                </c:pt>
                <c:pt idx="13">
                  <c:v>37.921375299999994</c:v>
                </c:pt>
                <c:pt idx="14">
                  <c:v>37.988862759999996</c:v>
                </c:pt>
                <c:pt idx="15">
                  <c:v>38.056350219999999</c:v>
                </c:pt>
                <c:pt idx="16">
                  <c:v>38.123837680000001</c:v>
                </c:pt>
                <c:pt idx="17">
                  <c:v>38.191325139999996</c:v>
                </c:pt>
                <c:pt idx="18">
                  <c:v>38.258812599999999</c:v>
                </c:pt>
                <c:pt idx="19">
                  <c:v>38.326300060000001</c:v>
                </c:pt>
                <c:pt idx="20">
                  <c:v>38.393787520000004</c:v>
                </c:pt>
                <c:pt idx="21">
                  <c:v>38.461274979999992</c:v>
                </c:pt>
                <c:pt idx="22">
                  <c:v>38.528762439999994</c:v>
                </c:pt>
                <c:pt idx="23">
                  <c:v>38.596249899999997</c:v>
                </c:pt>
                <c:pt idx="24">
                  <c:v>38.663737359999999</c:v>
                </c:pt>
              </c:numCache>
            </c:numRef>
          </c:val>
        </c:ser>
        <c:marker val="1"/>
        <c:axId val="135169920"/>
        <c:axId val="135171456"/>
      </c:lineChart>
      <c:catAx>
        <c:axId val="135169920"/>
        <c:scaling>
          <c:orientation val="minMax"/>
        </c:scaling>
        <c:axPos val="b"/>
        <c:numFmt formatCode="General" sourceLinked="1"/>
        <c:majorTickMark val="none"/>
        <c:tickLblPos val="nextTo"/>
        <c:txPr>
          <a:bodyPr rot="3600000"/>
          <a:lstStyle/>
          <a:p>
            <a:pPr>
              <a:defRPr lang="en-US" sz="1100"/>
            </a:pPr>
            <a:endParaRPr lang="id-ID"/>
          </a:p>
        </c:txPr>
        <c:crossAx val="135171456"/>
        <c:crosses val="autoZero"/>
        <c:auto val="1"/>
        <c:lblAlgn val="ctr"/>
        <c:lblOffset val="100"/>
      </c:catAx>
      <c:valAx>
        <c:axId val="135171456"/>
        <c:scaling>
          <c:orientation val="minMax"/>
          <c:min val="36"/>
        </c:scaling>
        <c:axPos val="l"/>
        <c:majorGridlines/>
        <c:title>
          <c:tx>
            <c:rich>
              <a:bodyPr/>
              <a:lstStyle/>
              <a:p>
                <a:pPr>
                  <a:defRPr lang="en-US"/>
                </a:pPr>
                <a:r>
                  <a:rPr lang="en-US" sz="1400" baseline="0"/>
                  <a:t> Ribu Ton </a:t>
                </a:r>
                <a:r>
                  <a:rPr lang="id-ID" sz="1400"/>
                  <a:t>N2O/th</a:t>
                </a:r>
              </a:p>
            </c:rich>
          </c:tx>
          <c:layout>
            <c:manualLayout>
              <c:xMode val="edge"/>
              <c:yMode val="edge"/>
              <c:x val="3.2479454143611566E-4"/>
              <c:y val="0.38629531009562385"/>
            </c:manualLayout>
          </c:layout>
        </c:title>
        <c:numFmt formatCode="0.0" sourceLinked="0"/>
        <c:majorTickMark val="none"/>
        <c:tickLblPos val="nextTo"/>
        <c:txPr>
          <a:bodyPr/>
          <a:lstStyle/>
          <a:p>
            <a:pPr>
              <a:defRPr lang="en-US" sz="1100"/>
            </a:pPr>
            <a:endParaRPr lang="id-ID"/>
          </a:p>
        </c:txPr>
        <c:crossAx val="135169920"/>
        <c:crosses val="autoZero"/>
        <c:crossBetween val="between"/>
      </c:valAx>
    </c:plotArea>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id-ID"/>
  <c:chart>
    <c:title>
      <c:overlay val="1"/>
      <c:txPr>
        <a:bodyPr/>
        <a:lstStyle/>
        <a:p>
          <a:pPr>
            <a:defRPr lang="en-US"/>
          </a:pPr>
          <a:endParaRPr lang="id-ID"/>
        </a:p>
      </c:txPr>
    </c:title>
    <c:plotArea>
      <c:layout>
        <c:manualLayout>
          <c:layoutTarget val="inner"/>
          <c:xMode val="edge"/>
          <c:yMode val="edge"/>
          <c:x val="0.11501616341101707"/>
          <c:y val="0.1549805753916596"/>
          <c:w val="0.86743417191898819"/>
          <c:h val="0.73063293730075463"/>
        </c:manualLayout>
      </c:layout>
      <c:lineChart>
        <c:grouping val="standard"/>
        <c:ser>
          <c:idx val="0"/>
          <c:order val="0"/>
          <c:tx>
            <c:strRef>
              <c:f>'Lahan sawah'!$C$38</c:f>
              <c:strCache>
                <c:ptCount val="1"/>
                <c:pt idx="0">
                  <c:v>Emisi CH4 tahunan dari lahan padi sawah non irigasi</c:v>
                </c:pt>
              </c:strCache>
            </c:strRef>
          </c:tx>
          <c:cat>
            <c:numRef>
              <c:f>'Lahan sawah'!$B$11:$B$35</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sawah'!$K$46:$K$70</c:f>
              <c:numCache>
                <c:formatCode>0.00</c:formatCode>
                <c:ptCount val="25"/>
                <c:pt idx="0">
                  <c:v>4.5254926500000003</c:v>
                </c:pt>
                <c:pt idx="1">
                  <c:v>4.5655121800000007</c:v>
                </c:pt>
                <c:pt idx="2">
                  <c:v>4.6963264999999996</c:v>
                </c:pt>
                <c:pt idx="3">
                  <c:v>4.5660255799999998</c:v>
                </c:pt>
                <c:pt idx="4">
                  <c:v>4.4745890399999997</c:v>
                </c:pt>
                <c:pt idx="5">
                  <c:v>4.4618631375</c:v>
                </c:pt>
                <c:pt idx="6">
                  <c:v>4.4491372350000002</c:v>
                </c:pt>
                <c:pt idx="7">
                  <c:v>4.4364113325000005</c:v>
                </c:pt>
                <c:pt idx="8">
                  <c:v>4.4236854300000008</c:v>
                </c:pt>
                <c:pt idx="9">
                  <c:v>4.4109595274999993</c:v>
                </c:pt>
                <c:pt idx="10">
                  <c:v>4.3982336249999996</c:v>
                </c:pt>
                <c:pt idx="11">
                  <c:v>4.3855077224999999</c:v>
                </c:pt>
                <c:pt idx="12">
                  <c:v>4.3727818200000002</c:v>
                </c:pt>
                <c:pt idx="13">
                  <c:v>4.3600559175000004</c:v>
                </c:pt>
                <c:pt idx="14">
                  <c:v>4.3473300150000007</c:v>
                </c:pt>
                <c:pt idx="15">
                  <c:v>4.3346041125000001</c:v>
                </c:pt>
                <c:pt idx="16">
                  <c:v>4.3218782099999995</c:v>
                </c:pt>
                <c:pt idx="17">
                  <c:v>4.3091523074999998</c:v>
                </c:pt>
                <c:pt idx="18">
                  <c:v>4.2964264050000001</c:v>
                </c:pt>
                <c:pt idx="19">
                  <c:v>4.2837005025000003</c:v>
                </c:pt>
                <c:pt idx="20">
                  <c:v>4.2709746000000006</c:v>
                </c:pt>
                <c:pt idx="21">
                  <c:v>4.2582486975000009</c:v>
                </c:pt>
                <c:pt idx="22">
                  <c:v>4.2455227949999994</c:v>
                </c:pt>
                <c:pt idx="23">
                  <c:v>4.2327968924999997</c:v>
                </c:pt>
                <c:pt idx="24">
                  <c:v>4.22007099</c:v>
                </c:pt>
              </c:numCache>
            </c:numRef>
          </c:val>
        </c:ser>
        <c:marker val="1"/>
        <c:axId val="135195648"/>
        <c:axId val="135197440"/>
      </c:lineChart>
      <c:catAx>
        <c:axId val="135195648"/>
        <c:scaling>
          <c:orientation val="minMax"/>
        </c:scaling>
        <c:axPos val="b"/>
        <c:numFmt formatCode="General" sourceLinked="1"/>
        <c:majorTickMark val="none"/>
        <c:tickLblPos val="nextTo"/>
        <c:txPr>
          <a:bodyPr rot="3600000"/>
          <a:lstStyle/>
          <a:p>
            <a:pPr>
              <a:defRPr lang="en-US" sz="1100"/>
            </a:pPr>
            <a:endParaRPr lang="id-ID"/>
          </a:p>
        </c:txPr>
        <c:crossAx val="135197440"/>
        <c:crosses val="autoZero"/>
        <c:auto val="1"/>
        <c:lblAlgn val="ctr"/>
        <c:lblOffset val="100"/>
      </c:catAx>
      <c:valAx>
        <c:axId val="135197440"/>
        <c:scaling>
          <c:orientation val="minMax"/>
        </c:scaling>
        <c:axPos val="l"/>
        <c:majorGridlines/>
        <c:title>
          <c:tx>
            <c:rich>
              <a:bodyPr/>
              <a:lstStyle/>
              <a:p>
                <a:pPr>
                  <a:defRPr lang="en-US"/>
                </a:pPr>
                <a:r>
                  <a:rPr lang="en-US" sz="1400" baseline="0"/>
                  <a:t> Ribu Ton </a:t>
                </a:r>
                <a:r>
                  <a:rPr lang="id-ID" sz="1400"/>
                  <a:t>N2O/th</a:t>
                </a:r>
              </a:p>
            </c:rich>
          </c:tx>
          <c:layout>
            <c:manualLayout>
              <c:xMode val="edge"/>
              <c:yMode val="edge"/>
              <c:x val="3.2479454143611566E-4"/>
              <c:y val="0.38629531009562385"/>
            </c:manualLayout>
          </c:layout>
        </c:title>
        <c:numFmt formatCode="0.0" sourceLinked="0"/>
        <c:majorTickMark val="none"/>
        <c:tickLblPos val="nextTo"/>
        <c:txPr>
          <a:bodyPr/>
          <a:lstStyle/>
          <a:p>
            <a:pPr>
              <a:defRPr lang="en-US" sz="1100"/>
            </a:pPr>
            <a:endParaRPr lang="id-ID"/>
          </a:p>
        </c:txPr>
        <c:crossAx val="135195648"/>
        <c:crosses val="autoZero"/>
        <c:crossBetween val="between"/>
      </c:valAx>
    </c:plotArea>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id-ID"/>
  <c:chart>
    <c:title>
      <c:txPr>
        <a:bodyPr/>
        <a:lstStyle/>
        <a:p>
          <a:pPr>
            <a:defRPr lang="en-US"/>
          </a:pPr>
          <a:endParaRPr lang="id-ID"/>
        </a:p>
      </c:txPr>
    </c:title>
    <c:plotArea>
      <c:layout>
        <c:manualLayout>
          <c:layoutTarget val="inner"/>
          <c:xMode val="edge"/>
          <c:yMode val="edge"/>
          <c:x val="0.10614968849463262"/>
          <c:y val="0.11173865536899359"/>
          <c:w val="0.87756864691504788"/>
          <c:h val="0.72380972217609385"/>
        </c:manualLayout>
      </c:layout>
      <c:lineChart>
        <c:grouping val="standard"/>
        <c:ser>
          <c:idx val="0"/>
          <c:order val="0"/>
          <c:tx>
            <c:strRef>
              <c:f>'Pupuk Urea-CO2'!$E$6</c:f>
              <c:strCache>
                <c:ptCount val="1"/>
                <c:pt idx="0">
                  <c:v>Emisi CO2-C dari pemupukan urea tahunan</c:v>
                </c:pt>
              </c:strCache>
            </c:strRef>
          </c:tx>
          <c:cat>
            <c:numRef>
              <c:f>'Pupuk Urea-CO2'!$B$10:$B$37</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'Pupuk Urea-CO2'!$E$10:$E$37</c:f>
              <c:numCache>
                <c:formatCode>_(* #,##0.00_);_(* \(#,##0.00\);_(* "-"??_);_(@_)</c:formatCode>
                <c:ptCount val="28"/>
                <c:pt idx="0">
                  <c:v>8.8002000000000002</c:v>
                </c:pt>
                <c:pt idx="1">
                  <c:v>15.820200000000002</c:v>
                </c:pt>
                <c:pt idx="2">
                  <c:v>11.661</c:v>
                </c:pt>
                <c:pt idx="3">
                  <c:v>13.436</c:v>
                </c:pt>
                <c:pt idx="4">
                  <c:v>140.06960000000001</c:v>
                </c:pt>
                <c:pt idx="5">
                  <c:v>142.03380000000001</c:v>
                </c:pt>
                <c:pt idx="6">
                  <c:v>133.38436999999999</c:v>
                </c:pt>
                <c:pt idx="7">
                  <c:v>135.29859999999999</c:v>
                </c:pt>
                <c:pt idx="8">
                  <c:v>181.64033288712503</c:v>
                </c:pt>
                <c:pt idx="9">
                  <c:v>205.28492078876496</c:v>
                </c:pt>
                <c:pt idx="10">
                  <c:v>228.9177598263264</c:v>
                </c:pt>
                <c:pt idx="11">
                  <c:v>252.53886166996958</c:v>
                </c:pt>
                <c:pt idx="12">
                  <c:v>276.14823797235493</c:v>
                </c:pt>
                <c:pt idx="13">
                  <c:v>299.74590036892891</c:v>
                </c:pt>
                <c:pt idx="14">
                  <c:v>323.33186047763826</c:v>
                </c:pt>
                <c:pt idx="15">
                  <c:v>346.9061298993588</c:v>
                </c:pt>
                <c:pt idx="16">
                  <c:v>370.46872021760942</c:v>
                </c:pt>
                <c:pt idx="17">
                  <c:v>394.01964299860003</c:v>
                </c:pt>
                <c:pt idx="18">
                  <c:v>417.558909791708</c:v>
                </c:pt>
                <c:pt idx="19">
                  <c:v>441.08653212881086</c:v>
                </c:pt>
                <c:pt idx="20">
                  <c:v>464.6025215248585</c:v>
                </c:pt>
                <c:pt idx="21">
                  <c:v>488.1068894776821</c:v>
                </c:pt>
                <c:pt idx="22">
                  <c:v>511.59964746804241</c:v>
                </c:pt>
                <c:pt idx="23">
                  <c:v>535.08080695986746</c:v>
                </c:pt>
                <c:pt idx="24">
                  <c:v>558.55037939982424</c:v>
                </c:pt>
                <c:pt idx="25">
                  <c:v>582.00837621793744</c:v>
                </c:pt>
                <c:pt idx="26">
                  <c:v>605.45480882716174</c:v>
                </c:pt>
                <c:pt idx="27">
                  <c:v>628.88968862357137</c:v>
                </c:pt>
              </c:numCache>
            </c:numRef>
          </c:val>
        </c:ser>
        <c:marker val="1"/>
        <c:axId val="162183424"/>
        <c:axId val="162189312"/>
      </c:lineChart>
      <c:catAx>
        <c:axId val="162183424"/>
        <c:scaling>
          <c:orientation val="minMax"/>
        </c:scaling>
        <c:axPos val="b"/>
        <c:numFmt formatCode="General" sourceLinked="1"/>
        <c:majorTickMark val="none"/>
        <c:tickLblPos val="nextTo"/>
        <c:txPr>
          <a:bodyPr rot="-5400000" vert="horz"/>
          <a:lstStyle/>
          <a:p>
            <a:pPr>
              <a:defRPr lang="en-US"/>
            </a:pPr>
            <a:endParaRPr lang="id-ID"/>
          </a:p>
        </c:txPr>
        <c:crossAx val="162189312"/>
        <c:crosses val="autoZero"/>
        <c:auto val="1"/>
        <c:lblAlgn val="ctr"/>
        <c:lblOffset val="100"/>
      </c:catAx>
      <c:valAx>
        <c:axId val="162189312"/>
        <c:scaling>
          <c:orientation val="minMax"/>
        </c:scaling>
        <c:axPos val="l"/>
        <c:majorGridlines/>
        <c:title>
          <c:tx>
            <c:rich>
              <a:bodyPr/>
              <a:lstStyle/>
              <a:p>
                <a:pPr>
                  <a:defRPr lang="en-US"/>
                </a:pPr>
                <a:r>
                  <a:rPr lang="en-US"/>
                  <a:t> Ribu </a:t>
                </a:r>
                <a:r>
                  <a:rPr lang="id-ID"/>
                  <a:t>ton CO2 eq/tahun</a:t>
                </a:r>
              </a:p>
            </c:rich>
          </c:tx>
          <c:layout>
            <c:manualLayout>
              <c:xMode val="edge"/>
              <c:yMode val="edge"/>
              <c:x val="2.0559787936527299E-3"/>
              <c:y val="0.35259952800017624"/>
            </c:manualLayout>
          </c:layout>
        </c:title>
        <c:numFmt formatCode="_(* #,##0_);_(* \(#,##0\);_(* &quot;-&quot;_);_(@_)" sourceLinked="0"/>
        <c:majorTickMark val="none"/>
        <c:tickLblPos val="nextTo"/>
        <c:txPr>
          <a:bodyPr/>
          <a:lstStyle/>
          <a:p>
            <a:pPr>
              <a:defRPr lang="en-US"/>
            </a:pPr>
            <a:endParaRPr lang="id-ID"/>
          </a:p>
        </c:txPr>
        <c:crossAx val="162183424"/>
        <c:crosses val="autoZero"/>
        <c:crossBetween val="between"/>
        <c:majorUnit val="50"/>
      </c:valAx>
    </c:plotArea>
    <c:plotVisOnly val="1"/>
    <c:dispBlanksAs val="gap"/>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image" Target="../media/image4.emf"/><Relationship Id="rId5" Type="http://schemas.openxmlformats.org/officeDocument/2006/relationships/chart" Target="../charts/chart8.xml"/><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10</xdr:col>
      <xdr:colOff>48745</xdr:colOff>
      <xdr:row>51</xdr:row>
      <xdr:rowOff>71718</xdr:rowOff>
    </xdr:from>
    <xdr:to>
      <xdr:col>17</xdr:col>
      <xdr:colOff>612044</xdr:colOff>
      <xdr:row>75</xdr:row>
      <xdr:rowOff>177408</xdr:rowOff>
    </xdr:to>
    <xdr:pic>
      <xdr:nvPicPr>
        <xdr:cNvPr id="2" name="Picture 55"/>
        <xdr:cNvPicPr>
          <a:picLocks noChangeAspect="1" noChangeArrowheads="1"/>
        </xdr:cNvPicPr>
      </xdr:nvPicPr>
      <xdr:blipFill>
        <a:blip xmlns:r="http://schemas.openxmlformats.org/officeDocument/2006/relationships" r:embed="rId1"/>
        <a:srcRect/>
        <a:stretch>
          <a:fillRect/>
        </a:stretch>
      </xdr:blipFill>
      <xdr:spPr bwMode="auto">
        <a:xfrm>
          <a:off x="10078010" y="10616453"/>
          <a:ext cx="5986946" cy="5002661"/>
        </a:xfrm>
        <a:prstGeom prst="rect">
          <a:avLst/>
        </a:prstGeom>
        <a:noFill/>
        <a:ln w="1">
          <a:noFill/>
          <a:miter lim="800000"/>
          <a:headEnd/>
          <a:tailEnd type="none" w="med" len="med"/>
        </a:ln>
        <a:effectLst/>
      </xdr:spPr>
    </xdr:pic>
    <xdr:clientData/>
  </xdr:twoCellAnchor>
  <xdr:twoCellAnchor>
    <xdr:from>
      <xdr:col>11</xdr:col>
      <xdr:colOff>28575</xdr:colOff>
      <xdr:row>85</xdr:row>
      <xdr:rowOff>38100</xdr:rowOff>
    </xdr:from>
    <xdr:to>
      <xdr:col>18</xdr:col>
      <xdr:colOff>104775</xdr:colOff>
      <xdr:row>99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414616</xdr:colOff>
      <xdr:row>169</xdr:row>
      <xdr:rowOff>89647</xdr:rowOff>
    </xdr:from>
    <xdr:to>
      <xdr:col>15</xdr:col>
      <xdr:colOff>560292</xdr:colOff>
      <xdr:row>193</xdr:row>
      <xdr:rowOff>11207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547688</xdr:colOff>
      <xdr:row>0</xdr:row>
      <xdr:rowOff>0</xdr:rowOff>
    </xdr:from>
    <xdr:to>
      <xdr:col>35</xdr:col>
      <xdr:colOff>87315</xdr:colOff>
      <xdr:row>13</xdr:row>
      <xdr:rowOff>617538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523875</xdr:colOff>
      <xdr:row>35</xdr:row>
      <xdr:rowOff>38100</xdr:rowOff>
    </xdr:from>
    <xdr:to>
      <xdr:col>28</xdr:col>
      <xdr:colOff>47627</xdr:colOff>
      <xdr:row>51</xdr:row>
      <xdr:rowOff>147638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642938</xdr:colOff>
      <xdr:row>13</xdr:row>
      <xdr:rowOff>660400</xdr:rowOff>
    </xdr:from>
    <xdr:to>
      <xdr:col>35</xdr:col>
      <xdr:colOff>182565</xdr:colOff>
      <xdr:row>34</xdr:row>
      <xdr:rowOff>71438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35</xdr:row>
      <xdr:rowOff>79375</xdr:rowOff>
    </xdr:from>
    <xdr:to>
      <xdr:col>20</xdr:col>
      <xdr:colOff>254002</xdr:colOff>
      <xdr:row>52</xdr:row>
      <xdr:rowOff>49213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525370</xdr:colOff>
      <xdr:row>0</xdr:row>
      <xdr:rowOff>23813</xdr:rowOff>
    </xdr:from>
    <xdr:to>
      <xdr:col>26</xdr:col>
      <xdr:colOff>381000</xdr:colOff>
      <xdr:row>21</xdr:row>
      <xdr:rowOff>119063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557893</xdr:colOff>
      <xdr:row>9</xdr:row>
      <xdr:rowOff>0</xdr:rowOff>
    </xdr:from>
    <xdr:to>
      <xdr:col>13</xdr:col>
      <xdr:colOff>503465</xdr:colOff>
      <xdr:row>11</xdr:row>
      <xdr:rowOff>95249</xdr:rowOff>
    </xdr:to>
    <xdr:sp macro="" textlink="">
      <xdr:nvSpPr>
        <xdr:cNvPr id="9" name="TextBox 8"/>
        <xdr:cNvSpPr txBox="1"/>
      </xdr:nvSpPr>
      <xdr:spPr>
        <a:xfrm>
          <a:off x="13185322" y="2095500"/>
          <a:ext cx="707572" cy="449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id-ID" sz="1100"/>
            <a:t>Ribu ton CO2 eq</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656664</xdr:colOff>
      <xdr:row>29</xdr:row>
      <xdr:rowOff>166408</xdr:rowOff>
    </xdr:from>
    <xdr:to>
      <xdr:col>5</xdr:col>
      <xdr:colOff>311523</xdr:colOff>
      <xdr:row>47</xdr:row>
      <xdr:rowOff>90208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611128</xdr:colOff>
      <xdr:row>29</xdr:row>
      <xdr:rowOff>92003</xdr:rowOff>
    </xdr:from>
    <xdr:to>
      <xdr:col>11</xdr:col>
      <xdr:colOff>552880</xdr:colOff>
      <xdr:row>49</xdr:row>
      <xdr:rowOff>84985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371475</xdr:colOff>
      <xdr:row>56</xdr:row>
      <xdr:rowOff>28575</xdr:rowOff>
    </xdr:from>
    <xdr:to>
      <xdr:col>6</xdr:col>
      <xdr:colOff>29135</xdr:colOff>
      <xdr:row>77</xdr:row>
      <xdr:rowOff>9525</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600075" y="11306175"/>
          <a:ext cx="6210300" cy="3981450"/>
        </a:xfrm>
        <a:prstGeom prst="rect">
          <a:avLst/>
        </a:prstGeom>
        <a:noFill/>
        <a:ln w="9525">
          <a:noFill/>
          <a:miter lim="800000"/>
          <a:headEnd/>
          <a:tailEnd/>
        </a:ln>
      </xdr:spPr>
    </xdr:pic>
    <xdr:clientData/>
  </xdr:twoCellAnchor>
  <xdr:twoCellAnchor>
    <xdr:from>
      <xdr:col>6</xdr:col>
      <xdr:colOff>829236</xdr:colOff>
      <xdr:row>58</xdr:row>
      <xdr:rowOff>122464</xdr:rowOff>
    </xdr:from>
    <xdr:to>
      <xdr:col>14</xdr:col>
      <xdr:colOff>818555</xdr:colOff>
      <xdr:row>80</xdr:row>
      <xdr:rowOff>54429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0.38074</cdr:x>
      <cdr:y>0.47195</cdr:y>
    </cdr:from>
    <cdr:to>
      <cdr:x>0.38074</cdr:x>
      <cdr:y>0.83987</cdr:y>
    </cdr:to>
    <cdr:cxnSp macro="">
      <cdr:nvCxnSpPr>
        <cdr:cNvPr id="3" name="Straight Connector 2"/>
        <cdr:cNvCxnSpPr/>
      </cdr:nvCxnSpPr>
      <cdr:spPr>
        <a:xfrm xmlns:a="http://schemas.openxmlformats.org/drawingml/2006/main">
          <a:off x="3016176" y="1976727"/>
          <a:ext cx="0" cy="154101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editAs="oneCell">
    <xdr:from>
      <xdr:col>16</xdr:col>
      <xdr:colOff>122326</xdr:colOff>
      <xdr:row>66</xdr:row>
      <xdr:rowOff>143416</xdr:rowOff>
    </xdr:from>
    <xdr:to>
      <xdr:col>21</xdr:col>
      <xdr:colOff>851309</xdr:colOff>
      <xdr:row>91</xdr:row>
      <xdr:rowOff>103846</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16799735" y="14794598"/>
          <a:ext cx="5872483" cy="4722930"/>
        </a:xfrm>
        <a:prstGeom prst="rect">
          <a:avLst/>
        </a:prstGeom>
        <a:noFill/>
        <a:ln w="9525">
          <a:noFill/>
          <a:miter lim="800000"/>
          <a:headEnd/>
          <a:tailEnd/>
        </a:ln>
      </xdr:spPr>
    </xdr:pic>
    <xdr:clientData/>
  </xdr:twoCellAnchor>
  <xdr:twoCellAnchor>
    <xdr:from>
      <xdr:col>3</xdr:col>
      <xdr:colOff>794471</xdr:colOff>
      <xdr:row>71</xdr:row>
      <xdr:rowOff>51955</xdr:rowOff>
    </xdr:from>
    <xdr:to>
      <xdr:col>10</xdr:col>
      <xdr:colOff>1506682</xdr:colOff>
      <xdr:row>100</xdr:row>
      <xdr:rowOff>155864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68035</xdr:colOff>
      <xdr:row>52</xdr:row>
      <xdr:rowOff>27214</xdr:rowOff>
    </xdr:from>
    <xdr:to>
      <xdr:col>39</xdr:col>
      <xdr:colOff>1319892</xdr:colOff>
      <xdr:row>65</xdr:row>
      <xdr:rowOff>68035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228600</xdr:colOff>
      <xdr:row>4</xdr:row>
      <xdr:rowOff>47624</xdr:rowOff>
    </xdr:from>
    <xdr:to>
      <xdr:col>16</xdr:col>
      <xdr:colOff>133350</xdr:colOff>
      <xdr:row>21</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409577</xdr:colOff>
      <xdr:row>9</xdr:row>
      <xdr:rowOff>171448</xdr:rowOff>
    </xdr:from>
    <xdr:to>
      <xdr:col>8</xdr:col>
      <xdr:colOff>276227</xdr:colOff>
      <xdr:row>14</xdr:row>
      <xdr:rowOff>142873</xdr:rowOff>
    </xdr:to>
    <xdr:sp macro="" textlink="">
      <xdr:nvSpPr>
        <xdr:cNvPr id="6" name="TextBox 5"/>
        <xdr:cNvSpPr txBox="1"/>
      </xdr:nvSpPr>
      <xdr:spPr>
        <a:xfrm rot="16200000">
          <a:off x="4452939" y="3043236"/>
          <a:ext cx="9239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id-ID" sz="1100"/>
            <a:t>Ribu ton  CO2 eq</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twoCellAnchor>
    <xdr:from>
      <xdr:col>1</xdr:col>
      <xdr:colOff>1074965</xdr:colOff>
      <xdr:row>50</xdr:row>
      <xdr:rowOff>272143</xdr:rowOff>
    </xdr:from>
    <xdr:to>
      <xdr:col>6</xdr:col>
      <xdr:colOff>843642</xdr:colOff>
      <xdr:row>57</xdr:row>
      <xdr:rowOff>68036</xdr:rowOff>
    </xdr:to>
    <xdr:sp macro="" textlink="">
      <xdr:nvSpPr>
        <xdr:cNvPr id="7" name="TextBox 6"/>
        <xdr:cNvSpPr txBox="1"/>
      </xdr:nvSpPr>
      <xdr:spPr>
        <a:xfrm>
          <a:off x="1115786" y="13049250"/>
          <a:ext cx="502103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id-ID" sz="1400">
              <a:solidFill>
                <a:schemeClr val="dk1"/>
              </a:solidFill>
              <a:latin typeface="+mn-lt"/>
              <a:ea typeface="+mn-ea"/>
              <a:cs typeface="+mn-cs"/>
            </a:rPr>
            <a:t>Untuk nilai faktor emisi 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asal padi sawah (EF</a:t>
          </a:r>
          <a:r>
            <a:rPr lang="id-ID" sz="1400" baseline="-25000">
              <a:solidFill>
                <a:schemeClr val="dk1"/>
              </a:solidFill>
              <a:latin typeface="+mn-lt"/>
              <a:ea typeface="+mn-ea"/>
              <a:cs typeface="+mn-cs"/>
            </a:rPr>
            <a:t>rice</a:t>
          </a:r>
          <a:r>
            <a:rPr lang="id-ID" sz="1400">
              <a:solidFill>
                <a:schemeClr val="dk1"/>
              </a:solidFill>
              <a:latin typeface="+mn-lt"/>
              <a:ea typeface="+mn-ea"/>
              <a:cs typeface="+mn-cs"/>
            </a:rPr>
            <a:t>)mengacu pada hasil penelitian Husny (2011).  Hasil penelitian Husny (2011) menunjukkan bahwa emisi 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dari tiga tipologi persawahan adalah berturut-turut sebesar 24,86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beririgasi; 25,67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lebak, dan 44,10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pasang surut.</a:t>
          </a:r>
        </a:p>
        <a:p>
          <a:endParaRPr lang="id-ID" sz="14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388676</xdr:colOff>
      <xdr:row>96</xdr:row>
      <xdr:rowOff>152824</xdr:rowOff>
    </xdr:from>
    <xdr:to>
      <xdr:col>16</xdr:col>
      <xdr:colOff>175357</xdr:colOff>
      <xdr:row>117</xdr:row>
      <xdr:rowOff>124248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7706664" y="20376025"/>
          <a:ext cx="6593571" cy="3874351"/>
        </a:xfrm>
        <a:prstGeom prst="rect">
          <a:avLst/>
        </a:prstGeom>
        <a:noFill/>
        <a:ln w="9525">
          <a:noFill/>
          <a:miter lim="800000"/>
          <a:headEnd/>
          <a:tailEnd/>
        </a:ln>
      </xdr:spPr>
    </xdr:pic>
    <xdr:clientData/>
  </xdr:twoCellAnchor>
  <xdr:twoCellAnchor editAs="oneCell">
    <xdr:from>
      <xdr:col>14</xdr:col>
      <xdr:colOff>11206</xdr:colOff>
      <xdr:row>3</xdr:row>
      <xdr:rowOff>134470</xdr:rowOff>
    </xdr:from>
    <xdr:to>
      <xdr:col>23</xdr:col>
      <xdr:colOff>554131</xdr:colOff>
      <xdr:row>24</xdr:row>
      <xdr:rowOff>113739</xdr:rowOff>
    </xdr:to>
    <xdr:pic>
      <xdr:nvPicPr>
        <xdr:cNvPr id="2103" name="Picture 55"/>
        <xdr:cNvPicPr>
          <a:picLocks noChangeAspect="1" noChangeArrowheads="1"/>
        </xdr:cNvPicPr>
      </xdr:nvPicPr>
      <xdr:blipFill>
        <a:blip xmlns:r="http://schemas.openxmlformats.org/officeDocument/2006/relationships" r:embed="rId2"/>
        <a:srcRect/>
        <a:stretch>
          <a:fillRect/>
        </a:stretch>
      </xdr:blipFill>
      <xdr:spPr bwMode="auto">
        <a:xfrm>
          <a:off x="11822206" y="739588"/>
          <a:ext cx="5988984" cy="4978773"/>
        </a:xfrm>
        <a:prstGeom prst="rect">
          <a:avLst/>
        </a:prstGeom>
        <a:noFill/>
        <a:ln w="1">
          <a:noFill/>
          <a:miter lim="800000"/>
          <a:headEnd/>
          <a:tailEnd type="none" w="med" len="med"/>
        </a:ln>
        <a:effectLst/>
      </xdr:spPr>
    </xdr:pic>
    <xdr:clientData/>
  </xdr:twoCellAnchor>
  <xdr:twoCellAnchor>
    <xdr:from>
      <xdr:col>9</xdr:col>
      <xdr:colOff>461058</xdr:colOff>
      <xdr:row>73</xdr:row>
      <xdr:rowOff>25457</xdr:rowOff>
    </xdr:from>
    <xdr:to>
      <xdr:col>19</xdr:col>
      <xdr:colOff>173181</xdr:colOff>
      <xdr:row>96</xdr:row>
      <xdr:rowOff>51954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125</xdr:row>
      <xdr:rowOff>11617</xdr:rowOff>
    </xdr:from>
    <xdr:to>
      <xdr:col>6</xdr:col>
      <xdr:colOff>1045426</xdr:colOff>
      <xdr:row>148</xdr:row>
      <xdr:rowOff>46465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125</xdr:row>
      <xdr:rowOff>0</xdr:rowOff>
    </xdr:from>
    <xdr:to>
      <xdr:col>14</xdr:col>
      <xdr:colOff>11615</xdr:colOff>
      <xdr:row>148</xdr:row>
      <xdr:rowOff>34848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560110</xdr:colOff>
      <xdr:row>81</xdr:row>
      <xdr:rowOff>89372</xdr:rowOff>
    </xdr:from>
    <xdr:to>
      <xdr:col>9</xdr:col>
      <xdr:colOff>1009145</xdr:colOff>
      <xdr:row>85</xdr:row>
      <xdr:rowOff>34944</xdr:rowOff>
    </xdr:to>
    <xdr:sp macro="" textlink="">
      <xdr:nvSpPr>
        <xdr:cNvPr id="10" name="TextBox 9"/>
        <xdr:cNvSpPr txBox="1"/>
      </xdr:nvSpPr>
      <xdr:spPr>
        <a:xfrm rot="16200000">
          <a:off x="8587706" y="17779276"/>
          <a:ext cx="707572" cy="449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id-ID" sz="1100"/>
            <a:t>Ribu ton CO2 eq</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762000</xdr:colOff>
      <xdr:row>21</xdr:row>
      <xdr:rowOff>76200</xdr:rowOff>
    </xdr:from>
    <xdr:to>
      <xdr:col>6</xdr:col>
      <xdr:colOff>523875</xdr:colOff>
      <xdr:row>37</xdr:row>
      <xdr:rowOff>171450</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2486025" y="5886450"/>
          <a:ext cx="5067300" cy="31432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171450</xdr:colOff>
      <xdr:row>46</xdr:row>
      <xdr:rowOff>180975</xdr:rowOff>
    </xdr:from>
    <xdr:to>
      <xdr:col>20</xdr:col>
      <xdr:colOff>457200</xdr:colOff>
      <xdr:row>66</xdr:row>
      <xdr:rowOff>19050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9505950" y="5819775"/>
          <a:ext cx="6991350" cy="4200525"/>
        </a:xfrm>
        <a:prstGeom prst="rect">
          <a:avLst/>
        </a:prstGeom>
        <a:noFill/>
        <a:ln w="9525">
          <a:noFill/>
          <a:miter lim="800000"/>
          <a:headEnd/>
          <a:tailEnd/>
        </a:ln>
      </xdr:spPr>
    </xdr:pic>
    <xdr:clientData/>
  </xdr:twoCellAnchor>
  <xdr:twoCellAnchor>
    <xdr:from>
      <xdr:col>5</xdr:col>
      <xdr:colOff>609598</xdr:colOff>
      <xdr:row>3</xdr:row>
      <xdr:rowOff>38101</xdr:rowOff>
    </xdr:from>
    <xdr:to>
      <xdr:col>13</xdr:col>
      <xdr:colOff>552450</xdr:colOff>
      <xdr:row>19</xdr:row>
      <xdr:rowOff>133352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hyperlink" Target="http://www.deptan.go.id/tampil.php?page=inf_basisdata"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S58"/>
  <sheetViews>
    <sheetView topLeftCell="D16" workbookViewId="0">
      <selection activeCell="H39" sqref="H39"/>
    </sheetView>
  </sheetViews>
  <sheetFormatPr defaultRowHeight="12.75"/>
  <cols>
    <col min="1" max="1" width="9.140625" style="203"/>
    <col min="2" max="2" width="31" style="203" customWidth="1"/>
    <col min="3" max="3" width="9.140625" style="203"/>
    <col min="4" max="13" width="11.7109375" style="203" bestFit="1" customWidth="1"/>
    <col min="14" max="257" width="9.140625" style="203"/>
    <col min="258" max="258" width="31" style="203" customWidth="1"/>
    <col min="259" max="259" width="9.140625" style="203"/>
    <col min="260" max="269" width="11.7109375" style="203" bestFit="1" customWidth="1"/>
    <col min="270" max="513" width="9.140625" style="203"/>
    <col min="514" max="514" width="31" style="203" customWidth="1"/>
    <col min="515" max="515" width="9.140625" style="203"/>
    <col min="516" max="525" width="11.7109375" style="203" bestFit="1" customWidth="1"/>
    <col min="526" max="769" width="9.140625" style="203"/>
    <col min="770" max="770" width="31" style="203" customWidth="1"/>
    <col min="771" max="771" width="9.140625" style="203"/>
    <col min="772" max="781" width="11.7109375" style="203" bestFit="1" customWidth="1"/>
    <col min="782" max="1025" width="9.140625" style="203"/>
    <col min="1026" max="1026" width="31" style="203" customWidth="1"/>
    <col min="1027" max="1027" width="9.140625" style="203"/>
    <col min="1028" max="1037" width="11.7109375" style="203" bestFit="1" customWidth="1"/>
    <col min="1038" max="1281" width="9.140625" style="203"/>
    <col min="1282" max="1282" width="31" style="203" customWidth="1"/>
    <col min="1283" max="1283" width="9.140625" style="203"/>
    <col min="1284" max="1293" width="11.7109375" style="203" bestFit="1" customWidth="1"/>
    <col min="1294" max="1537" width="9.140625" style="203"/>
    <col min="1538" max="1538" width="31" style="203" customWidth="1"/>
    <col min="1539" max="1539" width="9.140625" style="203"/>
    <col min="1540" max="1549" width="11.7109375" style="203" bestFit="1" customWidth="1"/>
    <col min="1550" max="1793" width="9.140625" style="203"/>
    <col min="1794" max="1794" width="31" style="203" customWidth="1"/>
    <col min="1795" max="1795" width="9.140625" style="203"/>
    <col min="1796" max="1805" width="11.7109375" style="203" bestFit="1" customWidth="1"/>
    <col min="1806" max="2049" width="9.140625" style="203"/>
    <col min="2050" max="2050" width="31" style="203" customWidth="1"/>
    <col min="2051" max="2051" width="9.140625" style="203"/>
    <col min="2052" max="2061" width="11.7109375" style="203" bestFit="1" customWidth="1"/>
    <col min="2062" max="2305" width="9.140625" style="203"/>
    <col min="2306" max="2306" width="31" style="203" customWidth="1"/>
    <col min="2307" max="2307" width="9.140625" style="203"/>
    <col min="2308" max="2317" width="11.7109375" style="203" bestFit="1" customWidth="1"/>
    <col min="2318" max="2561" width="9.140625" style="203"/>
    <col min="2562" max="2562" width="31" style="203" customWidth="1"/>
    <col min="2563" max="2563" width="9.140625" style="203"/>
    <col min="2564" max="2573" width="11.7109375" style="203" bestFit="1" customWidth="1"/>
    <col min="2574" max="2817" width="9.140625" style="203"/>
    <col min="2818" max="2818" width="31" style="203" customWidth="1"/>
    <col min="2819" max="2819" width="9.140625" style="203"/>
    <col min="2820" max="2829" width="11.7109375" style="203" bestFit="1" customWidth="1"/>
    <col min="2830" max="3073" width="9.140625" style="203"/>
    <col min="3074" max="3074" width="31" style="203" customWidth="1"/>
    <col min="3075" max="3075" width="9.140625" style="203"/>
    <col min="3076" max="3085" width="11.7109375" style="203" bestFit="1" customWidth="1"/>
    <col min="3086" max="3329" width="9.140625" style="203"/>
    <col min="3330" max="3330" width="31" style="203" customWidth="1"/>
    <col min="3331" max="3331" width="9.140625" style="203"/>
    <col min="3332" max="3341" width="11.7109375" style="203" bestFit="1" customWidth="1"/>
    <col min="3342" max="3585" width="9.140625" style="203"/>
    <col min="3586" max="3586" width="31" style="203" customWidth="1"/>
    <col min="3587" max="3587" width="9.140625" style="203"/>
    <col min="3588" max="3597" width="11.7109375" style="203" bestFit="1" customWidth="1"/>
    <col min="3598" max="3841" width="9.140625" style="203"/>
    <col min="3842" max="3842" width="31" style="203" customWidth="1"/>
    <col min="3843" max="3843" width="9.140625" style="203"/>
    <col min="3844" max="3853" width="11.7109375" style="203" bestFit="1" customWidth="1"/>
    <col min="3854" max="4097" width="9.140625" style="203"/>
    <col min="4098" max="4098" width="31" style="203" customWidth="1"/>
    <col min="4099" max="4099" width="9.140625" style="203"/>
    <col min="4100" max="4109" width="11.7109375" style="203" bestFit="1" customWidth="1"/>
    <col min="4110" max="4353" width="9.140625" style="203"/>
    <col min="4354" max="4354" width="31" style="203" customWidth="1"/>
    <col min="4355" max="4355" width="9.140625" style="203"/>
    <col min="4356" max="4365" width="11.7109375" style="203" bestFit="1" customWidth="1"/>
    <col min="4366" max="4609" width="9.140625" style="203"/>
    <col min="4610" max="4610" width="31" style="203" customWidth="1"/>
    <col min="4611" max="4611" width="9.140625" style="203"/>
    <col min="4612" max="4621" width="11.7109375" style="203" bestFit="1" customWidth="1"/>
    <col min="4622" max="4865" width="9.140625" style="203"/>
    <col min="4866" max="4866" width="31" style="203" customWidth="1"/>
    <col min="4867" max="4867" width="9.140625" style="203"/>
    <col min="4868" max="4877" width="11.7109375" style="203" bestFit="1" customWidth="1"/>
    <col min="4878" max="5121" width="9.140625" style="203"/>
    <col min="5122" max="5122" width="31" style="203" customWidth="1"/>
    <col min="5123" max="5123" width="9.140625" style="203"/>
    <col min="5124" max="5133" width="11.7109375" style="203" bestFit="1" customWidth="1"/>
    <col min="5134" max="5377" width="9.140625" style="203"/>
    <col min="5378" max="5378" width="31" style="203" customWidth="1"/>
    <col min="5379" max="5379" width="9.140625" style="203"/>
    <col min="5380" max="5389" width="11.7109375" style="203" bestFit="1" customWidth="1"/>
    <col min="5390" max="5633" width="9.140625" style="203"/>
    <col min="5634" max="5634" width="31" style="203" customWidth="1"/>
    <col min="5635" max="5635" width="9.140625" style="203"/>
    <col min="5636" max="5645" width="11.7109375" style="203" bestFit="1" customWidth="1"/>
    <col min="5646" max="5889" width="9.140625" style="203"/>
    <col min="5890" max="5890" width="31" style="203" customWidth="1"/>
    <col min="5891" max="5891" width="9.140625" style="203"/>
    <col min="5892" max="5901" width="11.7109375" style="203" bestFit="1" customWidth="1"/>
    <col min="5902" max="6145" width="9.140625" style="203"/>
    <col min="6146" max="6146" width="31" style="203" customWidth="1"/>
    <col min="6147" max="6147" width="9.140625" style="203"/>
    <col min="6148" max="6157" width="11.7109375" style="203" bestFit="1" customWidth="1"/>
    <col min="6158" max="6401" width="9.140625" style="203"/>
    <col min="6402" max="6402" width="31" style="203" customWidth="1"/>
    <col min="6403" max="6403" width="9.140625" style="203"/>
    <col min="6404" max="6413" width="11.7109375" style="203" bestFit="1" customWidth="1"/>
    <col min="6414" max="6657" width="9.140625" style="203"/>
    <col min="6658" max="6658" width="31" style="203" customWidth="1"/>
    <col min="6659" max="6659" width="9.140625" style="203"/>
    <col min="6660" max="6669" width="11.7109375" style="203" bestFit="1" customWidth="1"/>
    <col min="6670" max="6913" width="9.140625" style="203"/>
    <col min="6914" max="6914" width="31" style="203" customWidth="1"/>
    <col min="6915" max="6915" width="9.140625" style="203"/>
    <col min="6916" max="6925" width="11.7109375" style="203" bestFit="1" customWidth="1"/>
    <col min="6926" max="7169" width="9.140625" style="203"/>
    <col min="7170" max="7170" width="31" style="203" customWidth="1"/>
    <col min="7171" max="7171" width="9.140625" style="203"/>
    <col min="7172" max="7181" width="11.7109375" style="203" bestFit="1" customWidth="1"/>
    <col min="7182" max="7425" width="9.140625" style="203"/>
    <col min="7426" max="7426" width="31" style="203" customWidth="1"/>
    <col min="7427" max="7427" width="9.140625" style="203"/>
    <col min="7428" max="7437" width="11.7109375" style="203" bestFit="1" customWidth="1"/>
    <col min="7438" max="7681" width="9.140625" style="203"/>
    <col min="7682" max="7682" width="31" style="203" customWidth="1"/>
    <col min="7683" max="7683" width="9.140625" style="203"/>
    <col min="7684" max="7693" width="11.7109375" style="203" bestFit="1" customWidth="1"/>
    <col min="7694" max="7937" width="9.140625" style="203"/>
    <col min="7938" max="7938" width="31" style="203" customWidth="1"/>
    <col min="7939" max="7939" width="9.140625" style="203"/>
    <col min="7940" max="7949" width="11.7109375" style="203" bestFit="1" customWidth="1"/>
    <col min="7950" max="8193" width="9.140625" style="203"/>
    <col min="8194" max="8194" width="31" style="203" customWidth="1"/>
    <col min="8195" max="8195" width="9.140625" style="203"/>
    <col min="8196" max="8205" width="11.7109375" style="203" bestFit="1" customWidth="1"/>
    <col min="8206" max="8449" width="9.140625" style="203"/>
    <col min="8450" max="8450" width="31" style="203" customWidth="1"/>
    <col min="8451" max="8451" width="9.140625" style="203"/>
    <col min="8452" max="8461" width="11.7109375" style="203" bestFit="1" customWidth="1"/>
    <col min="8462" max="8705" width="9.140625" style="203"/>
    <col min="8706" max="8706" width="31" style="203" customWidth="1"/>
    <col min="8707" max="8707" width="9.140625" style="203"/>
    <col min="8708" max="8717" width="11.7109375" style="203" bestFit="1" customWidth="1"/>
    <col min="8718" max="8961" width="9.140625" style="203"/>
    <col min="8962" max="8962" width="31" style="203" customWidth="1"/>
    <col min="8963" max="8963" width="9.140625" style="203"/>
    <col min="8964" max="8973" width="11.7109375" style="203" bestFit="1" customWidth="1"/>
    <col min="8974" max="9217" width="9.140625" style="203"/>
    <col min="9218" max="9218" width="31" style="203" customWidth="1"/>
    <col min="9219" max="9219" width="9.140625" style="203"/>
    <col min="9220" max="9229" width="11.7109375" style="203" bestFit="1" customWidth="1"/>
    <col min="9230" max="9473" width="9.140625" style="203"/>
    <col min="9474" max="9474" width="31" style="203" customWidth="1"/>
    <col min="9475" max="9475" width="9.140625" style="203"/>
    <col min="9476" max="9485" width="11.7109375" style="203" bestFit="1" customWidth="1"/>
    <col min="9486" max="9729" width="9.140625" style="203"/>
    <col min="9730" max="9730" width="31" style="203" customWidth="1"/>
    <col min="9731" max="9731" width="9.140625" style="203"/>
    <col min="9732" max="9741" width="11.7109375" style="203" bestFit="1" customWidth="1"/>
    <col min="9742" max="9985" width="9.140625" style="203"/>
    <col min="9986" max="9986" width="31" style="203" customWidth="1"/>
    <col min="9987" max="9987" width="9.140625" style="203"/>
    <col min="9988" max="9997" width="11.7109375" style="203" bestFit="1" customWidth="1"/>
    <col min="9998" max="10241" width="9.140625" style="203"/>
    <col min="10242" max="10242" width="31" style="203" customWidth="1"/>
    <col min="10243" max="10243" width="9.140625" style="203"/>
    <col min="10244" max="10253" width="11.7109375" style="203" bestFit="1" customWidth="1"/>
    <col min="10254" max="10497" width="9.140625" style="203"/>
    <col min="10498" max="10498" width="31" style="203" customWidth="1"/>
    <col min="10499" max="10499" width="9.140625" style="203"/>
    <col min="10500" max="10509" width="11.7109375" style="203" bestFit="1" customWidth="1"/>
    <col min="10510" max="10753" width="9.140625" style="203"/>
    <col min="10754" max="10754" width="31" style="203" customWidth="1"/>
    <col min="10755" max="10755" width="9.140625" style="203"/>
    <col min="10756" max="10765" width="11.7109375" style="203" bestFit="1" customWidth="1"/>
    <col min="10766" max="11009" width="9.140625" style="203"/>
    <col min="11010" max="11010" width="31" style="203" customWidth="1"/>
    <col min="11011" max="11011" width="9.140625" style="203"/>
    <col min="11012" max="11021" width="11.7109375" style="203" bestFit="1" customWidth="1"/>
    <col min="11022" max="11265" width="9.140625" style="203"/>
    <col min="11266" max="11266" width="31" style="203" customWidth="1"/>
    <col min="11267" max="11267" width="9.140625" style="203"/>
    <col min="11268" max="11277" width="11.7109375" style="203" bestFit="1" customWidth="1"/>
    <col min="11278" max="11521" width="9.140625" style="203"/>
    <col min="11522" max="11522" width="31" style="203" customWidth="1"/>
    <col min="11523" max="11523" width="9.140625" style="203"/>
    <col min="11524" max="11533" width="11.7109375" style="203" bestFit="1" customWidth="1"/>
    <col min="11534" max="11777" width="9.140625" style="203"/>
    <col min="11778" max="11778" width="31" style="203" customWidth="1"/>
    <col min="11779" max="11779" width="9.140625" style="203"/>
    <col min="11780" max="11789" width="11.7109375" style="203" bestFit="1" customWidth="1"/>
    <col min="11790" max="12033" width="9.140625" style="203"/>
    <col min="12034" max="12034" width="31" style="203" customWidth="1"/>
    <col min="12035" max="12035" width="9.140625" style="203"/>
    <col min="12036" max="12045" width="11.7109375" style="203" bestFit="1" customWidth="1"/>
    <col min="12046" max="12289" width="9.140625" style="203"/>
    <col min="12290" max="12290" width="31" style="203" customWidth="1"/>
    <col min="12291" max="12291" width="9.140625" style="203"/>
    <col min="12292" max="12301" width="11.7109375" style="203" bestFit="1" customWidth="1"/>
    <col min="12302" max="12545" width="9.140625" style="203"/>
    <col min="12546" max="12546" width="31" style="203" customWidth="1"/>
    <col min="12547" max="12547" width="9.140625" style="203"/>
    <col min="12548" max="12557" width="11.7109375" style="203" bestFit="1" customWidth="1"/>
    <col min="12558" max="12801" width="9.140625" style="203"/>
    <col min="12802" max="12802" width="31" style="203" customWidth="1"/>
    <col min="12803" max="12803" width="9.140625" style="203"/>
    <col min="12804" max="12813" width="11.7109375" style="203" bestFit="1" customWidth="1"/>
    <col min="12814" max="13057" width="9.140625" style="203"/>
    <col min="13058" max="13058" width="31" style="203" customWidth="1"/>
    <col min="13059" max="13059" width="9.140625" style="203"/>
    <col min="13060" max="13069" width="11.7109375" style="203" bestFit="1" customWidth="1"/>
    <col min="13070" max="13313" width="9.140625" style="203"/>
    <col min="13314" max="13314" width="31" style="203" customWidth="1"/>
    <col min="13315" max="13315" width="9.140625" style="203"/>
    <col min="13316" max="13325" width="11.7109375" style="203" bestFit="1" customWidth="1"/>
    <col min="13326" max="13569" width="9.140625" style="203"/>
    <col min="13570" max="13570" width="31" style="203" customWidth="1"/>
    <col min="13571" max="13571" width="9.140625" style="203"/>
    <col min="13572" max="13581" width="11.7109375" style="203" bestFit="1" customWidth="1"/>
    <col min="13582" max="13825" width="9.140625" style="203"/>
    <col min="13826" max="13826" width="31" style="203" customWidth="1"/>
    <col min="13827" max="13827" width="9.140625" style="203"/>
    <col min="13828" max="13837" width="11.7109375" style="203" bestFit="1" customWidth="1"/>
    <col min="13838" max="14081" width="9.140625" style="203"/>
    <col min="14082" max="14082" width="31" style="203" customWidth="1"/>
    <col min="14083" max="14083" width="9.140625" style="203"/>
    <col min="14084" max="14093" width="11.7109375" style="203" bestFit="1" customWidth="1"/>
    <col min="14094" max="14337" width="9.140625" style="203"/>
    <col min="14338" max="14338" width="31" style="203" customWidth="1"/>
    <col min="14339" max="14339" width="9.140625" style="203"/>
    <col min="14340" max="14349" width="11.7109375" style="203" bestFit="1" customWidth="1"/>
    <col min="14350" max="14593" width="9.140625" style="203"/>
    <col min="14594" max="14594" width="31" style="203" customWidth="1"/>
    <col min="14595" max="14595" width="9.140625" style="203"/>
    <col min="14596" max="14605" width="11.7109375" style="203" bestFit="1" customWidth="1"/>
    <col min="14606" max="14849" width="9.140625" style="203"/>
    <col min="14850" max="14850" width="31" style="203" customWidth="1"/>
    <col min="14851" max="14851" width="9.140625" style="203"/>
    <col min="14852" max="14861" width="11.7109375" style="203" bestFit="1" customWidth="1"/>
    <col min="14862" max="15105" width="9.140625" style="203"/>
    <col min="15106" max="15106" width="31" style="203" customWidth="1"/>
    <col min="15107" max="15107" width="9.140625" style="203"/>
    <col min="15108" max="15117" width="11.7109375" style="203" bestFit="1" customWidth="1"/>
    <col min="15118" max="15361" width="9.140625" style="203"/>
    <col min="15362" max="15362" width="31" style="203" customWidth="1"/>
    <col min="15363" max="15363" width="9.140625" style="203"/>
    <col min="15364" max="15373" width="11.7109375" style="203" bestFit="1" customWidth="1"/>
    <col min="15374" max="15617" width="9.140625" style="203"/>
    <col min="15618" max="15618" width="31" style="203" customWidth="1"/>
    <col min="15619" max="15619" width="9.140625" style="203"/>
    <col min="15620" max="15629" width="11.7109375" style="203" bestFit="1" customWidth="1"/>
    <col min="15630" max="15873" width="9.140625" style="203"/>
    <col min="15874" max="15874" width="31" style="203" customWidth="1"/>
    <col min="15875" max="15875" width="9.140625" style="203"/>
    <col min="15876" max="15885" width="11.7109375" style="203" bestFit="1" customWidth="1"/>
    <col min="15886" max="16129" width="9.140625" style="203"/>
    <col min="16130" max="16130" width="31" style="203" customWidth="1"/>
    <col min="16131" max="16131" width="9.140625" style="203"/>
    <col min="16132" max="16141" width="11.7109375" style="203" bestFit="1" customWidth="1"/>
    <col min="16142" max="16384" width="9.140625" style="203"/>
  </cols>
  <sheetData>
    <row r="1" spans="1:19">
      <c r="A1" s="215" t="s">
        <v>483</v>
      </c>
    </row>
    <row r="2" spans="1:19">
      <c r="B2" s="480" t="s">
        <v>484</v>
      </c>
      <c r="C2" s="478" t="s">
        <v>485</v>
      </c>
      <c r="D2" s="481" t="s">
        <v>486</v>
      </c>
      <c r="E2" s="482"/>
      <c r="F2" s="482"/>
      <c r="G2" s="482"/>
      <c r="H2" s="482"/>
      <c r="I2" s="482"/>
      <c r="J2" s="482"/>
      <c r="K2" s="482"/>
      <c r="L2" s="482"/>
      <c r="M2" s="482"/>
      <c r="N2" s="483"/>
      <c r="R2" s="203" t="s">
        <v>524</v>
      </c>
    </row>
    <row r="3" spans="1:19" ht="15">
      <c r="B3" s="480"/>
      <c r="C3" s="478"/>
      <c r="D3" s="351">
        <v>2000</v>
      </c>
      <c r="E3" s="351">
        <v>2001</v>
      </c>
      <c r="F3" s="351">
        <v>2002</v>
      </c>
      <c r="G3" s="351">
        <v>2003</v>
      </c>
      <c r="H3" s="351">
        <v>2004</v>
      </c>
      <c r="I3" s="351">
        <v>2005</v>
      </c>
      <c r="J3" s="351">
        <v>2006</v>
      </c>
      <c r="K3" s="351">
        <v>2007</v>
      </c>
      <c r="L3" s="351">
        <v>2008</v>
      </c>
      <c r="M3" s="351">
        <v>2009</v>
      </c>
      <c r="N3" s="351">
        <v>2010</v>
      </c>
      <c r="O3" s="373">
        <v>2011</v>
      </c>
      <c r="P3" s="373">
        <v>2012</v>
      </c>
      <c r="R3" s="203">
        <v>2000</v>
      </c>
      <c r="S3" s="354">
        <f>D14</f>
        <v>56702</v>
      </c>
    </row>
    <row r="4" spans="1:19" ht="15">
      <c r="B4" s="352" t="s">
        <v>487</v>
      </c>
      <c r="C4" s="353" t="s">
        <v>488</v>
      </c>
      <c r="D4" s="354">
        <v>3909</v>
      </c>
      <c r="E4" s="354">
        <v>2987</v>
      </c>
      <c r="F4" s="354">
        <v>3072</v>
      </c>
      <c r="G4" s="354">
        <v>3311</v>
      </c>
      <c r="H4" s="354">
        <v>3129</v>
      </c>
      <c r="I4" s="354">
        <v>4224</v>
      </c>
      <c r="J4" s="354">
        <v>2876</v>
      </c>
      <c r="K4" s="354">
        <v>3434</v>
      </c>
      <c r="L4" s="354">
        <v>3815</v>
      </c>
      <c r="M4" s="354">
        <v>3883</v>
      </c>
      <c r="N4" s="354">
        <v>4236</v>
      </c>
      <c r="O4" s="374">
        <v>4739</v>
      </c>
      <c r="P4" s="374">
        <v>4587</v>
      </c>
      <c r="R4" s="203">
        <v>2001</v>
      </c>
      <c r="S4" s="354">
        <f>E14</f>
        <v>65032</v>
      </c>
    </row>
    <row r="5" spans="1:19" ht="15">
      <c r="B5" s="352" t="s">
        <v>489</v>
      </c>
      <c r="C5" s="353" t="s">
        <v>488</v>
      </c>
      <c r="D5" s="354">
        <v>2802</v>
      </c>
      <c r="E5" s="354">
        <v>15556</v>
      </c>
      <c r="F5" s="354">
        <v>2120</v>
      </c>
      <c r="G5" s="354">
        <v>4955</v>
      </c>
      <c r="H5" s="354">
        <v>2367</v>
      </c>
      <c r="I5" s="354">
        <v>2730</v>
      </c>
      <c r="J5" s="354">
        <v>4809</v>
      </c>
      <c r="K5" s="354">
        <v>4645</v>
      </c>
      <c r="L5" s="354">
        <v>5325</v>
      </c>
      <c r="M5" s="354">
        <v>5106</v>
      </c>
      <c r="N5" s="354">
        <v>3810</v>
      </c>
      <c r="O5" s="374">
        <v>7973</v>
      </c>
      <c r="P5" s="374">
        <v>6090</v>
      </c>
      <c r="R5" s="203">
        <v>2002</v>
      </c>
      <c r="S5" s="354">
        <f>F14</f>
        <v>55265</v>
      </c>
    </row>
    <row r="6" spans="1:19" ht="15">
      <c r="B6" s="352" t="s">
        <v>490</v>
      </c>
      <c r="C6" s="353" t="s">
        <v>488</v>
      </c>
      <c r="D6" s="354">
        <v>0</v>
      </c>
      <c r="E6" s="354">
        <v>0</v>
      </c>
      <c r="F6" s="354">
        <v>0</v>
      </c>
      <c r="G6" s="354">
        <v>0</v>
      </c>
      <c r="H6" s="354">
        <v>2319</v>
      </c>
      <c r="I6" s="354">
        <v>2012</v>
      </c>
      <c r="J6" s="354">
        <v>2242</v>
      </c>
      <c r="K6" s="354">
        <v>2387</v>
      </c>
      <c r="L6" s="354">
        <v>1657</v>
      </c>
      <c r="M6" s="354">
        <v>2274</v>
      </c>
      <c r="N6" s="354">
        <v>1958</v>
      </c>
      <c r="O6" s="374">
        <v>2639</v>
      </c>
      <c r="P6" s="374">
        <v>2467</v>
      </c>
      <c r="R6" s="203">
        <v>2003</v>
      </c>
      <c r="S6" s="354">
        <f>G14</f>
        <v>67396</v>
      </c>
    </row>
    <row r="7" spans="1:19" ht="15">
      <c r="B7" s="352" t="s">
        <v>491</v>
      </c>
      <c r="C7" s="353" t="s">
        <v>488</v>
      </c>
      <c r="D7" s="354">
        <v>2698</v>
      </c>
      <c r="E7" s="354">
        <v>2090</v>
      </c>
      <c r="F7" s="354">
        <v>1861</v>
      </c>
      <c r="G7" s="354">
        <v>1613</v>
      </c>
      <c r="H7" s="354">
        <v>4169</v>
      </c>
      <c r="I7" s="354">
        <v>2021</v>
      </c>
      <c r="J7" s="354">
        <v>1826</v>
      </c>
      <c r="K7" s="354">
        <v>2061</v>
      </c>
      <c r="L7" s="354">
        <v>2067</v>
      </c>
      <c r="M7" s="354">
        <v>2479</v>
      </c>
      <c r="N7" s="354">
        <v>2337</v>
      </c>
      <c r="O7" s="374">
        <v>2265</v>
      </c>
      <c r="P7" s="374">
        <v>2348</v>
      </c>
      <c r="R7" s="203">
        <v>2004</v>
      </c>
      <c r="S7" s="354">
        <f>H14</f>
        <v>79125</v>
      </c>
    </row>
    <row r="8" spans="1:19" ht="15">
      <c r="B8" s="352" t="s">
        <v>492</v>
      </c>
      <c r="C8" s="353" t="s">
        <v>488</v>
      </c>
      <c r="D8" s="354">
        <v>4822</v>
      </c>
      <c r="E8" s="354">
        <v>4492</v>
      </c>
      <c r="F8" s="354">
        <v>12272</v>
      </c>
      <c r="G8" s="354">
        <v>19332</v>
      </c>
      <c r="H8" s="354">
        <v>25178</v>
      </c>
      <c r="I8" s="354">
        <v>20265</v>
      </c>
      <c r="J8" s="354">
        <v>29365</v>
      </c>
      <c r="K8" s="354">
        <v>31639</v>
      </c>
      <c r="L8" s="354">
        <v>26304</v>
      </c>
      <c r="M8" s="354">
        <v>23855</v>
      </c>
      <c r="N8" s="354">
        <v>12846</v>
      </c>
      <c r="O8" s="374">
        <v>28215</v>
      </c>
      <c r="P8" s="374">
        <v>28867</v>
      </c>
      <c r="R8" s="203">
        <v>2005</v>
      </c>
      <c r="S8" s="354">
        <f>I14</f>
        <v>84397</v>
      </c>
    </row>
    <row r="9" spans="1:19" ht="15">
      <c r="B9" s="352" t="s">
        <v>493</v>
      </c>
      <c r="C9" s="353" t="s">
        <v>488</v>
      </c>
      <c r="D9" s="354">
        <v>2312</v>
      </c>
      <c r="E9" s="354">
        <v>634</v>
      </c>
      <c r="F9" s="354">
        <v>2967</v>
      </c>
      <c r="G9" s="354">
        <v>2601</v>
      </c>
      <c r="H9" s="354">
        <v>1749</v>
      </c>
      <c r="I9" s="354">
        <v>2678</v>
      </c>
      <c r="J9" s="354">
        <v>2804</v>
      </c>
      <c r="K9" s="354">
        <v>3707</v>
      </c>
      <c r="L9" s="354">
        <v>1471</v>
      </c>
      <c r="M9" s="354">
        <v>3193</v>
      </c>
      <c r="N9" s="354">
        <v>3089</v>
      </c>
      <c r="O9" s="374">
        <v>4793</v>
      </c>
      <c r="P9" s="374">
        <v>5725</v>
      </c>
      <c r="R9" s="203">
        <v>2006</v>
      </c>
      <c r="S9" s="354">
        <f>J14</f>
        <v>94353</v>
      </c>
    </row>
    <row r="10" spans="1:19" ht="15">
      <c r="B10" s="352" t="s">
        <v>494</v>
      </c>
      <c r="C10" s="353" t="s">
        <v>488</v>
      </c>
      <c r="D10" s="354">
        <v>3662</v>
      </c>
      <c r="E10" s="354">
        <v>3197</v>
      </c>
      <c r="F10" s="354">
        <v>3451</v>
      </c>
      <c r="G10" s="354">
        <v>4061</v>
      </c>
      <c r="H10" s="354">
        <v>4619</v>
      </c>
      <c r="I10" s="354">
        <v>6199</v>
      </c>
      <c r="J10" s="354">
        <v>5085</v>
      </c>
      <c r="K10" s="354">
        <v>5035</v>
      </c>
      <c r="L10" s="354">
        <v>4050</v>
      </c>
      <c r="M10" s="354">
        <v>5406</v>
      </c>
      <c r="N10" s="354">
        <v>5045</v>
      </c>
      <c r="O10" s="374">
        <v>5981</v>
      </c>
      <c r="P10" s="374">
        <v>5371</v>
      </c>
      <c r="R10" s="203">
        <v>2007</v>
      </c>
      <c r="S10" s="354">
        <f>K14</f>
        <v>96145</v>
      </c>
    </row>
    <row r="11" spans="1:19" ht="15">
      <c r="B11" s="352" t="s">
        <v>495</v>
      </c>
      <c r="C11" s="353" t="s">
        <v>488</v>
      </c>
      <c r="D11" s="354">
        <v>22899</v>
      </c>
      <c r="E11" s="354">
        <v>19591</v>
      </c>
      <c r="F11" s="354">
        <v>16347</v>
      </c>
      <c r="G11" s="354">
        <v>15446</v>
      </c>
      <c r="H11" s="354">
        <v>20561</v>
      </c>
      <c r="I11" s="354">
        <v>23066</v>
      </c>
      <c r="J11" s="354">
        <v>22961</v>
      </c>
      <c r="K11" s="354">
        <v>23140</v>
      </c>
      <c r="L11" s="354">
        <v>19294</v>
      </c>
      <c r="M11" s="354">
        <v>22641</v>
      </c>
      <c r="N11" s="354">
        <v>20359</v>
      </c>
      <c r="O11" s="374">
        <v>20080</v>
      </c>
      <c r="P11" s="374">
        <v>18344</v>
      </c>
      <c r="R11" s="203">
        <v>2008</v>
      </c>
      <c r="S11" s="354">
        <f>L14</f>
        <v>87566</v>
      </c>
    </row>
    <row r="12" spans="1:19" ht="15">
      <c r="B12" s="352" t="s">
        <v>496</v>
      </c>
      <c r="C12" s="353" t="s">
        <v>488</v>
      </c>
      <c r="D12" s="354">
        <v>8843</v>
      </c>
      <c r="E12" s="354">
        <v>8762</v>
      </c>
      <c r="F12" s="354">
        <v>7333</v>
      </c>
      <c r="G12" s="354">
        <v>9289</v>
      </c>
      <c r="H12" s="354">
        <v>8304</v>
      </c>
      <c r="I12" s="354">
        <v>10984</v>
      </c>
      <c r="J12" s="354">
        <v>12868</v>
      </c>
      <c r="K12" s="354">
        <v>11812</v>
      </c>
      <c r="L12" s="354">
        <v>16246</v>
      </c>
      <c r="M12" s="354">
        <v>13916</v>
      </c>
      <c r="N12" s="354">
        <v>13582</v>
      </c>
      <c r="O12" s="374">
        <v>20070</v>
      </c>
      <c r="P12" s="374">
        <v>14866</v>
      </c>
      <c r="R12" s="203">
        <v>2009</v>
      </c>
      <c r="S12" s="354">
        <f>M14</f>
        <v>90283</v>
      </c>
    </row>
    <row r="13" spans="1:19" ht="15">
      <c r="B13" s="352" t="s">
        <v>497</v>
      </c>
      <c r="C13" s="353" t="s">
        <v>488</v>
      </c>
      <c r="D13" s="354">
        <v>4755</v>
      </c>
      <c r="E13" s="354">
        <v>7723</v>
      </c>
      <c r="F13" s="354">
        <v>5842</v>
      </c>
      <c r="G13" s="354">
        <v>6788</v>
      </c>
      <c r="H13" s="354">
        <v>6730</v>
      </c>
      <c r="I13" s="354">
        <v>10218</v>
      </c>
      <c r="J13" s="354">
        <v>9517</v>
      </c>
      <c r="K13" s="354">
        <v>8285</v>
      </c>
      <c r="L13" s="354">
        <v>7337</v>
      </c>
      <c r="M13" s="354">
        <v>7530</v>
      </c>
      <c r="N13" s="354">
        <v>2841</v>
      </c>
      <c r="O13" s="374">
        <v>3059</v>
      </c>
      <c r="P13" s="374">
        <v>2486</v>
      </c>
      <c r="R13" s="203">
        <v>2010</v>
      </c>
      <c r="S13" s="354">
        <f>N14</f>
        <v>70103</v>
      </c>
    </row>
    <row r="14" spans="1:19" ht="15">
      <c r="B14" s="355" t="s">
        <v>420</v>
      </c>
      <c r="C14" s="356"/>
      <c r="D14" s="357">
        <f t="shared" ref="D14:N14" si="0">SUM(D4:D13)</f>
        <v>56702</v>
      </c>
      <c r="E14" s="357">
        <f t="shared" si="0"/>
        <v>65032</v>
      </c>
      <c r="F14" s="357">
        <f t="shared" si="0"/>
        <v>55265</v>
      </c>
      <c r="G14" s="357">
        <f t="shared" si="0"/>
        <v>67396</v>
      </c>
      <c r="H14" s="357">
        <f t="shared" si="0"/>
        <v>79125</v>
      </c>
      <c r="I14" s="357">
        <f t="shared" si="0"/>
        <v>84397</v>
      </c>
      <c r="J14" s="357">
        <f t="shared" si="0"/>
        <v>94353</v>
      </c>
      <c r="K14" s="357">
        <f t="shared" si="0"/>
        <v>96145</v>
      </c>
      <c r="L14" s="357">
        <f t="shared" si="0"/>
        <v>87566</v>
      </c>
      <c r="M14" s="357">
        <f t="shared" si="0"/>
        <v>90283</v>
      </c>
      <c r="N14" s="357">
        <f t="shared" si="0"/>
        <v>70103</v>
      </c>
      <c r="O14" s="372">
        <f>SUM(O4:O13)</f>
        <v>99814</v>
      </c>
      <c r="P14" s="372">
        <f>SUM(P4:P13)</f>
        <v>91151</v>
      </c>
      <c r="R14" s="203">
        <v>2011</v>
      </c>
      <c r="S14" s="375">
        <f>O14</f>
        <v>99814</v>
      </c>
    </row>
    <row r="15" spans="1:19" s="369" customFormat="1" ht="15">
      <c r="B15" s="358"/>
      <c r="C15" s="351"/>
      <c r="D15" s="359"/>
      <c r="E15" s="360"/>
      <c r="F15" s="360"/>
      <c r="G15" s="360"/>
      <c r="H15" s="360"/>
      <c r="I15" s="360"/>
      <c r="J15" s="360"/>
      <c r="K15" s="360"/>
      <c r="L15" s="360"/>
      <c r="M15" s="360"/>
      <c r="N15" s="361"/>
      <c r="Q15" s="375"/>
      <c r="R15" s="203">
        <v>2012</v>
      </c>
      <c r="S15" s="376">
        <f>P14</f>
        <v>91151</v>
      </c>
    </row>
    <row r="16" spans="1:19">
      <c r="A16" s="368" t="s">
        <v>523</v>
      </c>
      <c r="B16" s="358"/>
      <c r="C16" s="326"/>
      <c r="D16" s="359"/>
      <c r="E16" s="360"/>
      <c r="F16" s="360"/>
      <c r="G16" s="360"/>
      <c r="H16" s="360"/>
      <c r="I16" s="360"/>
      <c r="J16" s="360"/>
      <c r="K16" s="360"/>
      <c r="L16" s="360"/>
      <c r="M16" s="360"/>
      <c r="N16" s="361"/>
    </row>
    <row r="17" spans="2:19">
      <c r="B17" s="480" t="s">
        <v>484</v>
      </c>
      <c r="C17" s="478" t="s">
        <v>485</v>
      </c>
      <c r="D17" s="484" t="s">
        <v>486</v>
      </c>
      <c r="E17" s="485"/>
      <c r="F17" s="485"/>
      <c r="G17" s="485"/>
      <c r="H17" s="485"/>
      <c r="I17" s="485"/>
      <c r="J17" s="485"/>
      <c r="K17" s="485"/>
      <c r="L17" s="485"/>
      <c r="M17" s="485"/>
      <c r="N17" s="486"/>
      <c r="R17" s="203" t="s">
        <v>525</v>
      </c>
    </row>
    <row r="18" spans="2:19" ht="15">
      <c r="B18" s="480"/>
      <c r="C18" s="478"/>
      <c r="D18" s="351">
        <v>2000</v>
      </c>
      <c r="E18" s="351">
        <v>2001</v>
      </c>
      <c r="F18" s="351">
        <v>2002</v>
      </c>
      <c r="G18" s="351">
        <v>2003</v>
      </c>
      <c r="H18" s="351">
        <v>2004</v>
      </c>
      <c r="I18" s="351">
        <v>2005</v>
      </c>
      <c r="J18" s="351">
        <v>2006</v>
      </c>
      <c r="K18" s="351">
        <v>2007</v>
      </c>
      <c r="L18" s="351">
        <v>2008</v>
      </c>
      <c r="M18" s="351">
        <v>2009</v>
      </c>
      <c r="N18" s="351">
        <v>2010</v>
      </c>
      <c r="O18" s="373">
        <v>2011</v>
      </c>
      <c r="P18" s="373">
        <v>2012</v>
      </c>
      <c r="R18" s="203">
        <v>2000</v>
      </c>
      <c r="S18" s="354">
        <f>D29</f>
        <v>177880</v>
      </c>
    </row>
    <row r="19" spans="2:19" ht="15">
      <c r="B19" s="352" t="s">
        <v>498</v>
      </c>
      <c r="C19" s="353" t="s">
        <v>488</v>
      </c>
      <c r="D19" s="354">
        <v>14950</v>
      </c>
      <c r="E19" s="354">
        <v>13194</v>
      </c>
      <c r="F19" s="354">
        <v>12570</v>
      </c>
      <c r="G19" s="354">
        <v>12498</v>
      </c>
      <c r="H19" s="354">
        <v>16406</v>
      </c>
      <c r="I19" s="354">
        <v>15807</v>
      </c>
      <c r="J19" s="354">
        <v>15267</v>
      </c>
      <c r="K19" s="354">
        <v>14696</v>
      </c>
      <c r="L19" s="354">
        <v>16233</v>
      </c>
      <c r="M19" s="354">
        <v>14455</v>
      </c>
      <c r="N19" s="354">
        <v>14091</v>
      </c>
      <c r="O19" s="374">
        <v>12348</v>
      </c>
      <c r="P19" s="374">
        <v>12994</v>
      </c>
      <c r="R19" s="203">
        <v>2001</v>
      </c>
      <c r="S19" s="354">
        <f>E29</f>
        <v>145585</v>
      </c>
    </row>
    <row r="20" spans="2:19" ht="15">
      <c r="B20" s="352" t="s">
        <v>499</v>
      </c>
      <c r="C20" s="353" t="s">
        <v>488</v>
      </c>
      <c r="D20" s="354">
        <v>13310</v>
      </c>
      <c r="E20" s="354">
        <v>12699</v>
      </c>
      <c r="F20" s="354">
        <v>10483</v>
      </c>
      <c r="G20" s="354">
        <v>13353</v>
      </c>
      <c r="H20" s="354">
        <v>12170</v>
      </c>
      <c r="I20" s="354">
        <v>12653</v>
      </c>
      <c r="J20" s="354">
        <v>11593</v>
      </c>
      <c r="K20" s="354">
        <v>11799</v>
      </c>
      <c r="L20" s="354">
        <v>11510</v>
      </c>
      <c r="M20" s="354">
        <v>10837</v>
      </c>
      <c r="N20" s="354">
        <v>12168</v>
      </c>
      <c r="O20" s="374">
        <v>10009</v>
      </c>
      <c r="P20" s="374">
        <v>11438</v>
      </c>
      <c r="R20" s="203">
        <v>2002</v>
      </c>
      <c r="S20" s="354">
        <f>F29</f>
        <v>138025</v>
      </c>
    </row>
    <row r="21" spans="2:19" ht="15">
      <c r="B21" s="352" t="s">
        <v>500</v>
      </c>
      <c r="C21" s="353" t="s">
        <v>488</v>
      </c>
      <c r="D21" s="354">
        <v>7836</v>
      </c>
      <c r="E21" s="354">
        <v>6698</v>
      </c>
      <c r="F21" s="354">
        <v>6589</v>
      </c>
      <c r="G21" s="354">
        <v>6640</v>
      </c>
      <c r="H21" s="354">
        <v>7230</v>
      </c>
      <c r="I21" s="354">
        <v>7713</v>
      </c>
      <c r="J21" s="354">
        <v>6756</v>
      </c>
      <c r="K21" s="354">
        <v>6864</v>
      </c>
      <c r="L21" s="354">
        <v>6242</v>
      </c>
      <c r="M21" s="354">
        <v>6163</v>
      </c>
      <c r="N21" s="354">
        <v>9150</v>
      </c>
      <c r="O21" s="374">
        <v>6758</v>
      </c>
      <c r="P21" s="374">
        <v>6238</v>
      </c>
      <c r="R21" s="203">
        <v>2003</v>
      </c>
      <c r="S21" s="354">
        <f>G29</f>
        <v>142438</v>
      </c>
    </row>
    <row r="22" spans="2:19" ht="15">
      <c r="B22" s="352" t="s">
        <v>501</v>
      </c>
      <c r="C22" s="353" t="s">
        <v>488</v>
      </c>
      <c r="D22" s="354">
        <v>25889</v>
      </c>
      <c r="E22" s="354">
        <v>16851</v>
      </c>
      <c r="F22" s="354">
        <v>17867</v>
      </c>
      <c r="G22" s="354">
        <v>20304</v>
      </c>
      <c r="H22" s="354">
        <v>20246</v>
      </c>
      <c r="I22" s="354">
        <v>21473</v>
      </c>
      <c r="J22" s="354">
        <v>21575</v>
      </c>
      <c r="K22" s="354">
        <v>22070</v>
      </c>
      <c r="L22" s="354">
        <v>21379</v>
      </c>
      <c r="M22" s="354">
        <v>23212</v>
      </c>
      <c r="N22" s="354">
        <f>M22+M21</f>
        <v>29375</v>
      </c>
      <c r="O22" s="374">
        <v>29375</v>
      </c>
      <c r="P22" s="374">
        <v>38525</v>
      </c>
      <c r="R22" s="203">
        <v>2004</v>
      </c>
      <c r="S22" s="354">
        <f>H29</f>
        <v>145103</v>
      </c>
    </row>
    <row r="23" spans="2:19" ht="15">
      <c r="B23" s="352" t="s">
        <v>502</v>
      </c>
      <c r="C23" s="353" t="s">
        <v>488</v>
      </c>
      <c r="D23" s="354">
        <v>20979</v>
      </c>
      <c r="E23" s="354">
        <v>15743</v>
      </c>
      <c r="F23" s="354">
        <v>16044</v>
      </c>
      <c r="G23" s="354">
        <v>14510</v>
      </c>
      <c r="H23" s="354">
        <v>13396</v>
      </c>
      <c r="I23" s="354">
        <v>13817</v>
      </c>
      <c r="J23" s="354">
        <v>12934</v>
      </c>
      <c r="K23" s="354">
        <v>12681</v>
      </c>
      <c r="L23" s="354">
        <v>11140</v>
      </c>
      <c r="M23" s="354">
        <v>12663</v>
      </c>
      <c r="N23" s="354">
        <v>12765</v>
      </c>
      <c r="O23" s="374">
        <v>11102</v>
      </c>
      <c r="P23" s="374">
        <v>10288</v>
      </c>
      <c r="R23" s="203">
        <v>2005</v>
      </c>
      <c r="S23" s="354">
        <f>I29</f>
        <v>143407</v>
      </c>
    </row>
    <row r="24" spans="2:19" ht="15">
      <c r="B24" s="352" t="s">
        <v>503</v>
      </c>
      <c r="C24" s="353" t="s">
        <v>488</v>
      </c>
      <c r="D24" s="354">
        <v>27778</v>
      </c>
      <c r="E24" s="354">
        <v>23045</v>
      </c>
      <c r="F24" s="354">
        <v>19882</v>
      </c>
      <c r="G24" s="354">
        <v>20146</v>
      </c>
      <c r="H24" s="354">
        <v>21092</v>
      </c>
      <c r="I24" s="354">
        <v>17744</v>
      </c>
      <c r="J24" s="354">
        <v>17242</v>
      </c>
      <c r="K24" s="354">
        <v>16499</v>
      </c>
      <c r="L24" s="354">
        <v>13766</v>
      </c>
      <c r="M24" s="354">
        <v>15344</v>
      </c>
      <c r="N24" s="354">
        <v>13553</v>
      </c>
      <c r="O24" s="374">
        <v>1474</v>
      </c>
      <c r="P24" s="374">
        <v>1672</v>
      </c>
      <c r="R24" s="203">
        <v>2006</v>
      </c>
      <c r="S24" s="354">
        <f>J29</f>
        <v>140374</v>
      </c>
    </row>
    <row r="25" spans="2:19" ht="15">
      <c r="B25" s="352" t="s">
        <v>504</v>
      </c>
      <c r="C25" s="353" t="s">
        <v>488</v>
      </c>
      <c r="D25" s="354">
        <v>16688</v>
      </c>
      <c r="E25" s="354">
        <v>11763</v>
      </c>
      <c r="F25" s="354">
        <v>13080</v>
      </c>
      <c r="G25" s="354">
        <v>12803</v>
      </c>
      <c r="H25" s="354">
        <v>11989</v>
      </c>
      <c r="I25" s="354">
        <v>12193</v>
      </c>
      <c r="J25" s="354">
        <v>12323</v>
      </c>
      <c r="K25" s="354">
        <v>12751</v>
      </c>
      <c r="L25" s="354">
        <v>11657</v>
      </c>
      <c r="M25" s="354">
        <v>13694</v>
      </c>
      <c r="N25" s="354">
        <v>13769</v>
      </c>
      <c r="O25" s="374">
        <v>11327</v>
      </c>
      <c r="P25" s="374">
        <v>13627</v>
      </c>
      <c r="R25" s="203">
        <v>2007</v>
      </c>
      <c r="S25" s="354">
        <f>K29</f>
        <v>138407</v>
      </c>
    </row>
    <row r="26" spans="2:19" ht="15">
      <c r="B26" s="352" t="s">
        <v>505</v>
      </c>
      <c r="C26" s="353" t="s">
        <v>488</v>
      </c>
      <c r="D26" s="354">
        <v>21101</v>
      </c>
      <c r="E26" s="354">
        <v>19788</v>
      </c>
      <c r="F26" s="354">
        <v>17729</v>
      </c>
      <c r="G26" s="354">
        <v>18403</v>
      </c>
      <c r="H26" s="354">
        <v>17833</v>
      </c>
      <c r="I26" s="354">
        <v>16765</v>
      </c>
      <c r="J26" s="354">
        <v>14939</v>
      </c>
      <c r="K26" s="354">
        <v>15383</v>
      </c>
      <c r="L26" s="354">
        <v>12440</v>
      </c>
      <c r="M26" s="354">
        <v>13604</v>
      </c>
      <c r="N26" s="354">
        <v>12811</v>
      </c>
      <c r="O26" s="374">
        <v>11789</v>
      </c>
      <c r="P26" s="374">
        <v>10340</v>
      </c>
      <c r="R26" s="203">
        <v>2008</v>
      </c>
      <c r="S26" s="354">
        <f>L29</f>
        <v>127336</v>
      </c>
    </row>
    <row r="27" spans="2:19" ht="15">
      <c r="B27" s="352" t="s">
        <v>506</v>
      </c>
      <c r="C27" s="353" t="s">
        <v>488</v>
      </c>
      <c r="D27" s="354">
        <v>15839</v>
      </c>
      <c r="E27" s="354">
        <v>14292</v>
      </c>
      <c r="F27" s="354">
        <v>12866</v>
      </c>
      <c r="G27" s="354">
        <v>12118</v>
      </c>
      <c r="H27" s="354">
        <v>13634</v>
      </c>
      <c r="I27" s="354">
        <v>14008</v>
      </c>
      <c r="J27" s="354">
        <v>15841</v>
      </c>
      <c r="K27" s="354">
        <v>14738</v>
      </c>
      <c r="L27" s="354">
        <v>12758</v>
      </c>
      <c r="M27" s="354">
        <v>13485</v>
      </c>
      <c r="N27" s="354">
        <v>14548</v>
      </c>
      <c r="O27" s="374">
        <v>14635</v>
      </c>
      <c r="P27" s="374">
        <v>14194</v>
      </c>
      <c r="R27" s="203">
        <v>2009</v>
      </c>
      <c r="S27" s="354">
        <f>M29</f>
        <v>133584</v>
      </c>
    </row>
    <row r="28" spans="2:19" ht="15">
      <c r="B28" s="352" t="s">
        <v>507</v>
      </c>
      <c r="C28" s="353" t="s">
        <v>488</v>
      </c>
      <c r="D28" s="354">
        <v>13510</v>
      </c>
      <c r="E28" s="354">
        <v>11512</v>
      </c>
      <c r="F28" s="354">
        <v>10915</v>
      </c>
      <c r="G28" s="354">
        <v>11663</v>
      </c>
      <c r="H28" s="354">
        <v>11107</v>
      </c>
      <c r="I28" s="354">
        <v>11234</v>
      </c>
      <c r="J28" s="354">
        <v>11904</v>
      </c>
      <c r="K28" s="354">
        <v>10926</v>
      </c>
      <c r="L28" s="354">
        <v>10211</v>
      </c>
      <c r="M28" s="354">
        <v>10127</v>
      </c>
      <c r="N28" s="354">
        <v>12635</v>
      </c>
      <c r="O28" s="374">
        <v>10252</v>
      </c>
      <c r="P28" s="374">
        <v>10899</v>
      </c>
      <c r="R28" s="203">
        <v>2010</v>
      </c>
      <c r="S28" s="354">
        <f>N29</f>
        <v>144865</v>
      </c>
    </row>
    <row r="29" spans="2:19" ht="15">
      <c r="B29" s="355" t="s">
        <v>420</v>
      </c>
      <c r="C29" s="356"/>
      <c r="D29" s="357">
        <f>SUM(D19:D28)</f>
        <v>177880</v>
      </c>
      <c r="E29" s="357">
        <f t="shared" ref="E29:P29" si="1">SUM(E19:E28)</f>
        <v>145585</v>
      </c>
      <c r="F29" s="357">
        <f t="shared" si="1"/>
        <v>138025</v>
      </c>
      <c r="G29" s="357">
        <f t="shared" si="1"/>
        <v>142438</v>
      </c>
      <c r="H29" s="357">
        <f t="shared" si="1"/>
        <v>145103</v>
      </c>
      <c r="I29" s="357">
        <f t="shared" si="1"/>
        <v>143407</v>
      </c>
      <c r="J29" s="357">
        <f t="shared" si="1"/>
        <v>140374</v>
      </c>
      <c r="K29" s="357">
        <f t="shared" si="1"/>
        <v>138407</v>
      </c>
      <c r="L29" s="357">
        <f t="shared" si="1"/>
        <v>127336</v>
      </c>
      <c r="M29" s="357">
        <f t="shared" si="1"/>
        <v>133584</v>
      </c>
      <c r="N29" s="357">
        <f t="shared" si="1"/>
        <v>144865</v>
      </c>
      <c r="O29" s="372">
        <f t="shared" si="1"/>
        <v>119069</v>
      </c>
      <c r="P29" s="372">
        <f t="shared" si="1"/>
        <v>130215</v>
      </c>
      <c r="R29" s="203">
        <v>2011</v>
      </c>
      <c r="S29" s="317">
        <f>O29</f>
        <v>119069</v>
      </c>
    </row>
    <row r="30" spans="2:19">
      <c r="R30" s="203">
        <v>2012</v>
      </c>
      <c r="S30" s="317">
        <f>P29</f>
        <v>130215</v>
      </c>
    </row>
    <row r="33" spans="1:19">
      <c r="B33" s="215" t="s">
        <v>508</v>
      </c>
    </row>
    <row r="34" spans="1:19">
      <c r="B34" s="476" t="s">
        <v>509</v>
      </c>
      <c r="C34" s="476" t="s">
        <v>485</v>
      </c>
      <c r="D34" s="477" t="s">
        <v>486</v>
      </c>
      <c r="E34" s="477"/>
      <c r="F34" s="477"/>
      <c r="G34" s="477"/>
      <c r="H34" s="477"/>
      <c r="I34" s="477"/>
      <c r="J34" s="477"/>
      <c r="K34" s="477"/>
      <c r="L34" s="477"/>
      <c r="M34" s="477"/>
      <c r="N34" s="477"/>
      <c r="P34" s="203" t="s">
        <v>526</v>
      </c>
    </row>
    <row r="35" spans="1:19" ht="15">
      <c r="B35" s="476"/>
      <c r="C35" s="476"/>
      <c r="D35" s="351">
        <v>2000</v>
      </c>
      <c r="E35" s="351">
        <v>2001</v>
      </c>
      <c r="F35" s="351">
        <v>2002</v>
      </c>
      <c r="G35" s="351">
        <v>2003</v>
      </c>
      <c r="H35" s="351">
        <v>2004</v>
      </c>
      <c r="I35" s="351">
        <v>2005</v>
      </c>
      <c r="J35" s="351">
        <v>2006</v>
      </c>
      <c r="K35" s="351">
        <v>2007</v>
      </c>
      <c r="L35" s="351">
        <v>2008</v>
      </c>
      <c r="M35" s="351">
        <v>2009</v>
      </c>
      <c r="N35" s="351">
        <v>2010</v>
      </c>
      <c r="O35" s="373">
        <v>2011</v>
      </c>
      <c r="P35" s="373">
        <v>2012</v>
      </c>
      <c r="R35" s="203">
        <v>2000</v>
      </c>
      <c r="S35" s="354">
        <f>D42</f>
        <v>406388</v>
      </c>
    </row>
    <row r="36" spans="1:19" ht="15">
      <c r="B36" s="362" t="s">
        <v>510</v>
      </c>
      <c r="C36" s="363" t="s">
        <v>511</v>
      </c>
      <c r="D36" s="364">
        <v>138957</v>
      </c>
      <c r="E36" s="364">
        <v>117670</v>
      </c>
      <c r="F36" s="364">
        <v>126146</v>
      </c>
      <c r="G36" s="364">
        <v>105167</v>
      </c>
      <c r="H36" s="364">
        <v>119872</v>
      </c>
      <c r="I36" s="364">
        <v>117413</v>
      </c>
      <c r="J36" s="364">
        <v>115797</v>
      </c>
      <c r="K36" s="364">
        <v>113373</v>
      </c>
      <c r="L36" s="364">
        <v>118976</v>
      </c>
      <c r="M36" s="364">
        <v>135707</v>
      </c>
      <c r="N36" s="364">
        <v>153778</v>
      </c>
      <c r="O36" s="374">
        <v>147152</v>
      </c>
      <c r="P36" s="374">
        <v>148601</v>
      </c>
      <c r="R36" s="203">
        <v>2001</v>
      </c>
      <c r="S36" s="354">
        <f>E42</f>
        <v>325939</v>
      </c>
    </row>
    <row r="37" spans="1:19" ht="15">
      <c r="B37" s="362" t="s">
        <v>512</v>
      </c>
      <c r="C37" s="363" t="s">
        <v>511</v>
      </c>
      <c r="D37" s="364">
        <v>16466</v>
      </c>
      <c r="E37" s="364">
        <v>13958</v>
      </c>
      <c r="F37" s="364">
        <v>12092</v>
      </c>
      <c r="G37" s="364">
        <v>11339</v>
      </c>
      <c r="H37" s="364">
        <v>13904</v>
      </c>
      <c r="I37" s="364">
        <v>15437</v>
      </c>
      <c r="J37" s="364">
        <v>12491</v>
      </c>
      <c r="K37" s="364">
        <v>11094</v>
      </c>
      <c r="L37" s="364">
        <v>11606</v>
      </c>
      <c r="M37" s="364">
        <v>13978</v>
      </c>
      <c r="N37" s="364">
        <v>12866</v>
      </c>
      <c r="O37" s="374">
        <v>12507</v>
      </c>
      <c r="P37" s="374">
        <v>9011</v>
      </c>
      <c r="R37" s="203">
        <v>2002</v>
      </c>
      <c r="S37" s="354">
        <f>F42</f>
        <v>217736</v>
      </c>
    </row>
    <row r="38" spans="1:19" ht="15">
      <c r="B38" s="362" t="s">
        <v>513</v>
      </c>
      <c r="C38" s="363" t="s">
        <v>511</v>
      </c>
      <c r="D38" s="364">
        <v>11</v>
      </c>
      <c r="E38" s="364">
        <v>0</v>
      </c>
      <c r="F38" s="364">
        <v>0</v>
      </c>
      <c r="G38" s="364">
        <v>67022</v>
      </c>
      <c r="H38" s="364">
        <v>72117</v>
      </c>
      <c r="I38" s="364">
        <v>71523</v>
      </c>
      <c r="J38" s="364">
        <v>64653</v>
      </c>
      <c r="K38" s="364">
        <v>63922</v>
      </c>
      <c r="L38" s="364">
        <v>54103</v>
      </c>
      <c r="M38" s="364">
        <v>61498</v>
      </c>
      <c r="N38" s="364">
        <v>67901</v>
      </c>
      <c r="O38" s="374">
        <v>53952</v>
      </c>
      <c r="P38" s="374">
        <v>53569</v>
      </c>
      <c r="R38" s="203">
        <v>2003</v>
      </c>
      <c r="S38" s="354">
        <f>G42</f>
        <v>360505</v>
      </c>
    </row>
    <row r="39" spans="1:19" ht="15">
      <c r="B39" s="362" t="s">
        <v>514</v>
      </c>
      <c r="C39" s="363" t="s">
        <v>511</v>
      </c>
      <c r="D39" s="364">
        <v>45259</v>
      </c>
      <c r="E39" s="364">
        <v>28557</v>
      </c>
      <c r="F39" s="364">
        <v>22714</v>
      </c>
      <c r="G39" s="364">
        <v>14971</v>
      </c>
      <c r="H39" s="364">
        <v>20997</v>
      </c>
      <c r="I39" s="364">
        <v>17934</v>
      </c>
      <c r="J39" s="364">
        <v>17878</v>
      </c>
      <c r="K39" s="364">
        <v>12429</v>
      </c>
      <c r="L39" s="364">
        <v>23810</v>
      </c>
      <c r="M39" s="364">
        <v>41775</v>
      </c>
      <c r="N39" s="364">
        <v>36700</v>
      </c>
      <c r="O39" s="374">
        <v>35674</v>
      </c>
      <c r="P39" s="374">
        <v>30345</v>
      </c>
      <c r="R39" s="203">
        <v>2004</v>
      </c>
      <c r="S39" s="354">
        <f>H42</f>
        <v>378508</v>
      </c>
    </row>
    <row r="40" spans="1:19" ht="15">
      <c r="B40" s="362" t="s">
        <v>515</v>
      </c>
      <c r="C40" s="363" t="s">
        <v>511</v>
      </c>
      <c r="D40" s="364">
        <v>170324</v>
      </c>
      <c r="E40" s="364">
        <v>137124</v>
      </c>
      <c r="F40" s="364">
        <v>22714</v>
      </c>
      <c r="G40" s="364">
        <v>132055</v>
      </c>
      <c r="H40" s="364">
        <v>120204</v>
      </c>
      <c r="I40" s="364">
        <v>116213</v>
      </c>
      <c r="J40" s="364">
        <v>110424</v>
      </c>
      <c r="K40" s="364">
        <v>113619</v>
      </c>
      <c r="L40" s="364">
        <v>112734</v>
      </c>
      <c r="M40" s="364">
        <v>124857</v>
      </c>
      <c r="N40" s="364">
        <v>132683</v>
      </c>
      <c r="O40" s="374">
        <v>115261</v>
      </c>
      <c r="P40" s="374">
        <v>125844</v>
      </c>
      <c r="R40" s="203">
        <v>2005</v>
      </c>
      <c r="S40" s="354">
        <f>I42</f>
        <v>369314</v>
      </c>
    </row>
    <row r="41" spans="1:19" ht="15">
      <c r="B41" s="362" t="s">
        <v>516</v>
      </c>
      <c r="C41" s="363" t="s">
        <v>511</v>
      </c>
      <c r="D41" s="364">
        <v>35371</v>
      </c>
      <c r="E41" s="364">
        <v>28630</v>
      </c>
      <c r="F41" s="364">
        <v>34070</v>
      </c>
      <c r="G41" s="364">
        <v>29951</v>
      </c>
      <c r="H41" s="364">
        <v>31414</v>
      </c>
      <c r="I41" s="364">
        <v>30794</v>
      </c>
      <c r="J41" s="364">
        <v>29805</v>
      </c>
      <c r="K41" s="364">
        <v>28096</v>
      </c>
      <c r="L41" s="364">
        <v>27252</v>
      </c>
      <c r="M41" s="364">
        <v>33387</v>
      </c>
      <c r="N41" s="364">
        <v>30073</v>
      </c>
      <c r="O41" s="374">
        <v>27931</v>
      </c>
      <c r="P41" s="374">
        <v>26531</v>
      </c>
      <c r="R41" s="203">
        <v>2006</v>
      </c>
      <c r="S41" s="354">
        <f>J42</f>
        <v>351048</v>
      </c>
    </row>
    <row r="42" spans="1:19" ht="15">
      <c r="B42" s="365" t="s">
        <v>517</v>
      </c>
      <c r="C42" s="366" t="s">
        <v>511</v>
      </c>
      <c r="D42" s="357">
        <f>SUM(D36:D41)</f>
        <v>406388</v>
      </c>
      <c r="E42" s="357">
        <f t="shared" ref="E42:P42" si="2">SUM(E36:E41)</f>
        <v>325939</v>
      </c>
      <c r="F42" s="357">
        <f t="shared" si="2"/>
        <v>217736</v>
      </c>
      <c r="G42" s="357">
        <f t="shared" si="2"/>
        <v>360505</v>
      </c>
      <c r="H42" s="357">
        <f t="shared" si="2"/>
        <v>378508</v>
      </c>
      <c r="I42" s="357">
        <f t="shared" si="2"/>
        <v>369314</v>
      </c>
      <c r="J42" s="357">
        <f t="shared" si="2"/>
        <v>351048</v>
      </c>
      <c r="K42" s="357">
        <f t="shared" si="2"/>
        <v>342533</v>
      </c>
      <c r="L42" s="357">
        <f t="shared" si="2"/>
        <v>348481</v>
      </c>
      <c r="M42" s="357">
        <f t="shared" si="2"/>
        <v>411202</v>
      </c>
      <c r="N42" s="357">
        <f t="shared" si="2"/>
        <v>434001</v>
      </c>
      <c r="O42" s="372">
        <f t="shared" si="2"/>
        <v>392477</v>
      </c>
      <c r="P42" s="372">
        <f t="shared" si="2"/>
        <v>393901</v>
      </c>
      <c r="R42" s="203">
        <v>2007</v>
      </c>
      <c r="S42" s="354">
        <f>K42</f>
        <v>342533</v>
      </c>
    </row>
    <row r="43" spans="1:19">
      <c r="R43" s="203">
        <v>2008</v>
      </c>
      <c r="S43" s="354">
        <f>L42</f>
        <v>348481</v>
      </c>
    </row>
    <row r="44" spans="1:19">
      <c r="R44" s="203">
        <v>2009</v>
      </c>
      <c r="S44" s="354">
        <f>M42</f>
        <v>411202</v>
      </c>
    </row>
    <row r="45" spans="1:19">
      <c r="A45" s="478" t="s">
        <v>518</v>
      </c>
      <c r="B45" s="478" t="s">
        <v>509</v>
      </c>
      <c r="C45" s="478" t="s">
        <v>485</v>
      </c>
      <c r="D45" s="479" t="s">
        <v>450</v>
      </c>
      <c r="E45" s="479"/>
      <c r="F45" s="479"/>
      <c r="G45" s="479"/>
      <c r="H45" s="479"/>
      <c r="I45" s="479"/>
      <c r="J45" s="479"/>
      <c r="K45" s="479"/>
      <c r="L45" s="479"/>
      <c r="M45" s="479"/>
      <c r="N45" s="479"/>
      <c r="R45" s="203">
        <v>2010</v>
      </c>
      <c r="S45" s="354">
        <f>N42</f>
        <v>434001</v>
      </c>
    </row>
    <row r="46" spans="1:19">
      <c r="A46" s="478"/>
      <c r="B46" s="478"/>
      <c r="C46" s="478"/>
      <c r="D46" s="326">
        <v>2000</v>
      </c>
      <c r="E46" s="326">
        <v>2001</v>
      </c>
      <c r="F46" s="326">
        <v>2002</v>
      </c>
      <c r="G46" s="326">
        <v>2003</v>
      </c>
      <c r="H46" s="326">
        <v>2004</v>
      </c>
      <c r="I46" s="326">
        <v>2005</v>
      </c>
      <c r="J46" s="326">
        <v>2006</v>
      </c>
      <c r="K46" s="326">
        <v>2007</v>
      </c>
      <c r="L46" s="326">
        <v>2008</v>
      </c>
      <c r="M46" s="326">
        <v>2009</v>
      </c>
      <c r="N46" s="326">
        <v>2010</v>
      </c>
      <c r="R46" s="203">
        <v>2011</v>
      </c>
      <c r="S46" s="317">
        <f>O42</f>
        <v>392477</v>
      </c>
    </row>
    <row r="47" spans="1:19">
      <c r="A47" s="326" t="s">
        <v>519</v>
      </c>
      <c r="B47" s="362" t="s">
        <v>510</v>
      </c>
      <c r="C47" s="363" t="s">
        <v>511</v>
      </c>
      <c r="D47" s="364">
        <v>138957</v>
      </c>
      <c r="E47" s="364">
        <v>117670</v>
      </c>
      <c r="F47" s="364">
        <v>126146</v>
      </c>
      <c r="G47" s="364">
        <v>105167</v>
      </c>
      <c r="H47" s="364">
        <v>119872</v>
      </c>
      <c r="I47" s="364">
        <v>117413</v>
      </c>
      <c r="J47" s="364">
        <v>115797</v>
      </c>
      <c r="K47" s="364">
        <v>113373</v>
      </c>
      <c r="L47" s="364">
        <v>118976</v>
      </c>
      <c r="M47" s="364">
        <v>135707</v>
      </c>
      <c r="N47" s="364">
        <v>153778</v>
      </c>
      <c r="R47" s="203">
        <v>2012</v>
      </c>
      <c r="S47" s="317">
        <f>P42</f>
        <v>393901</v>
      </c>
    </row>
    <row r="48" spans="1:19">
      <c r="A48" s="326"/>
      <c r="B48" s="362" t="s">
        <v>512</v>
      </c>
      <c r="C48" s="363" t="s">
        <v>511</v>
      </c>
      <c r="D48" s="364">
        <v>16466</v>
      </c>
      <c r="E48" s="364">
        <v>13958</v>
      </c>
      <c r="F48" s="364">
        <v>12092</v>
      </c>
      <c r="G48" s="364">
        <v>11339</v>
      </c>
      <c r="H48" s="364">
        <v>13904</v>
      </c>
      <c r="I48" s="364">
        <v>15437</v>
      </c>
      <c r="J48" s="364">
        <v>12491</v>
      </c>
      <c r="K48" s="364">
        <v>11094</v>
      </c>
      <c r="L48" s="364">
        <v>11606</v>
      </c>
      <c r="M48" s="364">
        <v>13978</v>
      </c>
      <c r="N48" s="364">
        <v>12866</v>
      </c>
    </row>
    <row r="49" spans="1:14">
      <c r="A49" s="326"/>
      <c r="B49" s="362" t="s">
        <v>513</v>
      </c>
      <c r="C49" s="363" t="s">
        <v>511</v>
      </c>
      <c r="D49" s="364">
        <v>11</v>
      </c>
      <c r="E49" s="364">
        <v>0</v>
      </c>
      <c r="F49" s="364">
        <v>0</v>
      </c>
      <c r="G49" s="364">
        <v>67022</v>
      </c>
      <c r="H49" s="364">
        <v>72117</v>
      </c>
      <c r="I49" s="364">
        <v>71523</v>
      </c>
      <c r="J49" s="364">
        <v>64653</v>
      </c>
      <c r="K49" s="364">
        <v>63922</v>
      </c>
      <c r="L49" s="364">
        <v>54103</v>
      </c>
      <c r="M49" s="364">
        <v>61498</v>
      </c>
      <c r="N49" s="364">
        <v>67901</v>
      </c>
    </row>
    <row r="50" spans="1:14">
      <c r="A50" s="326"/>
      <c r="B50" s="362" t="s">
        <v>514</v>
      </c>
      <c r="C50" s="363" t="s">
        <v>511</v>
      </c>
      <c r="D50" s="364">
        <v>45259</v>
      </c>
      <c r="E50" s="364">
        <v>28557</v>
      </c>
      <c r="F50" s="364">
        <v>22714</v>
      </c>
      <c r="G50" s="364">
        <v>14971</v>
      </c>
      <c r="H50" s="364">
        <v>20997</v>
      </c>
      <c r="I50" s="364">
        <v>17934</v>
      </c>
      <c r="J50" s="364">
        <v>17878</v>
      </c>
      <c r="K50" s="364">
        <v>12429</v>
      </c>
      <c r="L50" s="364">
        <v>23810</v>
      </c>
      <c r="M50" s="364">
        <v>41775</v>
      </c>
      <c r="N50" s="364">
        <v>36700</v>
      </c>
    </row>
    <row r="51" spans="1:14">
      <c r="A51" s="326"/>
      <c r="B51" s="362" t="s">
        <v>520</v>
      </c>
      <c r="C51" s="363" t="s">
        <v>511</v>
      </c>
      <c r="D51" s="364">
        <v>2188479</v>
      </c>
      <c r="E51" s="364">
        <v>1866069</v>
      </c>
      <c r="F51" s="364">
        <v>1792320</v>
      </c>
      <c r="G51" s="364">
        <v>1664386</v>
      </c>
      <c r="H51" s="364">
        <v>1880142</v>
      </c>
      <c r="I51" s="364">
        <v>1894796</v>
      </c>
      <c r="J51" s="364">
        <v>1798260</v>
      </c>
      <c r="K51" s="364">
        <v>1829085</v>
      </c>
      <c r="L51" s="364">
        <v>1803628</v>
      </c>
      <c r="M51" s="364">
        <v>1950203</v>
      </c>
      <c r="N51" s="364">
        <v>2037657</v>
      </c>
    </row>
    <row r="52" spans="1:14">
      <c r="A52" s="326"/>
      <c r="B52" s="362" t="s">
        <v>521</v>
      </c>
      <c r="C52" s="363" t="s">
        <v>511</v>
      </c>
      <c r="D52" s="364">
        <v>170324</v>
      </c>
      <c r="E52" s="364">
        <v>137124</v>
      </c>
      <c r="F52" s="364">
        <v>22714</v>
      </c>
      <c r="G52" s="364">
        <v>132055</v>
      </c>
      <c r="H52" s="364">
        <v>120204</v>
      </c>
      <c r="I52" s="364">
        <v>116213</v>
      </c>
      <c r="J52" s="364">
        <v>110424</v>
      </c>
      <c r="K52" s="364">
        <v>113619</v>
      </c>
      <c r="L52" s="364">
        <v>112734</v>
      </c>
      <c r="M52" s="364">
        <v>124857</v>
      </c>
      <c r="N52" s="364">
        <v>132683</v>
      </c>
    </row>
    <row r="53" spans="1:14">
      <c r="A53" s="326"/>
      <c r="B53" s="362" t="s">
        <v>522</v>
      </c>
      <c r="C53" s="363" t="s">
        <v>511</v>
      </c>
      <c r="D53" s="364">
        <v>2018155</v>
      </c>
      <c r="E53" s="364">
        <v>1728945</v>
      </c>
      <c r="F53" s="364">
        <v>1672478</v>
      </c>
      <c r="G53" s="364">
        <v>1532331</v>
      </c>
      <c r="H53" s="364">
        <v>1759938</v>
      </c>
      <c r="I53" s="364">
        <v>1778583</v>
      </c>
      <c r="J53" s="364">
        <v>1687836</v>
      </c>
      <c r="K53" s="364">
        <v>1715466</v>
      </c>
      <c r="L53" s="364">
        <v>1690894</v>
      </c>
      <c r="M53" s="364">
        <v>1825346</v>
      </c>
      <c r="N53" s="364">
        <v>1904974</v>
      </c>
    </row>
    <row r="55" spans="1:14">
      <c r="B55" s="370" t="s">
        <v>529</v>
      </c>
      <c r="C55" s="370"/>
      <c r="D55" s="370"/>
      <c r="E55" s="370"/>
      <c r="F55" s="370"/>
      <c r="G55" s="370"/>
      <c r="H55" s="370"/>
      <c r="I55" s="370"/>
    </row>
    <row r="57" spans="1:14">
      <c r="B57" s="203" t="s">
        <v>527</v>
      </c>
    </row>
    <row r="58" spans="1:14">
      <c r="B58" s="203" t="s">
        <v>528</v>
      </c>
    </row>
  </sheetData>
  <mergeCells count="13">
    <mergeCell ref="B2:B3"/>
    <mergeCell ref="C2:C3"/>
    <mergeCell ref="D2:N2"/>
    <mergeCell ref="B17:B18"/>
    <mergeCell ref="C17:C18"/>
    <mergeCell ref="D17:N17"/>
    <mergeCell ref="B34:B35"/>
    <mergeCell ref="C34:C35"/>
    <mergeCell ref="D34:N34"/>
    <mergeCell ref="A45:A46"/>
    <mergeCell ref="B45:B46"/>
    <mergeCell ref="C45:C46"/>
    <mergeCell ref="D45:N4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B2:J22"/>
  <sheetViews>
    <sheetView topLeftCell="A13" workbookViewId="0">
      <selection activeCell="E15" sqref="E15"/>
    </sheetView>
  </sheetViews>
  <sheetFormatPr defaultRowHeight="1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c r="B2" s="173" t="s">
        <v>305</v>
      </c>
      <c r="C2" s="174">
        <v>0.02</v>
      </c>
    </row>
    <row r="4" spans="2:5">
      <c r="B4" s="167" t="s">
        <v>332</v>
      </c>
    </row>
    <row r="5" spans="2:5">
      <c r="B5" s="177" t="s">
        <v>306</v>
      </c>
      <c r="C5" s="178"/>
      <c r="D5" s="178" t="s">
        <v>307</v>
      </c>
      <c r="E5" s="179" t="s">
        <v>308</v>
      </c>
    </row>
    <row r="6" spans="2:5">
      <c r="B6" s="171" t="s">
        <v>310</v>
      </c>
      <c r="C6" s="172" t="s">
        <v>311</v>
      </c>
      <c r="D6" s="169">
        <v>0.01</v>
      </c>
      <c r="E6" s="125" t="s">
        <v>312</v>
      </c>
    </row>
    <row r="7" spans="2:5">
      <c r="B7" s="171" t="s">
        <v>313</v>
      </c>
      <c r="C7" s="172" t="s">
        <v>311</v>
      </c>
      <c r="D7" s="169">
        <v>3.0000000000000001E-3</v>
      </c>
      <c r="E7" s="125" t="s">
        <v>319</v>
      </c>
    </row>
    <row r="8" spans="2:5">
      <c r="B8" s="171" t="s">
        <v>314</v>
      </c>
      <c r="C8" s="172" t="s">
        <v>318</v>
      </c>
      <c r="D8" s="170">
        <v>16</v>
      </c>
      <c r="E8" s="168" t="s">
        <v>320</v>
      </c>
    </row>
    <row r="9" spans="2:5">
      <c r="B9" s="171" t="s">
        <v>315</v>
      </c>
      <c r="C9" s="172" t="s">
        <v>318</v>
      </c>
      <c r="D9" s="170">
        <v>8</v>
      </c>
      <c r="E9" s="125" t="s">
        <v>321</v>
      </c>
    </row>
    <row r="10" spans="2:5">
      <c r="B10" s="171" t="s">
        <v>316</v>
      </c>
      <c r="C10" s="172" t="s">
        <v>318</v>
      </c>
      <c r="D10" s="170">
        <v>0.02</v>
      </c>
      <c r="E10" s="125" t="s">
        <v>322</v>
      </c>
    </row>
    <row r="11" spans="2:5">
      <c r="B11" s="171" t="s">
        <v>317</v>
      </c>
      <c r="C11" s="172" t="s">
        <v>318</v>
      </c>
      <c r="D11" s="170">
        <v>0.01</v>
      </c>
      <c r="E11" s="125" t="s">
        <v>312</v>
      </c>
    </row>
    <row r="12" spans="2:5">
      <c r="C12" s="16"/>
      <c r="D12" s="84"/>
    </row>
    <row r="13" spans="2:5">
      <c r="C13" s="16"/>
    </row>
    <row r="14" spans="2:5">
      <c r="C14" s="16"/>
    </row>
    <row r="15" spans="2:5">
      <c r="C15" s="16"/>
    </row>
    <row r="16" spans="2:5">
      <c r="B16" s="167" t="s">
        <v>333</v>
      </c>
      <c r="C16" s="16"/>
    </row>
    <row r="17" spans="2:10">
      <c r="B17" s="177" t="s">
        <v>306</v>
      </c>
      <c r="C17" s="180"/>
      <c r="D17" s="178" t="s">
        <v>307</v>
      </c>
      <c r="E17" s="179" t="s">
        <v>308</v>
      </c>
    </row>
    <row r="18" spans="2:10" ht="30" customHeight="1">
      <c r="B18" s="184" t="s">
        <v>334</v>
      </c>
      <c r="C18" s="185" t="s">
        <v>335</v>
      </c>
      <c r="D18" s="181">
        <v>0.01</v>
      </c>
      <c r="E18" s="182" t="s">
        <v>336</v>
      </c>
      <c r="G18" s="225" t="s">
        <v>345</v>
      </c>
      <c r="H18" s="224"/>
      <c r="I18" s="224"/>
      <c r="J18" s="224"/>
    </row>
    <row r="19" spans="2:10" ht="36" customHeight="1">
      <c r="B19" s="184" t="s">
        <v>334</v>
      </c>
      <c r="C19" s="185" t="s">
        <v>335</v>
      </c>
      <c r="D19" s="181">
        <v>7.4999999999999997E-3</v>
      </c>
      <c r="E19" s="182" t="s">
        <v>337</v>
      </c>
    </row>
    <row r="20" spans="2:10" ht="45">
      <c r="B20" s="184" t="s">
        <v>340</v>
      </c>
      <c r="C20" s="185" t="s">
        <v>338</v>
      </c>
      <c r="D20" s="183">
        <v>0.1</v>
      </c>
      <c r="E20" s="182" t="s">
        <v>339</v>
      </c>
    </row>
    <row r="21" spans="2:10" ht="45">
      <c r="B21" s="184" t="s">
        <v>341</v>
      </c>
      <c r="C21" s="185" t="s">
        <v>338</v>
      </c>
      <c r="D21" s="183">
        <v>0.2</v>
      </c>
      <c r="E21" s="182" t="s">
        <v>343</v>
      </c>
    </row>
    <row r="22" spans="2:10" ht="45">
      <c r="B22" s="184" t="s">
        <v>342</v>
      </c>
      <c r="C22" s="185" t="s">
        <v>338</v>
      </c>
      <c r="D22" s="183">
        <v>0.3</v>
      </c>
      <c r="E22" s="182" t="s">
        <v>344</v>
      </c>
    </row>
  </sheetData>
  <pageMargins left="0.7" right="0.7" top="0.75" bottom="0.75" header="0.3" footer="0.3"/>
  <pageSetup orientation="landscape" horizontalDpi="4294967293" r:id="rId1"/>
</worksheet>
</file>

<file path=xl/worksheets/sheet11.xml><?xml version="1.0" encoding="utf-8"?>
<worksheet xmlns="http://schemas.openxmlformats.org/spreadsheetml/2006/main" xmlns:r="http://schemas.openxmlformats.org/officeDocument/2006/relationships">
  <sheetPr>
    <tabColor rgb="FFFFFF00"/>
  </sheetPr>
  <dimension ref="B2:G21"/>
  <sheetViews>
    <sheetView workbookViewId="0">
      <selection activeCell="G11" sqref="G11"/>
    </sheetView>
  </sheetViews>
  <sheetFormatPr defaultRowHeight="1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c r="B2" t="s">
        <v>0</v>
      </c>
      <c r="C2" t="s">
        <v>2</v>
      </c>
    </row>
    <row r="3" spans="2:7">
      <c r="B3" t="s">
        <v>1</v>
      </c>
      <c r="C3" t="s">
        <v>278</v>
      </c>
    </row>
    <row r="4" spans="2:7" ht="15.75" thickBot="1"/>
    <row r="5" spans="2:7">
      <c r="B5" s="150" t="s">
        <v>3</v>
      </c>
      <c r="C5" s="552" t="s">
        <v>287</v>
      </c>
      <c r="D5" s="553"/>
      <c r="E5" s="553"/>
      <c r="F5" s="553"/>
      <c r="G5" s="554"/>
    </row>
    <row r="6" spans="2:7" ht="45">
      <c r="B6" s="548" t="s">
        <v>404</v>
      </c>
      <c r="C6" s="20" t="s">
        <v>279</v>
      </c>
      <c r="D6" s="151" t="s">
        <v>50</v>
      </c>
      <c r="E6" s="155" t="s">
        <v>288</v>
      </c>
      <c r="F6" s="21" t="s">
        <v>50</v>
      </c>
      <c r="G6" s="148" t="s">
        <v>27</v>
      </c>
    </row>
    <row r="7" spans="2:7" ht="17.25">
      <c r="B7" s="548"/>
      <c r="C7" s="20" t="s">
        <v>280</v>
      </c>
      <c r="D7" s="152" t="s">
        <v>289</v>
      </c>
      <c r="E7" s="21" t="s">
        <v>280</v>
      </c>
      <c r="F7" s="9" t="s">
        <v>290</v>
      </c>
      <c r="G7" s="94"/>
    </row>
    <row r="8" spans="2:7">
      <c r="B8" s="548"/>
      <c r="C8" s="144"/>
      <c r="D8" s="153" t="s">
        <v>281</v>
      </c>
      <c r="E8" s="156"/>
      <c r="F8" s="23" t="s">
        <v>291</v>
      </c>
      <c r="G8" s="93"/>
    </row>
    <row r="9" spans="2:7" ht="18.75" thickBot="1">
      <c r="B9" s="549"/>
      <c r="C9" s="146" t="s">
        <v>282</v>
      </c>
      <c r="D9" s="154" t="s">
        <v>283</v>
      </c>
      <c r="E9" s="147" t="s">
        <v>284</v>
      </c>
      <c r="F9" s="145" t="s">
        <v>285</v>
      </c>
      <c r="G9" s="95" t="s">
        <v>286</v>
      </c>
    </row>
    <row r="10" spans="2:7">
      <c r="B10" s="3"/>
      <c r="C10" s="6"/>
      <c r="D10" s="10"/>
      <c r="E10" s="8"/>
      <c r="F10" s="119"/>
      <c r="G10" s="149"/>
    </row>
    <row r="11" spans="2:7">
      <c r="B11" s="3">
        <v>2000</v>
      </c>
      <c r="C11" s="88"/>
      <c r="D11" s="88"/>
      <c r="E11" s="86">
        <f>(C17*C19)+(C18*C20)</f>
        <v>350000</v>
      </c>
      <c r="F11" s="157">
        <v>0.13</v>
      </c>
      <c r="G11" s="158">
        <f>E11*F11</f>
        <v>45500</v>
      </c>
    </row>
    <row r="12" spans="2:7">
      <c r="B12" s="3">
        <v>2001</v>
      </c>
      <c r="C12" s="87"/>
      <c r="D12" s="88"/>
      <c r="E12" s="86"/>
      <c r="F12" s="157"/>
      <c r="G12" s="158"/>
    </row>
    <row r="13" spans="2:7">
      <c r="B13" s="3">
        <v>2002</v>
      </c>
      <c r="C13" s="87"/>
      <c r="D13" s="88"/>
      <c r="E13" s="86"/>
      <c r="F13" s="157"/>
      <c r="G13" s="158"/>
    </row>
    <row r="14" spans="2:7">
      <c r="B14" s="3" t="s">
        <v>405</v>
      </c>
      <c r="C14" s="6"/>
      <c r="D14" s="10"/>
      <c r="E14" s="8"/>
      <c r="F14" s="10"/>
      <c r="G14" s="97"/>
    </row>
    <row r="15" spans="2:7" ht="15.75" thickBot="1">
      <c r="B15" s="4" t="s">
        <v>22</v>
      </c>
      <c r="C15" s="159"/>
      <c r="D15" s="46"/>
      <c r="E15" s="160"/>
      <c r="F15" s="11"/>
      <c r="G15" s="202">
        <f>SUM(G11:G11)</f>
        <v>45500</v>
      </c>
    </row>
    <row r="17" spans="2:4" ht="30">
      <c r="B17" s="196" t="s">
        <v>292</v>
      </c>
      <c r="C17" s="197">
        <v>300000</v>
      </c>
      <c r="D17" s="198" t="s">
        <v>196</v>
      </c>
    </row>
    <row r="18" spans="2:4" ht="45">
      <c r="B18" s="196" t="s">
        <v>293</v>
      </c>
      <c r="C18" s="197">
        <v>25000</v>
      </c>
      <c r="D18" s="198" t="s">
        <v>196</v>
      </c>
    </row>
    <row r="19" spans="2:4" ht="45">
      <c r="B19" s="196" t="s">
        <v>294</v>
      </c>
      <c r="C19" s="198">
        <v>1</v>
      </c>
      <c r="D19" s="198" t="s">
        <v>296</v>
      </c>
    </row>
    <row r="20" spans="2:4" ht="45">
      <c r="B20" s="196" t="s">
        <v>295</v>
      </c>
      <c r="C20" s="198">
        <v>2</v>
      </c>
      <c r="D20" s="198" t="s">
        <v>296</v>
      </c>
    </row>
    <row r="21" spans="2:4">
      <c r="B21" s="196" t="s">
        <v>297</v>
      </c>
      <c r="C21" s="198">
        <v>0.13</v>
      </c>
      <c r="D21" s="198"/>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rgb="FFFFFF00"/>
  </sheetPr>
  <dimension ref="B1:I78"/>
  <sheetViews>
    <sheetView workbookViewId="0">
      <selection activeCell="E7" sqref="E7"/>
    </sheetView>
  </sheetViews>
  <sheetFormatPr defaultRowHeight="15"/>
  <cols>
    <col min="1" max="1" width="2.28515625" customWidth="1"/>
    <col min="2" max="2" width="25.140625" bestFit="1" customWidth="1"/>
    <col min="3" max="3" width="21.5703125" customWidth="1"/>
    <col min="4" max="4" width="17.140625" customWidth="1"/>
    <col min="5" max="5" width="23.42578125" customWidth="1"/>
    <col min="7" max="7" width="21.28515625" customWidth="1"/>
  </cols>
  <sheetData>
    <row r="1" spans="2:5" ht="15.75">
      <c r="D1" s="421" t="s">
        <v>536</v>
      </c>
    </row>
    <row r="2" spans="2:5">
      <c r="B2" t="s">
        <v>0</v>
      </c>
      <c r="C2" t="s">
        <v>2</v>
      </c>
    </row>
    <row r="3" spans="2:5">
      <c r="B3" t="s">
        <v>1</v>
      </c>
      <c r="C3" t="s">
        <v>42</v>
      </c>
    </row>
    <row r="4" spans="2:5" ht="15.75" thickBot="1"/>
    <row r="5" spans="2:5" ht="15.75" thickBot="1">
      <c r="B5" s="166" t="s">
        <v>3</v>
      </c>
      <c r="C5" s="547" t="s">
        <v>52</v>
      </c>
      <c r="D5" s="547"/>
      <c r="E5" s="555"/>
    </row>
    <row r="6" spans="2:5" ht="45">
      <c r="B6" s="556" t="s">
        <v>404</v>
      </c>
      <c r="C6" s="163" t="s">
        <v>43</v>
      </c>
      <c r="D6" s="163" t="s">
        <v>45</v>
      </c>
      <c r="E6" s="163" t="s">
        <v>47</v>
      </c>
    </row>
    <row r="7" spans="2:5">
      <c r="B7" s="557"/>
      <c r="C7" s="26" t="s">
        <v>44</v>
      </c>
      <c r="D7" s="26" t="s">
        <v>46</v>
      </c>
      <c r="E7" s="26" t="s">
        <v>559</v>
      </c>
    </row>
    <row r="8" spans="2:5">
      <c r="B8" s="557"/>
      <c r="C8" s="27"/>
      <c r="D8" s="27"/>
      <c r="E8" s="26" t="s">
        <v>48</v>
      </c>
    </row>
    <row r="9" spans="2:5">
      <c r="B9" s="557"/>
      <c r="C9" s="423" t="s">
        <v>49</v>
      </c>
      <c r="D9" s="423" t="s">
        <v>50</v>
      </c>
      <c r="E9" s="423" t="s">
        <v>51</v>
      </c>
    </row>
    <row r="10" spans="2:5">
      <c r="B10" s="269">
        <v>2003</v>
      </c>
      <c r="C10" s="427">
        <f>data!E115</f>
        <v>44001</v>
      </c>
      <c r="D10" s="274">
        <v>0.2</v>
      </c>
      <c r="E10" s="426">
        <f>(C10*D10)/1000</f>
        <v>8.8002000000000002</v>
      </c>
    </row>
    <row r="11" spans="2:5">
      <c r="B11" s="269">
        <v>2004</v>
      </c>
      <c r="C11" s="427">
        <f>data!E116</f>
        <v>79101</v>
      </c>
      <c r="D11" s="274">
        <v>0.2</v>
      </c>
      <c r="E11" s="426">
        <f t="shared" ref="E11:E37" si="0">(C11*D11)/1000</f>
        <v>15.820200000000002</v>
      </c>
    </row>
    <row r="12" spans="2:5">
      <c r="B12" s="269">
        <v>2005</v>
      </c>
      <c r="C12" s="427">
        <f>data!E117</f>
        <v>58305</v>
      </c>
      <c r="D12" s="274">
        <v>0.2</v>
      </c>
      <c r="E12" s="426">
        <f>(C12*D12)/1000</f>
        <v>11.661</v>
      </c>
    </row>
    <row r="13" spans="2:5">
      <c r="B13" s="269">
        <v>2006</v>
      </c>
      <c r="C13" s="427">
        <f>data!E118</f>
        <v>67180</v>
      </c>
      <c r="D13" s="274">
        <v>0.2</v>
      </c>
      <c r="E13" s="426">
        <f>(C13*D13)/1000</f>
        <v>13.436</v>
      </c>
    </row>
    <row r="14" spans="2:5">
      <c r="B14" s="269">
        <v>2007</v>
      </c>
      <c r="C14" s="427">
        <f>data!E119</f>
        <v>700348</v>
      </c>
      <c r="D14" s="274">
        <v>0.2</v>
      </c>
      <c r="E14" s="426">
        <f>(C14*D14)/1000</f>
        <v>140.06960000000001</v>
      </c>
    </row>
    <row r="15" spans="2:5">
      <c r="B15" s="424">
        <v>2008</v>
      </c>
      <c r="C15" s="427">
        <f>data!E120</f>
        <v>710169</v>
      </c>
      <c r="D15" s="274">
        <v>0.2</v>
      </c>
      <c r="E15" s="426">
        <f>(C15*D15)/1000</f>
        <v>142.03380000000001</v>
      </c>
    </row>
    <row r="16" spans="2:5">
      <c r="B16" s="424">
        <v>2009</v>
      </c>
      <c r="C16" s="427">
        <f>data!E121</f>
        <v>666921.85</v>
      </c>
      <c r="D16" s="274">
        <v>0.2</v>
      </c>
      <c r="E16" s="426">
        <f t="shared" si="0"/>
        <v>133.38436999999999</v>
      </c>
    </row>
    <row r="17" spans="2:5">
      <c r="B17" s="425">
        <v>2010</v>
      </c>
      <c r="C17" s="427">
        <f>data!E122</f>
        <v>676493</v>
      </c>
      <c r="D17" s="274">
        <v>0.2</v>
      </c>
      <c r="E17" s="426">
        <f t="shared" si="0"/>
        <v>135.29859999999999</v>
      </c>
    </row>
    <row r="18" spans="2:5">
      <c r="B18" s="425">
        <v>2011</v>
      </c>
      <c r="C18" s="427">
        <f>data!E123</f>
        <v>908201.66443562508</v>
      </c>
      <c r="D18" s="274">
        <v>0.2</v>
      </c>
      <c r="E18" s="426">
        <f>(C18*D18)/1000</f>
        <v>181.64033288712503</v>
      </c>
    </row>
    <row r="19" spans="2:5" ht="15.75" thickBot="1">
      <c r="B19" s="422">
        <v>2012</v>
      </c>
      <c r="C19" s="427">
        <f>data!E124</f>
        <v>1026424.6039438248</v>
      </c>
      <c r="D19" s="165">
        <v>0.2</v>
      </c>
      <c r="E19" s="426">
        <f t="shared" si="0"/>
        <v>205.28492078876496</v>
      </c>
    </row>
    <row r="20" spans="2:5" ht="15.75" thickBot="1">
      <c r="B20" s="422">
        <v>2013</v>
      </c>
      <c r="C20" s="427">
        <f>data!E125</f>
        <v>1144588.7991316319</v>
      </c>
      <c r="D20" s="165">
        <v>0.2</v>
      </c>
      <c r="E20" s="426">
        <f t="shared" si="0"/>
        <v>228.9177598263264</v>
      </c>
    </row>
    <row r="21" spans="2:5" ht="15.75" thickBot="1">
      <c r="B21" s="422">
        <v>2014</v>
      </c>
      <c r="C21" s="427">
        <f>data!E126</f>
        <v>1262694.3083498478</v>
      </c>
      <c r="D21" s="165">
        <v>0.2</v>
      </c>
      <c r="E21" s="426">
        <f>(C21*D21)/1000</f>
        <v>252.53886166996958</v>
      </c>
    </row>
    <row r="22" spans="2:5" ht="15.75" thickBot="1">
      <c r="B22" s="422">
        <v>2015</v>
      </c>
      <c r="C22" s="427">
        <f>data!E127</f>
        <v>1380741.1898617744</v>
      </c>
      <c r="D22" s="165">
        <v>0.2</v>
      </c>
      <c r="E22" s="426">
        <f t="shared" si="0"/>
        <v>276.14823797235493</v>
      </c>
    </row>
    <row r="23" spans="2:5" ht="15.75" thickBot="1">
      <c r="B23" s="422">
        <v>2016</v>
      </c>
      <c r="C23" s="427">
        <f>data!E128</f>
        <v>1498729.5018446445</v>
      </c>
      <c r="D23" s="165">
        <v>0.2</v>
      </c>
      <c r="E23" s="426">
        <f t="shared" si="0"/>
        <v>299.74590036892891</v>
      </c>
    </row>
    <row r="24" spans="2:5" ht="15.75" thickBot="1">
      <c r="B24" s="422">
        <v>2017</v>
      </c>
      <c r="C24" s="427">
        <f>data!E129</f>
        <v>1616659.3023881912</v>
      </c>
      <c r="D24" s="165">
        <v>0.2</v>
      </c>
      <c r="E24" s="426">
        <f t="shared" si="0"/>
        <v>323.33186047763826</v>
      </c>
    </row>
    <row r="25" spans="2:5" ht="15.75" thickBot="1">
      <c r="B25" s="422">
        <v>2018</v>
      </c>
      <c r="C25" s="427">
        <f>data!E130</f>
        <v>1734530.6494967937</v>
      </c>
      <c r="D25" s="165">
        <v>0.2</v>
      </c>
      <c r="E25" s="426">
        <f t="shared" si="0"/>
        <v>346.9061298993588</v>
      </c>
    </row>
    <row r="26" spans="2:5" ht="15.75" thickBot="1">
      <c r="B26" s="422">
        <v>2019</v>
      </c>
      <c r="C26" s="427">
        <f>data!E131</f>
        <v>1852343.601088047</v>
      </c>
      <c r="D26" s="165">
        <v>0.2</v>
      </c>
      <c r="E26" s="426">
        <f t="shared" si="0"/>
        <v>370.46872021760942</v>
      </c>
    </row>
    <row r="27" spans="2:5" ht="15.75" thickBot="1">
      <c r="B27" s="422">
        <v>2020</v>
      </c>
      <c r="C27" s="427">
        <f>data!E132</f>
        <v>1970098.214993</v>
      </c>
      <c r="D27" s="165">
        <v>0.2</v>
      </c>
      <c r="E27" s="426">
        <f t="shared" si="0"/>
        <v>394.01964299860003</v>
      </c>
    </row>
    <row r="28" spans="2:5" ht="15.75" thickBot="1">
      <c r="B28" s="422">
        <v>2021</v>
      </c>
      <c r="C28" s="427">
        <f>data!E133</f>
        <v>2087794.54895854</v>
      </c>
      <c r="D28" s="165">
        <v>0.2</v>
      </c>
      <c r="E28" s="426">
        <f t="shared" si="0"/>
        <v>417.558909791708</v>
      </c>
    </row>
    <row r="29" spans="2:5" ht="15.75" thickBot="1">
      <c r="B29" s="422">
        <v>2022</v>
      </c>
      <c r="C29" s="427">
        <f>data!E134</f>
        <v>2205432.6606440544</v>
      </c>
      <c r="D29" s="165">
        <v>0.2</v>
      </c>
      <c r="E29" s="426">
        <f t="shared" si="0"/>
        <v>441.08653212881086</v>
      </c>
    </row>
    <row r="30" spans="2:5" ht="15.75" thickBot="1">
      <c r="B30" s="422">
        <v>2023</v>
      </c>
      <c r="C30" s="427">
        <f>data!E135</f>
        <v>2323012.6076242924</v>
      </c>
      <c r="D30" s="165">
        <v>0.2</v>
      </c>
      <c r="E30" s="426">
        <f t="shared" si="0"/>
        <v>464.6025215248585</v>
      </c>
    </row>
    <row r="31" spans="2:5" ht="15.75" thickBot="1">
      <c r="B31" s="422">
        <v>2024</v>
      </c>
      <c r="C31" s="427">
        <f>data!E136</f>
        <v>2440534.4473884106</v>
      </c>
      <c r="D31" s="165">
        <v>0.2</v>
      </c>
      <c r="E31" s="426">
        <f t="shared" si="0"/>
        <v>488.1068894776821</v>
      </c>
    </row>
    <row r="32" spans="2:5" ht="15.75" thickBot="1">
      <c r="B32" s="422">
        <v>2025</v>
      </c>
      <c r="C32" s="427">
        <f>data!E137</f>
        <v>2557998.2373402119</v>
      </c>
      <c r="D32" s="165">
        <v>0.2</v>
      </c>
      <c r="E32" s="426">
        <f t="shared" si="0"/>
        <v>511.59964746804241</v>
      </c>
    </row>
    <row r="33" spans="2:9" ht="15.75" thickBot="1">
      <c r="B33" s="422">
        <v>2026</v>
      </c>
      <c r="C33" s="427">
        <f>data!E138</f>
        <v>2675404.0347993374</v>
      </c>
      <c r="D33" s="165">
        <v>0.2</v>
      </c>
      <c r="E33" s="426">
        <f t="shared" si="0"/>
        <v>535.08080695986746</v>
      </c>
    </row>
    <row r="34" spans="2:9" ht="15.75" thickBot="1">
      <c r="B34" s="422">
        <v>2027</v>
      </c>
      <c r="C34" s="427">
        <f>data!E139</f>
        <v>2792751.8969991207</v>
      </c>
      <c r="D34" s="165">
        <v>0.2</v>
      </c>
      <c r="E34" s="426">
        <f t="shared" si="0"/>
        <v>558.55037939982424</v>
      </c>
    </row>
    <row r="35" spans="2:9" ht="15.75" thickBot="1">
      <c r="B35" s="422">
        <v>2028</v>
      </c>
      <c r="C35" s="427">
        <f>data!E140</f>
        <v>2910041.8810896873</v>
      </c>
      <c r="D35" s="165">
        <v>0.2</v>
      </c>
      <c r="E35" s="426">
        <f t="shared" si="0"/>
        <v>582.00837621793744</v>
      </c>
    </row>
    <row r="36" spans="2:9" ht="15.75" thickBot="1">
      <c r="B36" s="422">
        <v>2029</v>
      </c>
      <c r="C36" s="427">
        <f>data!E141</f>
        <v>3027274.0441358089</v>
      </c>
      <c r="D36" s="165">
        <v>0.2</v>
      </c>
      <c r="E36" s="426">
        <f t="shared" si="0"/>
        <v>605.45480882716174</v>
      </c>
    </row>
    <row r="37" spans="2:9" ht="15.75" thickBot="1">
      <c r="B37" s="422">
        <v>2030</v>
      </c>
      <c r="C37" s="427">
        <f>data!E142</f>
        <v>3144448.443117857</v>
      </c>
      <c r="D37" s="165">
        <v>0.2</v>
      </c>
      <c r="E37" s="426">
        <f t="shared" si="0"/>
        <v>628.88968862357137</v>
      </c>
    </row>
    <row r="38" spans="2:9" ht="15.75" thickBot="1">
      <c r="B38" s="4" t="s">
        <v>22</v>
      </c>
      <c r="C38" s="4"/>
      <c r="D38" s="4"/>
      <c r="E38" s="426">
        <f>SUM(E10:E37)</f>
        <v>8712.4446975261399</v>
      </c>
    </row>
    <row r="41" spans="2:9">
      <c r="B41" t="s">
        <v>299</v>
      </c>
      <c r="E41" t="s">
        <v>302</v>
      </c>
      <c r="G41" t="s">
        <v>304</v>
      </c>
    </row>
    <row r="42" spans="2:9">
      <c r="B42" s="16" t="s">
        <v>300</v>
      </c>
      <c r="C42" s="162">
        <v>225000</v>
      </c>
      <c r="D42" t="s">
        <v>196</v>
      </c>
      <c r="E42">
        <v>200</v>
      </c>
      <c r="F42" t="s">
        <v>303</v>
      </c>
      <c r="G42" s="162">
        <f>C42*E42*10^-3</f>
        <v>45000</v>
      </c>
    </row>
    <row r="43" spans="2:9">
      <c r="B43" s="16" t="s">
        <v>301</v>
      </c>
      <c r="C43" s="162"/>
      <c r="F43" t="s">
        <v>303</v>
      </c>
      <c r="G43" s="162">
        <f>C43*E44*10^-3</f>
        <v>0</v>
      </c>
      <c r="I43" s="164"/>
    </row>
    <row r="44" spans="2:9">
      <c r="B44" s="16" t="s">
        <v>298</v>
      </c>
      <c r="C44" s="162">
        <v>15000</v>
      </c>
      <c r="D44" t="s">
        <v>196</v>
      </c>
      <c r="E44">
        <v>300</v>
      </c>
      <c r="G44" s="162">
        <f>C44*E44*10^-3</f>
        <v>4500</v>
      </c>
    </row>
    <row r="45" spans="2:9" ht="46.5" customHeight="1">
      <c r="B45" s="16" t="s">
        <v>353</v>
      </c>
      <c r="C45" s="162">
        <v>10000</v>
      </c>
      <c r="D45" t="s">
        <v>196</v>
      </c>
      <c r="G45" s="162">
        <f>(C45*E44*10^-3)*40%</f>
        <v>1200</v>
      </c>
    </row>
    <row r="46" spans="2:9" ht="48" customHeight="1">
      <c r="B46" s="16" t="s">
        <v>354</v>
      </c>
      <c r="C46" s="162">
        <v>12000</v>
      </c>
      <c r="D46" t="s">
        <v>196</v>
      </c>
      <c r="E46">
        <v>160</v>
      </c>
      <c r="F46" t="s">
        <v>303</v>
      </c>
      <c r="G46" s="162">
        <f>(C46*E46*10^-3)*20%</f>
        <v>384</v>
      </c>
    </row>
    <row r="47" spans="2:9" ht="45">
      <c r="B47" s="16" t="s">
        <v>355</v>
      </c>
      <c r="C47" s="162">
        <v>15000</v>
      </c>
      <c r="D47" t="s">
        <v>196</v>
      </c>
      <c r="E47">
        <v>222</v>
      </c>
      <c r="F47" t="s">
        <v>303</v>
      </c>
      <c r="G47" s="162">
        <f>(C47*E47*10^-3)*80%</f>
        <v>2664</v>
      </c>
    </row>
    <row r="48" spans="2:9">
      <c r="G48" s="164"/>
    </row>
    <row r="49" spans="2:3" ht="15.75" thickBot="1"/>
    <row r="50" spans="2:3" ht="15.75" thickBot="1">
      <c r="B50" s="264" t="s">
        <v>404</v>
      </c>
      <c r="C50" s="265" t="s">
        <v>423</v>
      </c>
    </row>
    <row r="51" spans="2:3" ht="15.75" thickBot="1">
      <c r="B51" s="266">
        <v>2003</v>
      </c>
      <c r="C51" s="267">
        <v>782850</v>
      </c>
    </row>
    <row r="52" spans="2:3" ht="15.75" thickBot="1">
      <c r="B52" s="266">
        <v>2004</v>
      </c>
      <c r="C52" s="267">
        <v>749000</v>
      </c>
    </row>
    <row r="53" spans="2:3" ht="15.75" thickBot="1">
      <c r="B53" s="266">
        <v>2005</v>
      </c>
      <c r="C53" s="267">
        <v>677140</v>
      </c>
    </row>
    <row r="54" spans="2:3" ht="15.75" thickBot="1">
      <c r="B54" s="266">
        <v>2006</v>
      </c>
      <c r="C54" s="267">
        <v>709310</v>
      </c>
    </row>
    <row r="55" spans="2:3" ht="15.75" thickBot="1">
      <c r="B55" s="266">
        <v>2007</v>
      </c>
      <c r="C55" s="267">
        <v>700350</v>
      </c>
    </row>
    <row r="56" spans="2:3" ht="15.75" thickBot="1">
      <c r="B56" s="266">
        <v>2008</v>
      </c>
      <c r="C56" s="267">
        <v>665100</v>
      </c>
    </row>
    <row r="57" spans="2:3" ht="15.75" thickBot="1">
      <c r="B57" s="266">
        <v>2009</v>
      </c>
      <c r="C57" s="267">
        <v>646920</v>
      </c>
    </row>
    <row r="58" spans="2:3" ht="15.75" thickBot="1">
      <c r="B58" s="266">
        <v>2010</v>
      </c>
      <c r="C58" s="267">
        <v>629230</v>
      </c>
    </row>
    <row r="59" spans="2:3" ht="15.75" thickBot="1">
      <c r="B59" s="266">
        <v>2011</v>
      </c>
      <c r="C59" s="267">
        <v>612030</v>
      </c>
    </row>
    <row r="60" spans="2:3" ht="15.75" thickBot="1">
      <c r="B60" s="266">
        <v>2012</v>
      </c>
      <c r="C60" s="267">
        <v>595300</v>
      </c>
    </row>
    <row r="61" spans="2:3" ht="15.75" thickBot="1">
      <c r="B61" s="266">
        <v>2013</v>
      </c>
      <c r="C61" s="268">
        <v>579030</v>
      </c>
    </row>
    <row r="62" spans="2:3" ht="15.75" thickBot="1">
      <c r="B62" s="266">
        <v>2014</v>
      </c>
      <c r="C62" s="268">
        <v>563200</v>
      </c>
    </row>
    <row r="63" spans="2:3" ht="15.75" thickBot="1">
      <c r="B63" s="266">
        <v>2015</v>
      </c>
      <c r="C63" s="268">
        <v>547800</v>
      </c>
    </row>
    <row r="64" spans="2:3" ht="15.75" thickBot="1">
      <c r="B64" s="266">
        <v>2016</v>
      </c>
      <c r="C64" s="268">
        <v>532830</v>
      </c>
    </row>
    <row r="65" spans="2:6" ht="15.75" thickBot="1">
      <c r="B65" s="266">
        <v>2017</v>
      </c>
      <c r="C65" s="268">
        <v>518260</v>
      </c>
    </row>
    <row r="66" spans="2:6" ht="15.75" thickBot="1">
      <c r="B66" s="266">
        <v>2018</v>
      </c>
      <c r="C66" s="268">
        <v>504100</v>
      </c>
    </row>
    <row r="67" spans="2:6" ht="15.75" thickBot="1">
      <c r="B67" s="266">
        <v>2019</v>
      </c>
      <c r="C67" s="268">
        <v>490320</v>
      </c>
    </row>
    <row r="68" spans="2:6" ht="15.75" thickBot="1">
      <c r="B68" s="266">
        <v>2020</v>
      </c>
      <c r="C68" s="268">
        <v>476910</v>
      </c>
    </row>
    <row r="73" spans="2:6" ht="15.75">
      <c r="D73" s="284"/>
      <c r="E73" s="284"/>
      <c r="F73" s="284"/>
    </row>
    <row r="74" spans="2:6" ht="15.75">
      <c r="D74" s="285"/>
      <c r="E74" s="285"/>
      <c r="F74" s="285"/>
    </row>
    <row r="75" spans="2:6" ht="15.75">
      <c r="D75" s="285"/>
      <c r="E75" s="285"/>
      <c r="F75" s="285"/>
    </row>
    <row r="76" spans="2:6" ht="15.75">
      <c r="D76" s="285"/>
      <c r="E76" s="285"/>
      <c r="F76" s="285"/>
    </row>
    <row r="77" spans="2:6" ht="15.75">
      <c r="D77" s="285"/>
      <c r="E77" s="285"/>
      <c r="F77" s="285"/>
    </row>
    <row r="78" spans="2:6" ht="15.75">
      <c r="D78" s="285"/>
      <c r="E78" s="285"/>
      <c r="F78" s="285"/>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sheetPr>
    <tabColor rgb="FFFFFF00"/>
  </sheetPr>
  <dimension ref="A1:P203"/>
  <sheetViews>
    <sheetView topLeftCell="A109" zoomScale="70" zoomScaleNormal="70" workbookViewId="0">
      <selection activeCell="K130" sqref="K130"/>
    </sheetView>
  </sheetViews>
  <sheetFormatPr defaultColWidth="11.42578125" defaultRowHeight="12.75"/>
  <cols>
    <col min="1" max="1" width="16.7109375" style="218" customWidth="1"/>
    <col min="2" max="3" width="16.7109375" style="203" customWidth="1"/>
    <col min="4" max="4" width="17.42578125" style="213" bestFit="1" customWidth="1"/>
    <col min="5" max="5" width="16.7109375" style="203" customWidth="1"/>
    <col min="6" max="6" width="10.140625" style="203" customWidth="1"/>
    <col min="7" max="7" width="16.7109375" style="203" customWidth="1"/>
    <col min="8" max="8" width="17.7109375" style="203" customWidth="1"/>
    <col min="9" max="10" width="11.42578125" style="203"/>
    <col min="11" max="11" width="16.42578125" style="203" customWidth="1"/>
    <col min="12" max="12" width="26.28515625" style="203" customWidth="1"/>
    <col min="13" max="13" width="11.42578125" style="203"/>
    <col min="14" max="14" width="15.5703125" style="203" customWidth="1"/>
    <col min="15" max="250" width="11.42578125" style="203"/>
    <col min="251" max="253" width="16.7109375" style="203" customWidth="1"/>
    <col min="254" max="254" width="17.42578125" style="203" bestFit="1" customWidth="1"/>
    <col min="255" max="257" width="16.7109375" style="203" customWidth="1"/>
    <col min="258" max="506" width="11.42578125" style="203"/>
    <col min="507" max="509" width="16.7109375" style="203" customWidth="1"/>
    <col min="510" max="510" width="17.42578125" style="203" bestFit="1" customWidth="1"/>
    <col min="511" max="513" width="16.7109375" style="203" customWidth="1"/>
    <col min="514" max="762" width="11.42578125" style="203"/>
    <col min="763" max="765" width="16.7109375" style="203" customWidth="1"/>
    <col min="766" max="766" width="17.42578125" style="203" bestFit="1" customWidth="1"/>
    <col min="767" max="769" width="16.7109375" style="203" customWidth="1"/>
    <col min="770" max="1018" width="11.42578125" style="203"/>
    <col min="1019" max="1021" width="16.7109375" style="203" customWidth="1"/>
    <col min="1022" max="1022" width="17.42578125" style="203" bestFit="1" customWidth="1"/>
    <col min="1023" max="1025" width="16.7109375" style="203" customWidth="1"/>
    <col min="1026" max="1274" width="11.42578125" style="203"/>
    <col min="1275" max="1277" width="16.7109375" style="203" customWidth="1"/>
    <col min="1278" max="1278" width="17.42578125" style="203" bestFit="1" customWidth="1"/>
    <col min="1279" max="1281" width="16.7109375" style="203" customWidth="1"/>
    <col min="1282" max="1530" width="11.42578125" style="203"/>
    <col min="1531" max="1533" width="16.7109375" style="203" customWidth="1"/>
    <col min="1534" max="1534" width="17.42578125" style="203" bestFit="1" customWidth="1"/>
    <col min="1535" max="1537" width="16.7109375" style="203" customWidth="1"/>
    <col min="1538" max="1786" width="11.42578125" style="203"/>
    <col min="1787" max="1789" width="16.7109375" style="203" customWidth="1"/>
    <col min="1790" max="1790" width="17.42578125" style="203" bestFit="1" customWidth="1"/>
    <col min="1791" max="1793" width="16.7109375" style="203" customWidth="1"/>
    <col min="1794" max="2042" width="11.42578125" style="203"/>
    <col min="2043" max="2045" width="16.7109375" style="203" customWidth="1"/>
    <col min="2046" max="2046" width="17.42578125" style="203" bestFit="1" customWidth="1"/>
    <col min="2047" max="2049" width="16.7109375" style="203" customWidth="1"/>
    <col min="2050" max="2298" width="11.42578125" style="203"/>
    <col min="2299" max="2301" width="16.7109375" style="203" customWidth="1"/>
    <col min="2302" max="2302" width="17.42578125" style="203" bestFit="1" customWidth="1"/>
    <col min="2303" max="2305" width="16.7109375" style="203" customWidth="1"/>
    <col min="2306" max="2554" width="11.42578125" style="203"/>
    <col min="2555" max="2557" width="16.7109375" style="203" customWidth="1"/>
    <col min="2558" max="2558" width="17.42578125" style="203" bestFit="1" customWidth="1"/>
    <col min="2559" max="2561" width="16.7109375" style="203" customWidth="1"/>
    <col min="2562" max="2810" width="11.42578125" style="203"/>
    <col min="2811" max="2813" width="16.7109375" style="203" customWidth="1"/>
    <col min="2814" max="2814" width="17.42578125" style="203" bestFit="1" customWidth="1"/>
    <col min="2815" max="2817" width="16.7109375" style="203" customWidth="1"/>
    <col min="2818" max="3066" width="11.42578125" style="203"/>
    <col min="3067" max="3069" width="16.7109375" style="203" customWidth="1"/>
    <col min="3070" max="3070" width="17.42578125" style="203" bestFit="1" customWidth="1"/>
    <col min="3071" max="3073" width="16.7109375" style="203" customWidth="1"/>
    <col min="3074" max="3322" width="11.42578125" style="203"/>
    <col min="3323" max="3325" width="16.7109375" style="203" customWidth="1"/>
    <col min="3326" max="3326" width="17.42578125" style="203" bestFit="1" customWidth="1"/>
    <col min="3327" max="3329" width="16.7109375" style="203" customWidth="1"/>
    <col min="3330" max="3578" width="11.42578125" style="203"/>
    <col min="3579" max="3581" width="16.7109375" style="203" customWidth="1"/>
    <col min="3582" max="3582" width="17.42578125" style="203" bestFit="1" customWidth="1"/>
    <col min="3583" max="3585" width="16.7109375" style="203" customWidth="1"/>
    <col min="3586" max="3834" width="11.42578125" style="203"/>
    <col min="3835" max="3837" width="16.7109375" style="203" customWidth="1"/>
    <col min="3838" max="3838" width="17.42578125" style="203" bestFit="1" customWidth="1"/>
    <col min="3839" max="3841" width="16.7109375" style="203" customWidth="1"/>
    <col min="3842" max="4090" width="11.42578125" style="203"/>
    <col min="4091" max="4093" width="16.7109375" style="203" customWidth="1"/>
    <col min="4094" max="4094" width="17.42578125" style="203" bestFit="1" customWidth="1"/>
    <col min="4095" max="4097" width="16.7109375" style="203" customWidth="1"/>
    <col min="4098" max="4346" width="11.42578125" style="203"/>
    <col min="4347" max="4349" width="16.7109375" style="203" customWidth="1"/>
    <col min="4350" max="4350" width="17.42578125" style="203" bestFit="1" customWidth="1"/>
    <col min="4351" max="4353" width="16.7109375" style="203" customWidth="1"/>
    <col min="4354" max="4602" width="11.42578125" style="203"/>
    <col min="4603" max="4605" width="16.7109375" style="203" customWidth="1"/>
    <col min="4606" max="4606" width="17.42578125" style="203" bestFit="1" customWidth="1"/>
    <col min="4607" max="4609" width="16.7109375" style="203" customWidth="1"/>
    <col min="4610" max="4858" width="11.42578125" style="203"/>
    <col min="4859" max="4861" width="16.7109375" style="203" customWidth="1"/>
    <col min="4862" max="4862" width="17.42578125" style="203" bestFit="1" customWidth="1"/>
    <col min="4863" max="4865" width="16.7109375" style="203" customWidth="1"/>
    <col min="4866" max="5114" width="11.42578125" style="203"/>
    <col min="5115" max="5117" width="16.7109375" style="203" customWidth="1"/>
    <col min="5118" max="5118" width="17.42578125" style="203" bestFit="1" customWidth="1"/>
    <col min="5119" max="5121" width="16.7109375" style="203" customWidth="1"/>
    <col min="5122" max="5370" width="11.42578125" style="203"/>
    <col min="5371" max="5373" width="16.7109375" style="203" customWidth="1"/>
    <col min="5374" max="5374" width="17.42578125" style="203" bestFit="1" customWidth="1"/>
    <col min="5375" max="5377" width="16.7109375" style="203" customWidth="1"/>
    <col min="5378" max="5626" width="11.42578125" style="203"/>
    <col min="5627" max="5629" width="16.7109375" style="203" customWidth="1"/>
    <col min="5630" max="5630" width="17.42578125" style="203" bestFit="1" customWidth="1"/>
    <col min="5631" max="5633" width="16.7109375" style="203" customWidth="1"/>
    <col min="5634" max="5882" width="11.42578125" style="203"/>
    <col min="5883" max="5885" width="16.7109375" style="203" customWidth="1"/>
    <col min="5886" max="5886" width="17.42578125" style="203" bestFit="1" customWidth="1"/>
    <col min="5887" max="5889" width="16.7109375" style="203" customWidth="1"/>
    <col min="5890" max="6138" width="11.42578125" style="203"/>
    <col min="6139" max="6141" width="16.7109375" style="203" customWidth="1"/>
    <col min="6142" max="6142" width="17.42578125" style="203" bestFit="1" customWidth="1"/>
    <col min="6143" max="6145" width="16.7109375" style="203" customWidth="1"/>
    <col min="6146" max="6394" width="11.42578125" style="203"/>
    <col min="6395" max="6397" width="16.7109375" style="203" customWidth="1"/>
    <col min="6398" max="6398" width="17.42578125" style="203" bestFit="1" customWidth="1"/>
    <col min="6399" max="6401" width="16.7109375" style="203" customWidth="1"/>
    <col min="6402" max="6650" width="11.42578125" style="203"/>
    <col min="6651" max="6653" width="16.7109375" style="203" customWidth="1"/>
    <col min="6654" max="6654" width="17.42578125" style="203" bestFit="1" customWidth="1"/>
    <col min="6655" max="6657" width="16.7109375" style="203" customWidth="1"/>
    <col min="6658" max="6906" width="11.42578125" style="203"/>
    <col min="6907" max="6909" width="16.7109375" style="203" customWidth="1"/>
    <col min="6910" max="6910" width="17.42578125" style="203" bestFit="1" customWidth="1"/>
    <col min="6911" max="6913" width="16.7109375" style="203" customWidth="1"/>
    <col min="6914" max="7162" width="11.42578125" style="203"/>
    <col min="7163" max="7165" width="16.7109375" style="203" customWidth="1"/>
    <col min="7166" max="7166" width="17.42578125" style="203" bestFit="1" customWidth="1"/>
    <col min="7167" max="7169" width="16.7109375" style="203" customWidth="1"/>
    <col min="7170" max="7418" width="11.42578125" style="203"/>
    <col min="7419" max="7421" width="16.7109375" style="203" customWidth="1"/>
    <col min="7422" max="7422" width="17.42578125" style="203" bestFit="1" customWidth="1"/>
    <col min="7423" max="7425" width="16.7109375" style="203" customWidth="1"/>
    <col min="7426" max="7674" width="11.42578125" style="203"/>
    <col min="7675" max="7677" width="16.7109375" style="203" customWidth="1"/>
    <col min="7678" max="7678" width="17.42578125" style="203" bestFit="1" customWidth="1"/>
    <col min="7679" max="7681" width="16.7109375" style="203" customWidth="1"/>
    <col min="7682" max="7930" width="11.42578125" style="203"/>
    <col min="7931" max="7933" width="16.7109375" style="203" customWidth="1"/>
    <col min="7934" max="7934" width="17.42578125" style="203" bestFit="1" customWidth="1"/>
    <col min="7935" max="7937" width="16.7109375" style="203" customWidth="1"/>
    <col min="7938" max="8186" width="11.42578125" style="203"/>
    <col min="8187" max="8189" width="16.7109375" style="203" customWidth="1"/>
    <col min="8190" max="8190" width="17.42578125" style="203" bestFit="1" customWidth="1"/>
    <col min="8191" max="8193" width="16.7109375" style="203" customWidth="1"/>
    <col min="8194" max="8442" width="11.42578125" style="203"/>
    <col min="8443" max="8445" width="16.7109375" style="203" customWidth="1"/>
    <col min="8446" max="8446" width="17.42578125" style="203" bestFit="1" customWidth="1"/>
    <col min="8447" max="8449" width="16.7109375" style="203" customWidth="1"/>
    <col min="8450" max="8698" width="11.42578125" style="203"/>
    <col min="8699" max="8701" width="16.7109375" style="203" customWidth="1"/>
    <col min="8702" max="8702" width="17.42578125" style="203" bestFit="1" customWidth="1"/>
    <col min="8703" max="8705" width="16.7109375" style="203" customWidth="1"/>
    <col min="8706" max="8954" width="11.42578125" style="203"/>
    <col min="8955" max="8957" width="16.7109375" style="203" customWidth="1"/>
    <col min="8958" max="8958" width="17.42578125" style="203" bestFit="1" customWidth="1"/>
    <col min="8959" max="8961" width="16.7109375" style="203" customWidth="1"/>
    <col min="8962" max="9210" width="11.42578125" style="203"/>
    <col min="9211" max="9213" width="16.7109375" style="203" customWidth="1"/>
    <col min="9214" max="9214" width="17.42578125" style="203" bestFit="1" customWidth="1"/>
    <col min="9215" max="9217" width="16.7109375" style="203" customWidth="1"/>
    <col min="9218" max="9466" width="11.42578125" style="203"/>
    <col min="9467" max="9469" width="16.7109375" style="203" customWidth="1"/>
    <col min="9470" max="9470" width="17.42578125" style="203" bestFit="1" customWidth="1"/>
    <col min="9471" max="9473" width="16.7109375" style="203" customWidth="1"/>
    <col min="9474" max="9722" width="11.42578125" style="203"/>
    <col min="9723" max="9725" width="16.7109375" style="203" customWidth="1"/>
    <col min="9726" max="9726" width="17.42578125" style="203" bestFit="1" customWidth="1"/>
    <col min="9727" max="9729" width="16.7109375" style="203" customWidth="1"/>
    <col min="9730" max="9978" width="11.42578125" style="203"/>
    <col min="9979" max="9981" width="16.7109375" style="203" customWidth="1"/>
    <col min="9982" max="9982" width="17.42578125" style="203" bestFit="1" customWidth="1"/>
    <col min="9983" max="9985" width="16.7109375" style="203" customWidth="1"/>
    <col min="9986" max="10234" width="11.42578125" style="203"/>
    <col min="10235" max="10237" width="16.7109375" style="203" customWidth="1"/>
    <col min="10238" max="10238" width="17.42578125" style="203" bestFit="1" customWidth="1"/>
    <col min="10239" max="10241" width="16.7109375" style="203" customWidth="1"/>
    <col min="10242" max="10490" width="11.42578125" style="203"/>
    <col min="10491" max="10493" width="16.7109375" style="203" customWidth="1"/>
    <col min="10494" max="10494" width="17.42578125" style="203" bestFit="1" customWidth="1"/>
    <col min="10495" max="10497" width="16.7109375" style="203" customWidth="1"/>
    <col min="10498" max="10746" width="11.42578125" style="203"/>
    <col min="10747" max="10749" width="16.7109375" style="203" customWidth="1"/>
    <col min="10750" max="10750" width="17.42578125" style="203" bestFit="1" customWidth="1"/>
    <col min="10751" max="10753" width="16.7109375" style="203" customWidth="1"/>
    <col min="10754" max="11002" width="11.42578125" style="203"/>
    <col min="11003" max="11005" width="16.7109375" style="203" customWidth="1"/>
    <col min="11006" max="11006" width="17.42578125" style="203" bestFit="1" customWidth="1"/>
    <col min="11007" max="11009" width="16.7109375" style="203" customWidth="1"/>
    <col min="11010" max="11258" width="11.42578125" style="203"/>
    <col min="11259" max="11261" width="16.7109375" style="203" customWidth="1"/>
    <col min="11262" max="11262" width="17.42578125" style="203" bestFit="1" customWidth="1"/>
    <col min="11263" max="11265" width="16.7109375" style="203" customWidth="1"/>
    <col min="11266" max="11514" width="11.42578125" style="203"/>
    <col min="11515" max="11517" width="16.7109375" style="203" customWidth="1"/>
    <col min="11518" max="11518" width="17.42578125" style="203" bestFit="1" customWidth="1"/>
    <col min="11519" max="11521" width="16.7109375" style="203" customWidth="1"/>
    <col min="11522" max="11770" width="11.42578125" style="203"/>
    <col min="11771" max="11773" width="16.7109375" style="203" customWidth="1"/>
    <col min="11774" max="11774" width="17.42578125" style="203" bestFit="1" customWidth="1"/>
    <col min="11775" max="11777" width="16.7109375" style="203" customWidth="1"/>
    <col min="11778" max="12026" width="11.42578125" style="203"/>
    <col min="12027" max="12029" width="16.7109375" style="203" customWidth="1"/>
    <col min="12030" max="12030" width="17.42578125" style="203" bestFit="1" customWidth="1"/>
    <col min="12031" max="12033" width="16.7109375" style="203" customWidth="1"/>
    <col min="12034" max="12282" width="11.42578125" style="203"/>
    <col min="12283" max="12285" width="16.7109375" style="203" customWidth="1"/>
    <col min="12286" max="12286" width="17.42578125" style="203" bestFit="1" customWidth="1"/>
    <col min="12287" max="12289" width="16.7109375" style="203" customWidth="1"/>
    <col min="12290" max="12538" width="11.42578125" style="203"/>
    <col min="12539" max="12541" width="16.7109375" style="203" customWidth="1"/>
    <col min="12542" max="12542" width="17.42578125" style="203" bestFit="1" customWidth="1"/>
    <col min="12543" max="12545" width="16.7109375" style="203" customWidth="1"/>
    <col min="12546" max="12794" width="11.42578125" style="203"/>
    <col min="12795" max="12797" width="16.7109375" style="203" customWidth="1"/>
    <col min="12798" max="12798" width="17.42578125" style="203" bestFit="1" customWidth="1"/>
    <col min="12799" max="12801" width="16.7109375" style="203" customWidth="1"/>
    <col min="12802" max="13050" width="11.42578125" style="203"/>
    <col min="13051" max="13053" width="16.7109375" style="203" customWidth="1"/>
    <col min="13054" max="13054" width="17.42578125" style="203" bestFit="1" customWidth="1"/>
    <col min="13055" max="13057" width="16.7109375" style="203" customWidth="1"/>
    <col min="13058" max="13306" width="11.42578125" style="203"/>
    <col min="13307" max="13309" width="16.7109375" style="203" customWidth="1"/>
    <col min="13310" max="13310" width="17.42578125" style="203" bestFit="1" customWidth="1"/>
    <col min="13311" max="13313" width="16.7109375" style="203" customWidth="1"/>
    <col min="13314" max="13562" width="11.42578125" style="203"/>
    <col min="13563" max="13565" width="16.7109375" style="203" customWidth="1"/>
    <col min="13566" max="13566" width="17.42578125" style="203" bestFit="1" customWidth="1"/>
    <col min="13567" max="13569" width="16.7109375" style="203" customWidth="1"/>
    <col min="13570" max="13818" width="11.42578125" style="203"/>
    <col min="13819" max="13821" width="16.7109375" style="203" customWidth="1"/>
    <col min="13822" max="13822" width="17.42578125" style="203" bestFit="1" customWidth="1"/>
    <col min="13823" max="13825" width="16.7109375" style="203" customWidth="1"/>
    <col min="13826" max="14074" width="11.42578125" style="203"/>
    <col min="14075" max="14077" width="16.7109375" style="203" customWidth="1"/>
    <col min="14078" max="14078" width="17.42578125" style="203" bestFit="1" customWidth="1"/>
    <col min="14079" max="14081" width="16.7109375" style="203" customWidth="1"/>
    <col min="14082" max="14330" width="11.42578125" style="203"/>
    <col min="14331" max="14333" width="16.7109375" style="203" customWidth="1"/>
    <col min="14334" max="14334" width="17.42578125" style="203" bestFit="1" customWidth="1"/>
    <col min="14335" max="14337" width="16.7109375" style="203" customWidth="1"/>
    <col min="14338" max="14586" width="11.42578125" style="203"/>
    <col min="14587" max="14589" width="16.7109375" style="203" customWidth="1"/>
    <col min="14590" max="14590" width="17.42578125" style="203" bestFit="1" customWidth="1"/>
    <col min="14591" max="14593" width="16.7109375" style="203" customWidth="1"/>
    <col min="14594" max="14842" width="11.42578125" style="203"/>
    <col min="14843" max="14845" width="16.7109375" style="203" customWidth="1"/>
    <col min="14846" max="14846" width="17.42578125" style="203" bestFit="1" customWidth="1"/>
    <col min="14847" max="14849" width="16.7109375" style="203" customWidth="1"/>
    <col min="14850" max="15098" width="11.42578125" style="203"/>
    <col min="15099" max="15101" width="16.7109375" style="203" customWidth="1"/>
    <col min="15102" max="15102" width="17.42578125" style="203" bestFit="1" customWidth="1"/>
    <col min="15103" max="15105" width="16.7109375" style="203" customWidth="1"/>
    <col min="15106" max="15354" width="11.42578125" style="203"/>
    <col min="15355" max="15357" width="16.7109375" style="203" customWidth="1"/>
    <col min="15358" max="15358" width="17.42578125" style="203" bestFit="1" customWidth="1"/>
    <col min="15359" max="15361" width="16.7109375" style="203" customWidth="1"/>
    <col min="15362" max="15610" width="11.42578125" style="203"/>
    <col min="15611" max="15613" width="16.7109375" style="203" customWidth="1"/>
    <col min="15614" max="15614" width="17.42578125" style="203" bestFit="1" customWidth="1"/>
    <col min="15615" max="15617" width="16.7109375" style="203" customWidth="1"/>
    <col min="15618" max="15866" width="11.42578125" style="203"/>
    <col min="15867" max="15869" width="16.7109375" style="203" customWidth="1"/>
    <col min="15870" max="15870" width="17.42578125" style="203" bestFit="1" customWidth="1"/>
    <col min="15871" max="15873" width="16.7109375" style="203" customWidth="1"/>
    <col min="15874" max="16122" width="11.42578125" style="203"/>
    <col min="16123" max="16125" width="16.7109375" style="203" customWidth="1"/>
    <col min="16126" max="16126" width="17.42578125" style="203" bestFit="1" customWidth="1"/>
    <col min="16127" max="16129" width="16.7109375" style="203" customWidth="1"/>
    <col min="16130" max="16384" width="11.42578125" style="203"/>
  </cols>
  <sheetData>
    <row r="1" spans="1:12" ht="15.75">
      <c r="G1" s="421" t="s">
        <v>536</v>
      </c>
    </row>
    <row r="2" spans="1:12" ht="21.75" customHeight="1">
      <c r="A2" s="571" t="s">
        <v>458</v>
      </c>
      <c r="B2" s="571"/>
      <c r="C2" s="571"/>
      <c r="D2" s="571"/>
      <c r="E2" s="571"/>
      <c r="F2" s="571"/>
      <c r="G2" s="571"/>
    </row>
    <row r="4" spans="1:12">
      <c r="A4" s="582" t="s">
        <v>361</v>
      </c>
      <c r="B4" s="582"/>
      <c r="C4" s="583" t="s">
        <v>362</v>
      </c>
      <c r="D4" s="583"/>
      <c r="E4" s="583"/>
      <c r="F4" s="583"/>
      <c r="G4" s="583"/>
    </row>
    <row r="5" spans="1:12" ht="13.5" customHeight="1">
      <c r="A5" s="582" t="s">
        <v>363</v>
      </c>
      <c r="B5" s="582"/>
      <c r="C5" s="583" t="s">
        <v>364</v>
      </c>
      <c r="D5" s="583"/>
      <c r="E5" s="583"/>
      <c r="F5" s="583"/>
      <c r="G5" s="583"/>
    </row>
    <row r="6" spans="1:12">
      <c r="A6" s="582" t="s">
        <v>365</v>
      </c>
      <c r="B6" s="582"/>
      <c r="C6" s="583" t="s">
        <v>366</v>
      </c>
      <c r="D6" s="583"/>
      <c r="E6" s="583"/>
      <c r="F6" s="583"/>
      <c r="G6" s="583"/>
    </row>
    <row r="7" spans="1:12">
      <c r="A7" s="582" t="s">
        <v>367</v>
      </c>
      <c r="B7" s="582"/>
      <c r="C7" s="583" t="s">
        <v>368</v>
      </c>
      <c r="D7" s="583"/>
      <c r="E7" s="583"/>
      <c r="F7" s="583"/>
      <c r="G7" s="583"/>
    </row>
    <row r="8" spans="1:12">
      <c r="A8" s="586" t="s">
        <v>3</v>
      </c>
      <c r="B8" s="586"/>
      <c r="C8" s="587" t="s">
        <v>369</v>
      </c>
      <c r="D8" s="587"/>
      <c r="E8" s="587"/>
      <c r="F8" s="587"/>
      <c r="G8" s="587"/>
    </row>
    <row r="9" spans="1:12" ht="49.5">
      <c r="A9" s="579" t="s">
        <v>370</v>
      </c>
      <c r="B9" s="579"/>
      <c r="C9" s="588" t="s">
        <v>371</v>
      </c>
      <c r="D9" s="588"/>
      <c r="E9" s="588" t="s">
        <v>372</v>
      </c>
      <c r="F9" s="588"/>
      <c r="G9" s="204" t="s">
        <v>373</v>
      </c>
    </row>
    <row r="10" spans="1:12" ht="13.5" customHeight="1">
      <c r="A10" s="579"/>
      <c r="B10" s="579"/>
      <c r="C10" s="579" t="s">
        <v>374</v>
      </c>
      <c r="D10" s="579"/>
      <c r="E10" s="579" t="s">
        <v>375</v>
      </c>
      <c r="F10" s="581"/>
      <c r="G10" s="576" t="s">
        <v>376</v>
      </c>
      <c r="L10" s="589" t="s">
        <v>549</v>
      </c>
    </row>
    <row r="11" spans="1:12" ht="13.5" customHeight="1">
      <c r="A11" s="579"/>
      <c r="B11" s="579"/>
      <c r="C11" s="579"/>
      <c r="D11" s="579"/>
      <c r="E11" s="581"/>
      <c r="F11" s="581"/>
      <c r="G11" s="576"/>
      <c r="L11" s="589"/>
    </row>
    <row r="12" spans="1:12" ht="13.5">
      <c r="A12" s="579"/>
      <c r="B12" s="579"/>
      <c r="C12" s="579"/>
      <c r="D12" s="579"/>
      <c r="E12" s="579" t="s">
        <v>377</v>
      </c>
      <c r="F12" s="579"/>
      <c r="G12" s="205" t="s">
        <v>378</v>
      </c>
      <c r="H12" s="576" t="s">
        <v>547</v>
      </c>
      <c r="I12" s="576" t="s">
        <v>560</v>
      </c>
      <c r="L12" s="590"/>
    </row>
    <row r="13" spans="1:12" ht="13.5">
      <c r="A13" s="579"/>
      <c r="B13" s="579"/>
      <c r="C13" s="580" t="s">
        <v>379</v>
      </c>
      <c r="D13" s="580"/>
      <c r="E13" s="580" t="s">
        <v>50</v>
      </c>
      <c r="F13" s="580"/>
      <c r="G13" s="206" t="s">
        <v>380</v>
      </c>
      <c r="H13" s="576"/>
      <c r="I13" s="576"/>
      <c r="K13" s="326"/>
      <c r="L13" s="300" t="s">
        <v>459</v>
      </c>
    </row>
    <row r="14" spans="1:12" ht="52.5" customHeight="1">
      <c r="A14" s="565" t="s">
        <v>381</v>
      </c>
      <c r="B14" s="207" t="s">
        <v>382</v>
      </c>
      <c r="C14" s="565" t="s">
        <v>383</v>
      </c>
      <c r="D14" s="208"/>
      <c r="E14" s="565" t="s">
        <v>384</v>
      </c>
      <c r="F14" s="575">
        <v>0.01</v>
      </c>
      <c r="G14" s="209">
        <f>D14*$F$14</f>
        <v>0</v>
      </c>
      <c r="H14" s="436" t="s">
        <v>464</v>
      </c>
      <c r="K14" s="326" t="s">
        <v>456</v>
      </c>
      <c r="L14" s="300" t="s">
        <v>548</v>
      </c>
    </row>
    <row r="15" spans="1:12" ht="13.5" customHeight="1">
      <c r="A15" s="566"/>
      <c r="B15" s="318">
        <v>2006</v>
      </c>
      <c r="C15" s="566"/>
      <c r="D15" s="221">
        <v>13140500.353044545</v>
      </c>
      <c r="E15" s="566"/>
      <c r="F15" s="573"/>
      <c r="G15" s="434">
        <f>D15*$F$14</f>
        <v>131405.00353044545</v>
      </c>
      <c r="H15" s="437">
        <f>G15/1000000</f>
        <v>0.13140500353044546</v>
      </c>
      <c r="I15" s="469">
        <f>H15*310</f>
        <v>40.735551094438094</v>
      </c>
      <c r="K15" s="326">
        <f>B15</f>
        <v>2006</v>
      </c>
      <c r="L15" s="327">
        <f t="shared" ref="L15:L39" si="0">H15+H65</f>
        <v>0.19377560247131181</v>
      </c>
    </row>
    <row r="16" spans="1:12" ht="13.5" customHeight="1">
      <c r="A16" s="566"/>
      <c r="B16" s="318">
        <v>2007</v>
      </c>
      <c r="C16" s="566"/>
      <c r="D16" s="221">
        <v>128486874.27199012</v>
      </c>
      <c r="E16" s="566"/>
      <c r="F16" s="573"/>
      <c r="G16" s="434">
        <f t="shared" ref="G16:G39" si="1">D16*$F$14</f>
        <v>1284868.7427199013</v>
      </c>
      <c r="H16" s="437">
        <f t="shared" ref="H16:H39" si="2">G16/1000000</f>
        <v>1.2848687427199013</v>
      </c>
      <c r="I16" s="469">
        <f t="shared" ref="I16:I39" si="3">H16*310</f>
        <v>398.30931024316936</v>
      </c>
      <c r="K16" s="326">
        <v>2007</v>
      </c>
      <c r="L16" s="327">
        <f t="shared" si="0"/>
        <v>1.9092931099039312</v>
      </c>
    </row>
    <row r="17" spans="1:12" ht="13.5" customHeight="1">
      <c r="A17" s="566"/>
      <c r="B17" s="318">
        <v>2008</v>
      </c>
      <c r="C17" s="566"/>
      <c r="D17" s="221">
        <v>135913136.8665204</v>
      </c>
      <c r="E17" s="566"/>
      <c r="F17" s="573"/>
      <c r="G17" s="434">
        <f t="shared" si="1"/>
        <v>1359131.3686652042</v>
      </c>
      <c r="H17" s="437">
        <f t="shared" si="2"/>
        <v>1.3591313686652042</v>
      </c>
      <c r="I17" s="469">
        <f t="shared" si="3"/>
        <v>421.3307242862133</v>
      </c>
      <c r="K17" s="326">
        <f>B17</f>
        <v>2008</v>
      </c>
      <c r="L17" s="327">
        <f t="shared" si="0"/>
        <v>2.0437142180656429</v>
      </c>
    </row>
    <row r="18" spans="1:12" ht="13.5" customHeight="1">
      <c r="A18" s="566"/>
      <c r="B18" s="318">
        <v>2009</v>
      </c>
      <c r="C18" s="566"/>
      <c r="D18" s="221">
        <v>144844937.78720856</v>
      </c>
      <c r="E18" s="566"/>
      <c r="F18" s="573"/>
      <c r="G18" s="434">
        <f t="shared" si="1"/>
        <v>1448449.3778720857</v>
      </c>
      <c r="H18" s="437">
        <f t="shared" si="2"/>
        <v>1.4484493778720857</v>
      </c>
      <c r="I18" s="469">
        <f t="shared" si="3"/>
        <v>449.0193071403466</v>
      </c>
      <c r="K18" s="326">
        <v>2008</v>
      </c>
      <c r="L18" s="327">
        <f t="shared" si="0"/>
        <v>2.0898666600104598</v>
      </c>
    </row>
    <row r="19" spans="1:12" ht="13.5" customHeight="1">
      <c r="A19" s="566"/>
      <c r="B19" s="318">
        <v>2010</v>
      </c>
      <c r="C19" s="566"/>
      <c r="D19" s="221">
        <v>148336520.51042372</v>
      </c>
      <c r="E19" s="566"/>
      <c r="F19" s="573"/>
      <c r="G19" s="434">
        <f t="shared" si="1"/>
        <v>1483365.2051042372</v>
      </c>
      <c r="H19" s="437">
        <f t="shared" si="2"/>
        <v>1.4833652051042372</v>
      </c>
      <c r="I19" s="469">
        <f t="shared" si="3"/>
        <v>459.84321358231352</v>
      </c>
      <c r="K19" s="326">
        <f>B19</f>
        <v>2010</v>
      </c>
      <c r="L19" s="327">
        <f t="shared" si="0"/>
        <v>2.121266483572966</v>
      </c>
    </row>
    <row r="20" spans="1:12" ht="13.5" customHeight="1">
      <c r="A20" s="566"/>
      <c r="B20" s="318">
        <v>2011</v>
      </c>
      <c r="C20" s="566"/>
      <c r="D20" s="221">
        <v>204108032.35530502</v>
      </c>
      <c r="E20" s="566"/>
      <c r="F20" s="573"/>
      <c r="G20" s="434">
        <f t="shared" si="1"/>
        <v>2041080.3235530502</v>
      </c>
      <c r="H20" s="437">
        <f t="shared" si="2"/>
        <v>2.0410803235530501</v>
      </c>
      <c r="I20" s="469">
        <f t="shared" si="3"/>
        <v>632.73490030144558</v>
      </c>
      <c r="K20" s="326">
        <v>2009</v>
      </c>
      <c r="L20" s="327">
        <f t="shared" si="0"/>
        <v>2.854964383986212</v>
      </c>
    </row>
    <row r="21" spans="1:12" ht="13.5" customHeight="1">
      <c r="A21" s="566"/>
      <c r="B21" s="318">
        <v>2012</v>
      </c>
      <c r="C21" s="566"/>
      <c r="D21" s="221">
        <v>233328779.48177156</v>
      </c>
      <c r="E21" s="566"/>
      <c r="F21" s="573"/>
      <c r="G21" s="434">
        <f t="shared" si="1"/>
        <v>2333287.7948177154</v>
      </c>
      <c r="H21" s="437">
        <f t="shared" si="2"/>
        <v>2.3332877948177155</v>
      </c>
      <c r="I21" s="469">
        <f t="shared" si="3"/>
        <v>723.31921639349184</v>
      </c>
      <c r="K21" s="326">
        <f>B21</f>
        <v>2012</v>
      </c>
      <c r="L21" s="327">
        <f t="shared" si="0"/>
        <v>3.2473403648478754</v>
      </c>
    </row>
    <row r="22" spans="1:12" ht="13.5" customHeight="1">
      <c r="A22" s="566"/>
      <c r="B22" s="318">
        <v>2013</v>
      </c>
      <c r="C22" s="566"/>
      <c r="D22" s="221">
        <v>264681404.28906739</v>
      </c>
      <c r="E22" s="566"/>
      <c r="F22" s="573"/>
      <c r="G22" s="434">
        <f t="shared" si="1"/>
        <v>2646814.042890674</v>
      </c>
      <c r="H22" s="437">
        <f t="shared" si="2"/>
        <v>2.6468140428906741</v>
      </c>
      <c r="I22" s="469">
        <f t="shared" si="3"/>
        <v>820.51235329610893</v>
      </c>
      <c r="K22" s="326">
        <v>2010</v>
      </c>
      <c r="L22" s="327">
        <f t="shared" si="0"/>
        <v>3.6545461574210467</v>
      </c>
    </row>
    <row r="23" spans="1:12" ht="13.5" customHeight="1">
      <c r="A23" s="566"/>
      <c r="B23" s="318">
        <v>2014</v>
      </c>
      <c r="C23" s="566"/>
      <c r="D23" s="221">
        <v>296775858.00895458</v>
      </c>
      <c r="E23" s="566"/>
      <c r="F23" s="573"/>
      <c r="G23" s="434">
        <f t="shared" si="1"/>
        <v>2967758.5800895458</v>
      </c>
      <c r="H23" s="437">
        <f t="shared" si="2"/>
        <v>2.9677585800895456</v>
      </c>
      <c r="I23" s="469">
        <f t="shared" si="3"/>
        <v>920.00515982775914</v>
      </c>
      <c r="K23" s="326">
        <f>B23</f>
        <v>2014</v>
      </c>
      <c r="L23" s="327">
        <f t="shared" si="0"/>
        <v>4.0668515130347984</v>
      </c>
    </row>
    <row r="24" spans="1:12" ht="13.5" customHeight="1">
      <c r="A24" s="566"/>
      <c r="B24" s="318">
        <v>2015</v>
      </c>
      <c r="C24" s="566"/>
      <c r="D24" s="221">
        <v>329582142.18113863</v>
      </c>
      <c r="E24" s="566"/>
      <c r="F24" s="573"/>
      <c r="G24" s="434">
        <f t="shared" si="1"/>
        <v>3295821.4218113865</v>
      </c>
      <c r="H24" s="437">
        <f t="shared" si="2"/>
        <v>3.2958214218113864</v>
      </c>
      <c r="I24" s="469">
        <f t="shared" si="3"/>
        <v>1021.7046407615297</v>
      </c>
      <c r="K24" s="326">
        <v>2011</v>
      </c>
      <c r="L24" s="327">
        <f t="shared" si="0"/>
        <v>4.4840465350349632</v>
      </c>
    </row>
    <row r="25" spans="1:12" ht="13.5" customHeight="1">
      <c r="A25" s="566"/>
      <c r="B25" s="318">
        <v>2016</v>
      </c>
      <c r="C25" s="566"/>
      <c r="D25" s="221">
        <v>363071795.53151333</v>
      </c>
      <c r="E25" s="566"/>
      <c r="F25" s="573"/>
      <c r="G25" s="434">
        <f t="shared" si="1"/>
        <v>3630717.9553151336</v>
      </c>
      <c r="H25" s="437">
        <f t="shared" si="2"/>
        <v>3.6307179553151334</v>
      </c>
      <c r="I25" s="469">
        <f t="shared" si="3"/>
        <v>1125.5225661476914</v>
      </c>
      <c r="K25" s="326">
        <f>B25</f>
        <v>2016</v>
      </c>
      <c r="L25" s="327">
        <f t="shared" si="0"/>
        <v>4.905932086933829</v>
      </c>
    </row>
    <row r="26" spans="1:12" ht="13.5" customHeight="1">
      <c r="A26" s="566"/>
      <c r="B26" s="318">
        <v>2017</v>
      </c>
      <c r="C26" s="566"/>
      <c r="D26" s="221">
        <v>397217796.84696275</v>
      </c>
      <c r="E26" s="566"/>
      <c r="F26" s="573"/>
      <c r="G26" s="434">
        <f t="shared" si="1"/>
        <v>3972177.9684696277</v>
      </c>
      <c r="H26" s="437">
        <f t="shared" si="2"/>
        <v>3.9721779684696275</v>
      </c>
      <c r="I26" s="469">
        <f t="shared" si="3"/>
        <v>1231.3751702255845</v>
      </c>
      <c r="K26" s="326">
        <v>2012</v>
      </c>
      <c r="L26" s="327">
        <f t="shared" si="0"/>
        <v>5.3323191125317004</v>
      </c>
    </row>
    <row r="27" spans="1:12" ht="13.5" customHeight="1">
      <c r="A27" s="566"/>
      <c r="B27" s="318">
        <v>2018</v>
      </c>
      <c r="C27" s="566"/>
      <c r="D27" s="221">
        <v>431994475.12289017</v>
      </c>
      <c r="E27" s="566"/>
      <c r="F27" s="573"/>
      <c r="G27" s="434">
        <f t="shared" si="1"/>
        <v>4319944.7512289016</v>
      </c>
      <c r="H27" s="437">
        <f t="shared" si="2"/>
        <v>4.3199447512289018</v>
      </c>
      <c r="I27" s="469">
        <f t="shared" si="3"/>
        <v>1339.1828728809596</v>
      </c>
      <c r="K27" s="326">
        <f>B27</f>
        <v>2018</v>
      </c>
      <c r="L27" s="327">
        <f t="shared" si="0"/>
        <v>5.7630280069527533</v>
      </c>
    </row>
    <row r="28" spans="1:12" ht="13.5" customHeight="1">
      <c r="A28" s="566"/>
      <c r="B28" s="318">
        <v>2019</v>
      </c>
      <c r="C28" s="566"/>
      <c r="D28" s="221">
        <v>467377426.35452658</v>
      </c>
      <c r="E28" s="566"/>
      <c r="F28" s="573"/>
      <c r="G28" s="434">
        <f t="shared" si="1"/>
        <v>4673774.2635452664</v>
      </c>
      <c r="H28" s="437">
        <f t="shared" si="2"/>
        <v>4.6737742635452664</v>
      </c>
      <c r="I28" s="469">
        <f t="shared" si="3"/>
        <v>1448.8700216990326</v>
      </c>
      <c r="K28" s="326">
        <v>2013</v>
      </c>
      <c r="L28" s="327">
        <f t="shared" si="0"/>
        <v>6.1978880341822427</v>
      </c>
    </row>
    <row r="29" spans="1:12" ht="13.5" customHeight="1">
      <c r="A29" s="566"/>
      <c r="B29" s="318">
        <v>2020</v>
      </c>
      <c r="C29" s="566"/>
      <c r="D29" s="221">
        <v>503343436.40684479</v>
      </c>
      <c r="E29" s="566"/>
      <c r="F29" s="573"/>
      <c r="G29" s="434">
        <f t="shared" si="1"/>
        <v>5033434.3640684476</v>
      </c>
      <c r="H29" s="437">
        <f t="shared" si="2"/>
        <v>5.033434364068448</v>
      </c>
      <c r="I29" s="469">
        <f t="shared" si="3"/>
        <v>1560.3646528612189</v>
      </c>
      <c r="K29" s="326">
        <f>B29</f>
        <v>2020</v>
      </c>
      <c r="L29" s="327">
        <f t="shared" si="0"/>
        <v>6.6367367871561189</v>
      </c>
    </row>
    <row r="30" spans="1:12" ht="13.5" customHeight="1">
      <c r="A30" s="566"/>
      <c r="B30" s="318">
        <v>2021</v>
      </c>
      <c r="C30" s="566"/>
      <c r="D30" s="221">
        <v>539870409.45151067</v>
      </c>
      <c r="E30" s="566"/>
      <c r="F30" s="573"/>
      <c r="G30" s="434">
        <f t="shared" si="1"/>
        <v>5398704.0945151066</v>
      </c>
      <c r="H30" s="437">
        <f t="shared" si="2"/>
        <v>5.3987040945151064</v>
      </c>
      <c r="I30" s="469">
        <f t="shared" si="3"/>
        <v>1673.5982692996829</v>
      </c>
      <c r="K30" s="326">
        <v>2014</v>
      </c>
      <c r="L30" s="327">
        <f t="shared" si="0"/>
        <v>7.0794196868231767</v>
      </c>
    </row>
    <row r="31" spans="1:12" ht="13.5" customHeight="1">
      <c r="A31" s="566"/>
      <c r="B31" s="318">
        <v>2022</v>
      </c>
      <c r="C31" s="566"/>
      <c r="D31" s="221">
        <v>576937301.50590718</v>
      </c>
      <c r="E31" s="566"/>
      <c r="F31" s="573"/>
      <c r="G31" s="434">
        <f t="shared" si="1"/>
        <v>5769373.0150590716</v>
      </c>
      <c r="H31" s="437">
        <f t="shared" si="2"/>
        <v>5.7693730150590712</v>
      </c>
      <c r="I31" s="469">
        <f t="shared" si="3"/>
        <v>1788.505634668312</v>
      </c>
      <c r="K31" s="326">
        <f>B31</f>
        <v>2022</v>
      </c>
      <c r="L31" s="327">
        <f t="shared" si="0"/>
        <v>7.5257895169135995</v>
      </c>
    </row>
    <row r="32" spans="1:12" ht="13.5" customHeight="1">
      <c r="A32" s="566"/>
      <c r="B32" s="318">
        <v>2023</v>
      </c>
      <c r="C32" s="566"/>
      <c r="D32" s="221">
        <v>614524058.65730882</v>
      </c>
      <c r="E32" s="566"/>
      <c r="F32" s="573"/>
      <c r="G32" s="434">
        <f t="shared" si="1"/>
        <v>6145240.5865730885</v>
      </c>
      <c r="H32" s="437">
        <f t="shared" si="2"/>
        <v>6.1452405865730881</v>
      </c>
      <c r="I32" s="469">
        <f t="shared" si="3"/>
        <v>1905.0245818376573</v>
      </c>
      <c r="K32" s="326">
        <v>2015</v>
      </c>
      <c r="L32" s="327">
        <f t="shared" si="0"/>
        <v>7.9757059915120987</v>
      </c>
    </row>
    <row r="33" spans="1:12" ht="13.5" customHeight="1">
      <c r="A33" s="566"/>
      <c r="B33" s="318">
        <v>2024</v>
      </c>
      <c r="C33" s="566"/>
      <c r="D33" s="221">
        <v>652611559.58937347</v>
      </c>
      <c r="E33" s="566"/>
      <c r="F33" s="573"/>
      <c r="G33" s="434">
        <f t="shared" si="1"/>
        <v>6526115.5958937351</v>
      </c>
      <c r="H33" s="437">
        <f t="shared" si="2"/>
        <v>6.5261155958937351</v>
      </c>
      <c r="I33" s="469">
        <f t="shared" si="3"/>
        <v>2023.095834727058</v>
      </c>
      <c r="K33" s="326">
        <f>B33</f>
        <v>2024</v>
      </c>
      <c r="L33" s="327">
        <f t="shared" si="0"/>
        <v>8.4290353527421296</v>
      </c>
    </row>
    <row r="34" spans="1:12" ht="13.5" customHeight="1">
      <c r="A34" s="566"/>
      <c r="B34" s="318">
        <v>2025</v>
      </c>
      <c r="C34" s="566"/>
      <c r="D34" s="221">
        <v>691181562.06635118</v>
      </c>
      <c r="E34" s="566"/>
      <c r="F34" s="573"/>
      <c r="G34" s="434">
        <f t="shared" si="1"/>
        <v>6911815.6206635116</v>
      </c>
      <c r="H34" s="437">
        <f t="shared" si="2"/>
        <v>6.9118156206635115</v>
      </c>
      <c r="I34" s="469">
        <f t="shared" si="3"/>
        <v>2142.6628424056885</v>
      </c>
      <c r="K34" s="326">
        <v>2016</v>
      </c>
      <c r="L34" s="327">
        <f t="shared" si="0"/>
        <v>8.8856499961557613</v>
      </c>
    </row>
    <row r="35" spans="1:12" ht="13.5" customHeight="1">
      <c r="A35" s="566"/>
      <c r="B35" s="318">
        <v>2026</v>
      </c>
      <c r="C35" s="566"/>
      <c r="D35" s="221">
        <v>730216653.06067693</v>
      </c>
      <c r="E35" s="566"/>
      <c r="F35" s="573"/>
      <c r="G35" s="434">
        <f t="shared" si="1"/>
        <v>7302166.530606769</v>
      </c>
      <c r="H35" s="437">
        <f t="shared" si="2"/>
        <v>7.3021665306067689</v>
      </c>
      <c r="I35" s="469">
        <f t="shared" si="3"/>
        <v>2263.6716244880981</v>
      </c>
      <c r="K35" s="326">
        <f>B35</f>
        <v>2026</v>
      </c>
      <c r="L35" s="327">
        <f t="shared" si="0"/>
        <v>9.3454281216285793</v>
      </c>
    </row>
    <row r="36" spans="1:12" ht="13.5" customHeight="1">
      <c r="A36" s="566"/>
      <c r="B36" s="318">
        <v>2027</v>
      </c>
      <c r="C36" s="566"/>
      <c r="D36" s="221">
        <v>769700202.23674941</v>
      </c>
      <c r="E36" s="566"/>
      <c r="F36" s="573"/>
      <c r="G36" s="434">
        <f t="shared" si="1"/>
        <v>7697002.0223674942</v>
      </c>
      <c r="H36" s="437">
        <f t="shared" si="2"/>
        <v>7.697002022367494</v>
      </c>
      <c r="I36" s="469">
        <f t="shared" si="3"/>
        <v>2386.070626933923</v>
      </c>
      <c r="K36" s="326">
        <v>2017</v>
      </c>
      <c r="L36" s="327">
        <f t="shared" si="0"/>
        <v>9.8082534077428427</v>
      </c>
    </row>
    <row r="37" spans="1:12" ht="13.5" customHeight="1">
      <c r="A37" s="566"/>
      <c r="B37" s="318">
        <v>2028</v>
      </c>
      <c r="C37" s="566"/>
      <c r="D37" s="221">
        <v>809616318.53241134</v>
      </c>
      <c r="E37" s="566"/>
      <c r="F37" s="573"/>
      <c r="G37" s="434">
        <f t="shared" si="1"/>
        <v>8096163.1853241138</v>
      </c>
      <c r="H37" s="437">
        <f t="shared" si="2"/>
        <v>8.0961631853241141</v>
      </c>
      <c r="I37" s="469">
        <f t="shared" si="3"/>
        <v>2509.8105874504754</v>
      </c>
      <c r="K37" s="326">
        <f>B37</f>
        <v>2028</v>
      </c>
      <c r="L37" s="327">
        <f t="shared" si="0"/>
        <v>10.274014707862516</v>
      </c>
    </row>
    <row r="38" spans="1:12" ht="13.5" customHeight="1">
      <c r="A38" s="566"/>
      <c r="B38" s="318">
        <v>2029</v>
      </c>
      <c r="C38" s="566"/>
      <c r="D38" s="221">
        <v>849949809.59764624</v>
      </c>
      <c r="E38" s="566"/>
      <c r="F38" s="573"/>
      <c r="G38" s="434">
        <f t="shared" si="1"/>
        <v>8499498.0959764626</v>
      </c>
      <c r="H38" s="437">
        <f t="shared" si="2"/>
        <v>8.4994980959764632</v>
      </c>
      <c r="I38" s="469">
        <f t="shared" si="3"/>
        <v>2634.8444097527035</v>
      </c>
      <c r="K38" s="326">
        <v>2018</v>
      </c>
      <c r="L38" s="327">
        <f t="shared" si="0"/>
        <v>10.742605766201208</v>
      </c>
    </row>
    <row r="39" spans="1:12" ht="13.5" customHeight="1">
      <c r="A39" s="566"/>
      <c r="B39" s="318">
        <v>2030</v>
      </c>
      <c r="C39" s="567"/>
      <c r="D39" s="221">
        <v>890686143.87531543</v>
      </c>
      <c r="E39" s="567"/>
      <c r="F39" s="574"/>
      <c r="G39" s="434">
        <f t="shared" si="1"/>
        <v>8906861.4387531541</v>
      </c>
      <c r="H39" s="437">
        <f t="shared" si="2"/>
        <v>8.9068614387531539</v>
      </c>
      <c r="I39" s="469">
        <f t="shared" si="3"/>
        <v>2761.1270460134779</v>
      </c>
      <c r="K39" s="326">
        <f>B39</f>
        <v>2030</v>
      </c>
      <c r="L39" s="327">
        <f t="shared" si="0"/>
        <v>11.213924952388471</v>
      </c>
    </row>
    <row r="40" spans="1:12" ht="50.25" customHeight="1" thickBot="1">
      <c r="A40" s="566"/>
      <c r="B40" s="222" t="s">
        <v>385</v>
      </c>
      <c r="C40" s="565" t="s">
        <v>386</v>
      </c>
      <c r="D40" s="319"/>
      <c r="E40" s="565"/>
      <c r="F40" s="575">
        <v>0.01</v>
      </c>
      <c r="G40" s="209">
        <f>D40*F40</f>
        <v>0</v>
      </c>
      <c r="H40" s="436" t="s">
        <v>551</v>
      </c>
    </row>
    <row r="41" spans="1:12" ht="15" customHeight="1">
      <c r="A41" s="566"/>
      <c r="B41" s="318">
        <v>2008</v>
      </c>
      <c r="C41" s="566"/>
      <c r="D41" s="208">
        <v>384326.59712831286</v>
      </c>
      <c r="E41" s="566"/>
      <c r="F41" s="573"/>
      <c r="G41" s="434">
        <f>D41*$F$40</f>
        <v>3843.2659712831287</v>
      </c>
      <c r="H41" s="438">
        <f>G41/1000000</f>
        <v>3.8432659712831288E-3</v>
      </c>
      <c r="I41" s="223">
        <f t="shared" ref="I41:I63" si="4">H41*310</f>
        <v>1.1914124510977699</v>
      </c>
    </row>
    <row r="42" spans="1:12" ht="15" customHeight="1">
      <c r="A42" s="566"/>
      <c r="B42" s="318">
        <v>2009</v>
      </c>
      <c r="C42" s="566"/>
      <c r="D42" s="208">
        <v>1323451.6567620249</v>
      </c>
      <c r="E42" s="566"/>
      <c r="F42" s="573"/>
      <c r="G42" s="434">
        <f t="shared" ref="G42:G63" si="5">D42*$F$40</f>
        <v>13234.516567620249</v>
      </c>
      <c r="H42" s="438">
        <f t="shared" ref="H42:H63" si="6">G42/1000000</f>
        <v>1.3234516567620249E-2</v>
      </c>
      <c r="I42" s="223">
        <f t="shared" si="4"/>
        <v>4.1027001359622775</v>
      </c>
    </row>
    <row r="43" spans="1:12" ht="15" customHeight="1">
      <c r="A43" s="566"/>
      <c r="B43" s="318">
        <v>2010</v>
      </c>
      <c r="C43" s="566"/>
      <c r="D43" s="208">
        <v>1275922.3904328484</v>
      </c>
      <c r="E43" s="566"/>
      <c r="F43" s="573"/>
      <c r="G43" s="434">
        <f t="shared" si="5"/>
        <v>12759.223904328484</v>
      </c>
      <c r="H43" s="438">
        <f t="shared" si="6"/>
        <v>1.2759223904328484E-2</v>
      </c>
      <c r="I43" s="223">
        <f t="shared" si="4"/>
        <v>3.9553594103418299</v>
      </c>
    </row>
    <row r="44" spans="1:12" ht="15" customHeight="1">
      <c r="A44" s="566"/>
      <c r="B44" s="318">
        <v>2011</v>
      </c>
      <c r="C44" s="566"/>
      <c r="D44" s="208">
        <v>2051786.6209248686</v>
      </c>
      <c r="E44" s="566"/>
      <c r="F44" s="573"/>
      <c r="G44" s="434">
        <f t="shared" si="5"/>
        <v>20517.866209248688</v>
      </c>
      <c r="H44" s="438">
        <f t="shared" si="6"/>
        <v>2.0517866209248687E-2</v>
      </c>
      <c r="I44" s="223">
        <f t="shared" si="4"/>
        <v>6.3605385248670929</v>
      </c>
    </row>
    <row r="45" spans="1:12" ht="15" customHeight="1">
      <c r="A45" s="566"/>
      <c r="B45" s="318">
        <v>2012</v>
      </c>
      <c r="C45" s="566"/>
      <c r="D45" s="208">
        <v>4385963.5604314143</v>
      </c>
      <c r="E45" s="566"/>
      <c r="F45" s="573"/>
      <c r="G45" s="434">
        <f t="shared" si="5"/>
        <v>43859.635604314142</v>
      </c>
      <c r="H45" s="438">
        <f t="shared" si="6"/>
        <v>4.3859635604314141E-2</v>
      </c>
      <c r="I45" s="223">
        <f t="shared" si="4"/>
        <v>13.596487037337385</v>
      </c>
    </row>
    <row r="46" spans="1:12" ht="15" customHeight="1">
      <c r="A46" s="566"/>
      <c r="B46" s="318">
        <v>2013</v>
      </c>
      <c r="C46" s="566"/>
      <c r="D46" s="208">
        <v>3519877.0411922112</v>
      </c>
      <c r="E46" s="566"/>
      <c r="F46" s="573"/>
      <c r="G46" s="434">
        <f t="shared" si="5"/>
        <v>35198.770411922116</v>
      </c>
      <c r="H46" s="438">
        <f t="shared" si="6"/>
        <v>3.5198770411922119E-2</v>
      </c>
      <c r="I46" s="223">
        <f t="shared" si="4"/>
        <v>10.911618827695857</v>
      </c>
    </row>
    <row r="47" spans="1:12" ht="15" customHeight="1">
      <c r="A47" s="566"/>
      <c r="B47" s="318">
        <v>2014</v>
      </c>
      <c r="C47" s="566"/>
      <c r="D47" s="208">
        <v>2930901.8465104527</v>
      </c>
      <c r="E47" s="566"/>
      <c r="F47" s="573"/>
      <c r="G47" s="434">
        <f t="shared" si="5"/>
        <v>29309.018465104527</v>
      </c>
      <c r="H47" s="438">
        <f t="shared" si="6"/>
        <v>2.9309018465104527E-2</v>
      </c>
      <c r="I47" s="223">
        <f t="shared" si="4"/>
        <v>9.0857957241824039</v>
      </c>
    </row>
    <row r="48" spans="1:12" ht="15" customHeight="1">
      <c r="A48" s="566"/>
      <c r="B48" s="318">
        <v>2015</v>
      </c>
      <c r="C48" s="566"/>
      <c r="D48" s="208">
        <v>4166286.0575279584</v>
      </c>
      <c r="E48" s="566"/>
      <c r="F48" s="573"/>
      <c r="G48" s="434">
        <f t="shared" si="5"/>
        <v>41662.860575279585</v>
      </c>
      <c r="H48" s="438">
        <f t="shared" si="6"/>
        <v>4.1662860575279584E-2</v>
      </c>
      <c r="I48" s="223">
        <f t="shared" si="4"/>
        <v>12.915486778336671</v>
      </c>
    </row>
    <row r="49" spans="1:15" ht="15" customHeight="1">
      <c r="A49" s="566"/>
      <c r="B49" s="318">
        <v>2016</v>
      </c>
      <c r="C49" s="566"/>
      <c r="D49" s="208">
        <v>4768464.7339260047</v>
      </c>
      <c r="E49" s="566"/>
      <c r="F49" s="573"/>
      <c r="G49" s="434">
        <f t="shared" si="5"/>
        <v>47684.647339260046</v>
      </c>
      <c r="H49" s="438">
        <f t="shared" si="6"/>
        <v>4.7684647339260047E-2</v>
      </c>
      <c r="I49" s="223">
        <f t="shared" si="4"/>
        <v>14.782240675170614</v>
      </c>
    </row>
    <row r="50" spans="1:15" ht="15" customHeight="1">
      <c r="A50" s="566"/>
      <c r="B50" s="318">
        <v>2017</v>
      </c>
      <c r="C50" s="566"/>
      <c r="D50" s="208">
        <v>5384029.4905385822</v>
      </c>
      <c r="E50" s="566"/>
      <c r="F50" s="573"/>
      <c r="G50" s="434">
        <f t="shared" si="5"/>
        <v>53840.294905385825</v>
      </c>
      <c r="H50" s="438">
        <f t="shared" si="6"/>
        <v>5.3840294905385826E-2</v>
      </c>
      <c r="I50" s="223">
        <f t="shared" si="4"/>
        <v>16.690491420669606</v>
      </c>
    </row>
    <row r="51" spans="1:15" ht="15" customHeight="1">
      <c r="A51" s="566"/>
      <c r="B51" s="318">
        <v>2018</v>
      </c>
      <c r="C51" s="566"/>
      <c r="D51" s="208">
        <v>6012479.2061431408</v>
      </c>
      <c r="E51" s="566"/>
      <c r="F51" s="573"/>
      <c r="G51" s="434">
        <f t="shared" si="5"/>
        <v>60124.792061431406</v>
      </c>
      <c r="H51" s="438">
        <f t="shared" si="6"/>
        <v>6.0124792061431405E-2</v>
      </c>
      <c r="I51" s="223">
        <f t="shared" si="4"/>
        <v>18.638685539043735</v>
      </c>
    </row>
    <row r="52" spans="1:15" ht="15" customHeight="1">
      <c r="A52" s="566"/>
      <c r="B52" s="318">
        <v>2019</v>
      </c>
      <c r="C52" s="566"/>
      <c r="D52" s="208">
        <v>6653337.4645265713</v>
      </c>
      <c r="E52" s="566"/>
      <c r="F52" s="573"/>
      <c r="G52" s="434">
        <f t="shared" si="5"/>
        <v>66533.374645265721</v>
      </c>
      <c r="H52" s="438">
        <f t="shared" si="6"/>
        <v>6.6533374645265722E-2</v>
      </c>
      <c r="I52" s="223">
        <f t="shared" si="4"/>
        <v>20.625346140032374</v>
      </c>
    </row>
    <row r="53" spans="1:15" ht="15" customHeight="1">
      <c r="A53" s="566"/>
      <c r="B53" s="318">
        <v>2020</v>
      </c>
      <c r="C53" s="566"/>
      <c r="D53" s="208">
        <v>7306151.0505907414</v>
      </c>
      <c r="E53" s="566"/>
      <c r="F53" s="573"/>
      <c r="G53" s="434">
        <f t="shared" si="5"/>
        <v>73061.510505907412</v>
      </c>
      <c r="H53" s="438">
        <f t="shared" si="6"/>
        <v>7.3061510505907409E-2</v>
      </c>
      <c r="I53" s="223">
        <f t="shared" si="4"/>
        <v>22.649068256831296</v>
      </c>
    </row>
    <row r="54" spans="1:15" ht="15" customHeight="1">
      <c r="A54" s="566"/>
      <c r="B54" s="318">
        <v>2021</v>
      </c>
      <c r="C54" s="566"/>
      <c r="D54" s="208">
        <v>7970488.5549944276</v>
      </c>
      <c r="E54" s="566"/>
      <c r="F54" s="573"/>
      <c r="G54" s="434">
        <f t="shared" si="5"/>
        <v>79704.885549944272</v>
      </c>
      <c r="H54" s="438">
        <f t="shared" si="6"/>
        <v>7.9704885549944274E-2</v>
      </c>
      <c r="I54" s="223">
        <f t="shared" si="4"/>
        <v>24.708514520482726</v>
      </c>
    </row>
    <row r="55" spans="1:15" ht="15" customHeight="1">
      <c r="A55" s="566"/>
      <c r="B55" s="318">
        <v>2022</v>
      </c>
      <c r="C55" s="566"/>
      <c r="D55" s="208">
        <v>8645939.07830167</v>
      </c>
      <c r="E55" s="566"/>
      <c r="F55" s="573"/>
      <c r="G55" s="434">
        <f t="shared" si="5"/>
        <v>86459.390783016701</v>
      </c>
      <c r="H55" s="438">
        <f t="shared" si="6"/>
        <v>8.6459390783016704E-2</v>
      </c>
      <c r="I55" s="223">
        <f t="shared" si="4"/>
        <v>26.802411142735178</v>
      </c>
    </row>
    <row r="56" spans="1:15" ht="15" customHeight="1">
      <c r="A56" s="566"/>
      <c r="B56" s="318">
        <v>2023</v>
      </c>
      <c r="C56" s="566"/>
      <c r="D56" s="208">
        <v>9332111.0264550187</v>
      </c>
      <c r="E56" s="566"/>
      <c r="F56" s="573"/>
      <c r="G56" s="434">
        <f t="shared" si="5"/>
        <v>93321.110264550181</v>
      </c>
      <c r="H56" s="438">
        <f t="shared" si="6"/>
        <v>9.3321110264550186E-2</v>
      </c>
      <c r="I56" s="223">
        <f t="shared" si="4"/>
        <v>28.929544182010559</v>
      </c>
    </row>
    <row r="57" spans="1:15" ht="15" customHeight="1">
      <c r="A57" s="566"/>
      <c r="B57" s="318">
        <v>2024</v>
      </c>
      <c r="C57" s="566"/>
      <c r="D57" s="208">
        <v>10028630.990152124</v>
      </c>
      <c r="E57" s="566"/>
      <c r="F57" s="573"/>
      <c r="G57" s="434">
        <f t="shared" si="5"/>
        <v>100286.30990152125</v>
      </c>
      <c r="H57" s="438">
        <f t="shared" si="6"/>
        <v>0.10028630990152125</v>
      </c>
      <c r="I57" s="223">
        <f t="shared" si="4"/>
        <v>31.088756069471589</v>
      </c>
    </row>
    <row r="58" spans="1:15" ht="15" customHeight="1">
      <c r="A58" s="566"/>
      <c r="B58" s="318">
        <v>2025</v>
      </c>
      <c r="C58" s="566"/>
      <c r="D58" s="208">
        <v>10735142.701385355</v>
      </c>
      <c r="E58" s="566"/>
      <c r="F58" s="573"/>
      <c r="G58" s="434">
        <f t="shared" si="5"/>
        <v>107351.42701385355</v>
      </c>
      <c r="H58" s="438">
        <f t="shared" si="6"/>
        <v>0.10735142701385356</v>
      </c>
      <c r="I58" s="223">
        <f t="shared" si="4"/>
        <v>33.278942374294601</v>
      </c>
    </row>
    <row r="59" spans="1:15" ht="15" customHeight="1">
      <c r="A59" s="566"/>
      <c r="B59" s="318">
        <v>2026</v>
      </c>
      <c r="C59" s="566"/>
      <c r="D59" s="208">
        <v>11451306.061016055</v>
      </c>
      <c r="E59" s="566"/>
      <c r="F59" s="573"/>
      <c r="G59" s="434">
        <f t="shared" si="5"/>
        <v>114513.06061016055</v>
      </c>
      <c r="H59" s="438">
        <f t="shared" si="6"/>
        <v>0.11451306061016055</v>
      </c>
      <c r="I59" s="223">
        <f t="shared" si="4"/>
        <v>35.499048789149768</v>
      </c>
    </row>
    <row r="60" spans="1:15" ht="15" customHeight="1">
      <c r="A60" s="566"/>
      <c r="B60" s="318">
        <v>2027</v>
      </c>
      <c r="C60" s="566"/>
      <c r="D60" s="208">
        <v>12176796.231804982</v>
      </c>
      <c r="E60" s="566"/>
      <c r="F60" s="573"/>
      <c r="G60" s="434">
        <f t="shared" si="5"/>
        <v>121767.96231804982</v>
      </c>
      <c r="H60" s="438">
        <f t="shared" si="6"/>
        <v>0.12176796231804982</v>
      </c>
      <c r="I60" s="223">
        <f t="shared" si="4"/>
        <v>37.748068318595443</v>
      </c>
    </row>
    <row r="61" spans="1:15" ht="15" customHeight="1">
      <c r="A61" s="566"/>
      <c r="B61" s="318">
        <v>2028</v>
      </c>
      <c r="C61" s="566"/>
      <c r="D61" s="208">
        <v>12911302.791815627</v>
      </c>
      <c r="E61" s="566"/>
      <c r="F61" s="573"/>
      <c r="G61" s="434">
        <f t="shared" si="5"/>
        <v>129113.02791815628</v>
      </c>
      <c r="H61" s="438">
        <f t="shared" si="6"/>
        <v>0.12911302791815629</v>
      </c>
      <c r="I61" s="223">
        <f t="shared" si="4"/>
        <v>40.025038654628453</v>
      </c>
    </row>
    <row r="62" spans="1:15" ht="15" customHeight="1">
      <c r="A62" s="566"/>
      <c r="B62" s="318">
        <v>2029</v>
      </c>
      <c r="C62" s="566"/>
      <c r="D62" s="208">
        <v>13654528.943553356</v>
      </c>
      <c r="E62" s="566"/>
      <c r="F62" s="573"/>
      <c r="G62" s="434">
        <f t="shared" si="5"/>
        <v>136545.28943553357</v>
      </c>
      <c r="H62" s="438">
        <f t="shared" si="6"/>
        <v>0.13654528943553357</v>
      </c>
      <c r="I62" s="223">
        <f t="shared" si="4"/>
        <v>42.329039725015406</v>
      </c>
    </row>
    <row r="63" spans="1:15" ht="15.75" customHeight="1" thickBot="1">
      <c r="A63" s="567"/>
      <c r="B63" s="318">
        <v>2030</v>
      </c>
      <c r="C63" s="566"/>
      <c r="D63" s="208">
        <v>14406190.774605807</v>
      </c>
      <c r="E63" s="567"/>
      <c r="F63" s="591"/>
      <c r="G63" s="434">
        <f t="shared" si="5"/>
        <v>144061.90774605807</v>
      </c>
      <c r="H63" s="438">
        <f t="shared" si="6"/>
        <v>0.14406190774605807</v>
      </c>
      <c r="I63" s="223">
        <f t="shared" si="4"/>
        <v>44.659191401278001</v>
      </c>
      <c r="L63" s="472"/>
      <c r="M63" s="472"/>
      <c r="N63" s="584" t="s">
        <v>420</v>
      </c>
      <c r="O63" s="585"/>
    </row>
    <row r="64" spans="1:15" ht="56.25" customHeight="1">
      <c r="A64" s="565" t="s">
        <v>387</v>
      </c>
      <c r="B64" s="207" t="s">
        <v>382</v>
      </c>
      <c r="C64" s="565" t="s">
        <v>383</v>
      </c>
      <c r="D64" s="208"/>
      <c r="E64" s="565" t="s">
        <v>388</v>
      </c>
      <c r="F64" s="572">
        <v>3.0000000000000001E-3</v>
      </c>
      <c r="G64" s="209">
        <f>D64*$F$64</f>
        <v>0</v>
      </c>
      <c r="H64" s="436" t="s">
        <v>465</v>
      </c>
      <c r="K64" s="471" t="s">
        <v>456</v>
      </c>
      <c r="L64" s="471" t="str">
        <f>H14</f>
        <v>Emisi Langsung N2O dari pemakaian pupuk Sintetis di lahan kering</v>
      </c>
      <c r="M64" s="471" t="str">
        <f>H64</f>
        <v>Emisi Langsung N2O dari pemakaian pupuk Sintetis di lahan sawah</v>
      </c>
      <c r="N64" s="203" t="s">
        <v>562</v>
      </c>
      <c r="O64" s="472" t="s">
        <v>561</v>
      </c>
    </row>
    <row r="65" spans="1:15" ht="15.75" customHeight="1">
      <c r="A65" s="566"/>
      <c r="B65" s="318">
        <v>2006</v>
      </c>
      <c r="C65" s="566"/>
      <c r="D65" s="319">
        <v>20790199.646955453</v>
      </c>
      <c r="E65" s="566"/>
      <c r="F65" s="573"/>
      <c r="G65" s="209">
        <f>D65*$F$64</f>
        <v>62370.598940866359</v>
      </c>
      <c r="H65" s="437">
        <f>G65/1000000</f>
        <v>6.2370598940866356E-2</v>
      </c>
      <c r="I65" s="468">
        <f t="shared" ref="I65:I89" si="7">H65*310</f>
        <v>19.33488567166857</v>
      </c>
      <c r="K65" s="320">
        <f>B65</f>
        <v>2006</v>
      </c>
      <c r="L65" s="470">
        <f>H15</f>
        <v>0.13140500353044546</v>
      </c>
      <c r="M65" s="470">
        <f>H65</f>
        <v>6.2370598940866356E-2</v>
      </c>
      <c r="N65" s="470">
        <f>H15+H65</f>
        <v>0.19377560247131181</v>
      </c>
      <c r="O65" s="470">
        <f>I15+I65</f>
        <v>60.070436766106667</v>
      </c>
    </row>
    <row r="66" spans="1:15" ht="15.75" customHeight="1">
      <c r="A66" s="566"/>
      <c r="B66" s="318">
        <v>2007</v>
      </c>
      <c r="C66" s="566"/>
      <c r="D66" s="319">
        <v>208141455.72800991</v>
      </c>
      <c r="E66" s="566"/>
      <c r="F66" s="573"/>
      <c r="G66" s="209">
        <f t="shared" ref="G66:G89" si="8">D66*$F$64</f>
        <v>624424.36718402978</v>
      </c>
      <c r="H66" s="437">
        <f t="shared" ref="H66:H89" si="9">G66/1000000</f>
        <v>0.62442436718402983</v>
      </c>
      <c r="I66" s="468">
        <f t="shared" si="7"/>
        <v>193.57155382704926</v>
      </c>
      <c r="K66" s="320">
        <f t="shared" ref="K66:K89" si="10">B66</f>
        <v>2007</v>
      </c>
      <c r="L66" s="470">
        <f t="shared" ref="L66:L89" si="11">H16</f>
        <v>1.2848687427199013</v>
      </c>
      <c r="M66" s="470">
        <f t="shared" ref="M66:M89" si="12">H66</f>
        <v>0.62442436718402983</v>
      </c>
      <c r="N66" s="470">
        <f t="shared" ref="N66:N89" si="13">H16+H66</f>
        <v>1.9092931099039312</v>
      </c>
      <c r="O66" s="470">
        <f t="shared" ref="O66:O89" si="14">I16+I66</f>
        <v>591.88086407021865</v>
      </c>
    </row>
    <row r="67" spans="1:15" ht="15.75" customHeight="1">
      <c r="A67" s="566"/>
      <c r="B67" s="318">
        <v>2008</v>
      </c>
      <c r="C67" s="566"/>
      <c r="D67" s="319">
        <v>228194283.13347962</v>
      </c>
      <c r="E67" s="566"/>
      <c r="F67" s="573"/>
      <c r="G67" s="209">
        <f t="shared" si="8"/>
        <v>684582.84940043883</v>
      </c>
      <c r="H67" s="437">
        <f t="shared" si="9"/>
        <v>0.68458284940043879</v>
      </c>
      <c r="I67" s="468">
        <f t="shared" si="7"/>
        <v>212.22068331413601</v>
      </c>
      <c r="K67" s="320">
        <f t="shared" si="10"/>
        <v>2008</v>
      </c>
      <c r="L67" s="470">
        <f t="shared" si="11"/>
        <v>1.3591313686652042</v>
      </c>
      <c r="M67" s="470">
        <f t="shared" si="12"/>
        <v>0.68458284940043879</v>
      </c>
      <c r="N67" s="470">
        <f t="shared" si="13"/>
        <v>2.0437142180656429</v>
      </c>
      <c r="O67" s="470">
        <f t="shared" si="14"/>
        <v>633.55140760034931</v>
      </c>
    </row>
    <row r="68" spans="1:15" ht="15.75" customHeight="1">
      <c r="A68" s="566"/>
      <c r="B68" s="318">
        <v>2009</v>
      </c>
      <c r="C68" s="566"/>
      <c r="D68" s="319">
        <v>213805760.71279144</v>
      </c>
      <c r="E68" s="566"/>
      <c r="F68" s="573"/>
      <c r="G68" s="209">
        <f t="shared" si="8"/>
        <v>641417.28213837428</v>
      </c>
      <c r="H68" s="437">
        <f t="shared" si="9"/>
        <v>0.64141728213837423</v>
      </c>
      <c r="I68" s="468">
        <f t="shared" si="7"/>
        <v>198.839357462896</v>
      </c>
      <c r="K68" s="320">
        <f t="shared" si="10"/>
        <v>2009</v>
      </c>
      <c r="L68" s="470">
        <f t="shared" si="11"/>
        <v>1.4484493778720857</v>
      </c>
      <c r="M68" s="470">
        <f t="shared" si="12"/>
        <v>0.64141728213837423</v>
      </c>
      <c r="N68" s="470">
        <f t="shared" si="13"/>
        <v>2.0898666600104598</v>
      </c>
      <c r="O68" s="470">
        <f t="shared" si="14"/>
        <v>647.85866460324257</v>
      </c>
    </row>
    <row r="69" spans="1:15" ht="15.75" customHeight="1">
      <c r="A69" s="566"/>
      <c r="B69" s="318">
        <v>2010</v>
      </c>
      <c r="C69" s="566"/>
      <c r="D69" s="319">
        <v>212633759.48957631</v>
      </c>
      <c r="E69" s="566"/>
      <c r="F69" s="573"/>
      <c r="G69" s="209">
        <f t="shared" si="8"/>
        <v>637901.278468729</v>
      </c>
      <c r="H69" s="437">
        <f t="shared" si="9"/>
        <v>0.63790127846872902</v>
      </c>
      <c r="I69" s="468">
        <f t="shared" si="7"/>
        <v>197.74939632530601</v>
      </c>
      <c r="K69" s="320">
        <f t="shared" si="10"/>
        <v>2010</v>
      </c>
      <c r="L69" s="470">
        <f t="shared" si="11"/>
        <v>1.4833652051042372</v>
      </c>
      <c r="M69" s="470">
        <f t="shared" si="12"/>
        <v>0.63790127846872902</v>
      </c>
      <c r="N69" s="470">
        <f t="shared" si="13"/>
        <v>2.121266483572966</v>
      </c>
      <c r="O69" s="470">
        <f t="shared" si="14"/>
        <v>657.59260990761959</v>
      </c>
    </row>
    <row r="70" spans="1:15" ht="15.75" customHeight="1">
      <c r="A70" s="566"/>
      <c r="B70" s="318">
        <v>2011</v>
      </c>
      <c r="C70" s="566"/>
      <c r="D70" s="319">
        <v>271294686.81105393</v>
      </c>
      <c r="E70" s="566"/>
      <c r="F70" s="573"/>
      <c r="G70" s="209">
        <f t="shared" si="8"/>
        <v>813884.06043316179</v>
      </c>
      <c r="H70" s="437">
        <f t="shared" si="9"/>
        <v>0.81388406043316175</v>
      </c>
      <c r="I70" s="468">
        <f t="shared" si="7"/>
        <v>252.30405873428015</v>
      </c>
      <c r="K70" s="320">
        <f t="shared" si="10"/>
        <v>2011</v>
      </c>
      <c r="L70" s="470">
        <f t="shared" si="11"/>
        <v>2.0410803235530501</v>
      </c>
      <c r="M70" s="470">
        <f t="shared" si="12"/>
        <v>0.81388406043316175</v>
      </c>
      <c r="N70" s="470">
        <f t="shared" si="13"/>
        <v>2.854964383986212</v>
      </c>
      <c r="O70" s="470">
        <f t="shared" si="14"/>
        <v>885.03895903572572</v>
      </c>
    </row>
    <row r="71" spans="1:15" ht="15.75" customHeight="1">
      <c r="A71" s="566"/>
      <c r="B71" s="318">
        <v>2012</v>
      </c>
      <c r="C71" s="566"/>
      <c r="D71" s="319">
        <v>304684190.01005322</v>
      </c>
      <c r="E71" s="566"/>
      <c r="F71" s="573"/>
      <c r="G71" s="209">
        <f t="shared" si="8"/>
        <v>914052.57003015967</v>
      </c>
      <c r="H71" s="437">
        <f t="shared" si="9"/>
        <v>0.91405257003015972</v>
      </c>
      <c r="I71" s="468">
        <f t="shared" si="7"/>
        <v>283.35629670934952</v>
      </c>
      <c r="K71" s="320">
        <f t="shared" si="10"/>
        <v>2012</v>
      </c>
      <c r="L71" s="470">
        <f t="shared" si="11"/>
        <v>2.3332877948177155</v>
      </c>
      <c r="M71" s="470">
        <f t="shared" si="12"/>
        <v>0.91405257003015972</v>
      </c>
      <c r="N71" s="470">
        <f t="shared" si="13"/>
        <v>3.2473403648478754</v>
      </c>
      <c r="O71" s="470">
        <f t="shared" si="14"/>
        <v>1006.6755131028414</v>
      </c>
    </row>
    <row r="72" spans="1:15" ht="15.75" customHeight="1">
      <c r="A72" s="566"/>
      <c r="B72" s="318">
        <v>2013</v>
      </c>
      <c r="C72" s="566"/>
      <c r="D72" s="319">
        <v>335910704.84345764</v>
      </c>
      <c r="E72" s="566"/>
      <c r="F72" s="573"/>
      <c r="G72" s="209">
        <f t="shared" si="8"/>
        <v>1007732.1145303729</v>
      </c>
      <c r="H72" s="437">
        <f t="shared" si="9"/>
        <v>1.0077321145303728</v>
      </c>
      <c r="I72" s="468">
        <f t="shared" si="7"/>
        <v>312.39695550441559</v>
      </c>
      <c r="K72" s="320">
        <f t="shared" si="10"/>
        <v>2013</v>
      </c>
      <c r="L72" s="470">
        <f t="shared" si="11"/>
        <v>2.6468140428906741</v>
      </c>
      <c r="M72" s="470">
        <f t="shared" si="12"/>
        <v>1.0077321145303728</v>
      </c>
      <c r="N72" s="470">
        <f t="shared" si="13"/>
        <v>3.6545461574210467</v>
      </c>
      <c r="O72" s="470">
        <f t="shared" si="14"/>
        <v>1132.9093088005245</v>
      </c>
    </row>
    <row r="73" spans="1:15" ht="15.75" customHeight="1">
      <c r="A73" s="566"/>
      <c r="B73" s="318">
        <v>2014</v>
      </c>
      <c r="C73" s="566"/>
      <c r="D73" s="319">
        <v>366364310.98175079</v>
      </c>
      <c r="E73" s="566"/>
      <c r="F73" s="573"/>
      <c r="G73" s="209">
        <f t="shared" si="8"/>
        <v>1099092.9329452524</v>
      </c>
      <c r="H73" s="437">
        <f t="shared" si="9"/>
        <v>1.0990929329452523</v>
      </c>
      <c r="I73" s="468">
        <f t="shared" si="7"/>
        <v>340.71880921302824</v>
      </c>
      <c r="K73" s="320">
        <f t="shared" si="10"/>
        <v>2014</v>
      </c>
      <c r="L73" s="470">
        <f t="shared" si="11"/>
        <v>2.9677585800895456</v>
      </c>
      <c r="M73" s="470">
        <f t="shared" si="12"/>
        <v>1.0990929329452523</v>
      </c>
      <c r="N73" s="470">
        <f t="shared" si="13"/>
        <v>4.0668515130347984</v>
      </c>
      <c r="O73" s="470">
        <f t="shared" si="14"/>
        <v>1260.7239690407873</v>
      </c>
    </row>
    <row r="74" spans="1:15" ht="15.75" customHeight="1">
      <c r="A74" s="566"/>
      <c r="B74" s="318">
        <v>2015</v>
      </c>
      <c r="C74" s="566"/>
      <c r="D74" s="319">
        <v>396075037.74119234</v>
      </c>
      <c r="E74" s="566"/>
      <c r="F74" s="573"/>
      <c r="G74" s="209">
        <f t="shared" si="8"/>
        <v>1188225.1132235772</v>
      </c>
      <c r="H74" s="437">
        <f t="shared" si="9"/>
        <v>1.188225113223577</v>
      </c>
      <c r="I74" s="468">
        <f t="shared" si="7"/>
        <v>368.34978509930886</v>
      </c>
      <c r="K74" s="320">
        <f t="shared" si="10"/>
        <v>2015</v>
      </c>
      <c r="L74" s="470">
        <f t="shared" si="11"/>
        <v>3.2958214218113864</v>
      </c>
      <c r="M74" s="470">
        <f t="shared" si="12"/>
        <v>1.188225113223577</v>
      </c>
      <c r="N74" s="470">
        <f t="shared" si="13"/>
        <v>4.4840465350349632</v>
      </c>
      <c r="O74" s="470">
        <f t="shared" si="14"/>
        <v>1390.0544258608386</v>
      </c>
    </row>
    <row r="75" spans="1:15" ht="15.75" customHeight="1">
      <c r="A75" s="566"/>
      <c r="B75" s="318">
        <v>2016</v>
      </c>
      <c r="C75" s="566"/>
      <c r="D75" s="319">
        <v>425071377.20623171</v>
      </c>
      <c r="E75" s="566"/>
      <c r="F75" s="573"/>
      <c r="G75" s="209">
        <f t="shared" si="8"/>
        <v>1275214.1316186951</v>
      </c>
      <c r="H75" s="437">
        <f t="shared" si="9"/>
        <v>1.2752141316186951</v>
      </c>
      <c r="I75" s="468">
        <f t="shared" si="7"/>
        <v>395.3163808017955</v>
      </c>
      <c r="K75" s="320">
        <f t="shared" si="10"/>
        <v>2016</v>
      </c>
      <c r="L75" s="470">
        <f t="shared" si="11"/>
        <v>3.6307179553151334</v>
      </c>
      <c r="M75" s="470">
        <f t="shared" si="12"/>
        <v>1.2752141316186951</v>
      </c>
      <c r="N75" s="470">
        <f t="shared" si="13"/>
        <v>4.905932086933829</v>
      </c>
      <c r="O75" s="470">
        <f t="shared" si="14"/>
        <v>1520.8389469494869</v>
      </c>
    </row>
    <row r="76" spans="1:15" ht="15.75" customHeight="1">
      <c r="A76" s="566"/>
      <c r="B76" s="318">
        <v>2017</v>
      </c>
      <c r="C76" s="566"/>
      <c r="D76" s="319">
        <v>453380381.35402435</v>
      </c>
      <c r="E76" s="566"/>
      <c r="F76" s="573"/>
      <c r="G76" s="209">
        <f t="shared" si="8"/>
        <v>1360141.144062073</v>
      </c>
      <c r="H76" s="437">
        <f t="shared" si="9"/>
        <v>1.360141144062073</v>
      </c>
      <c r="I76" s="468">
        <f t="shared" si="7"/>
        <v>421.64375465924263</v>
      </c>
      <c r="K76" s="320">
        <f t="shared" si="10"/>
        <v>2017</v>
      </c>
      <c r="L76" s="470">
        <f t="shared" si="11"/>
        <v>3.9721779684696275</v>
      </c>
      <c r="M76" s="470">
        <f t="shared" si="12"/>
        <v>1.360141144062073</v>
      </c>
      <c r="N76" s="470">
        <f t="shared" si="13"/>
        <v>5.3323191125317004</v>
      </c>
      <c r="O76" s="470">
        <f t="shared" si="14"/>
        <v>1653.0189248848271</v>
      </c>
    </row>
    <row r="77" spans="1:15" ht="15.75" customHeight="1">
      <c r="A77" s="566"/>
      <c r="B77" s="318">
        <v>2018</v>
      </c>
      <c r="C77" s="566"/>
      <c r="D77" s="319">
        <v>481027751.9079504</v>
      </c>
      <c r="E77" s="566"/>
      <c r="F77" s="573"/>
      <c r="G77" s="209">
        <f t="shared" si="8"/>
        <v>1443083.2557238513</v>
      </c>
      <c r="H77" s="437">
        <f t="shared" si="9"/>
        <v>1.4430832557238513</v>
      </c>
      <c r="I77" s="468">
        <f t="shared" si="7"/>
        <v>447.35580927439389</v>
      </c>
      <c r="K77" s="320">
        <f t="shared" si="10"/>
        <v>2018</v>
      </c>
      <c r="L77" s="470">
        <f t="shared" si="11"/>
        <v>4.3199447512289018</v>
      </c>
      <c r="M77" s="470">
        <f t="shared" si="12"/>
        <v>1.4430832557238513</v>
      </c>
      <c r="N77" s="470">
        <f t="shared" si="13"/>
        <v>5.7630280069527533</v>
      </c>
      <c r="O77" s="470">
        <f t="shared" si="14"/>
        <v>1786.5386821553534</v>
      </c>
    </row>
    <row r="78" spans="1:15" ht="15.75" customHeight="1">
      <c r="A78" s="566"/>
      <c r="B78" s="318">
        <v>2019</v>
      </c>
      <c r="C78" s="566"/>
      <c r="D78" s="319">
        <v>508037923.54565883</v>
      </c>
      <c r="E78" s="566"/>
      <c r="F78" s="573"/>
      <c r="G78" s="209">
        <f t="shared" si="8"/>
        <v>1524113.7706369765</v>
      </c>
      <c r="H78" s="437">
        <f t="shared" si="9"/>
        <v>1.5241137706369765</v>
      </c>
      <c r="I78" s="468">
        <f t="shared" si="7"/>
        <v>472.47526889746274</v>
      </c>
      <c r="K78" s="320">
        <f t="shared" si="10"/>
        <v>2019</v>
      </c>
      <c r="L78" s="470">
        <f t="shared" si="11"/>
        <v>4.6737742635452664</v>
      </c>
      <c r="M78" s="470">
        <f t="shared" si="12"/>
        <v>1.5241137706369765</v>
      </c>
      <c r="N78" s="470">
        <f t="shared" si="13"/>
        <v>6.1978880341822427</v>
      </c>
      <c r="O78" s="470">
        <f t="shared" si="14"/>
        <v>1921.3452905964953</v>
      </c>
    </row>
    <row r="79" spans="1:15" ht="15.75" customHeight="1">
      <c r="A79" s="566"/>
      <c r="B79" s="318">
        <v>2020</v>
      </c>
      <c r="C79" s="566"/>
      <c r="D79" s="319">
        <v>534434141.02922344</v>
      </c>
      <c r="E79" s="566"/>
      <c r="F79" s="573"/>
      <c r="G79" s="209">
        <f t="shared" si="8"/>
        <v>1603302.4230876705</v>
      </c>
      <c r="H79" s="437">
        <f t="shared" si="9"/>
        <v>1.6033024230876705</v>
      </c>
      <c r="I79" s="468">
        <f t="shared" si="7"/>
        <v>497.02375115717786</v>
      </c>
      <c r="K79" s="320">
        <f t="shared" si="10"/>
        <v>2020</v>
      </c>
      <c r="L79" s="470">
        <f t="shared" si="11"/>
        <v>5.033434364068448</v>
      </c>
      <c r="M79" s="470">
        <f t="shared" si="12"/>
        <v>1.6033024230876705</v>
      </c>
      <c r="N79" s="470">
        <f t="shared" si="13"/>
        <v>6.6367367871561189</v>
      </c>
      <c r="O79" s="470">
        <f t="shared" si="14"/>
        <v>2057.3884040183966</v>
      </c>
    </row>
    <row r="80" spans="1:15" ht="15.75" customHeight="1">
      <c r="A80" s="566"/>
      <c r="B80" s="318">
        <v>2021</v>
      </c>
      <c r="C80" s="566"/>
      <c r="D80" s="319">
        <v>560238530.76935673</v>
      </c>
      <c r="E80" s="566"/>
      <c r="F80" s="573"/>
      <c r="G80" s="209">
        <f t="shared" si="8"/>
        <v>1680715.5923080703</v>
      </c>
      <c r="H80" s="437">
        <f t="shared" si="9"/>
        <v>1.6807155923080703</v>
      </c>
      <c r="I80" s="468">
        <f t="shared" si="7"/>
        <v>521.02183361550181</v>
      </c>
      <c r="K80" s="320">
        <f t="shared" si="10"/>
        <v>2021</v>
      </c>
      <c r="L80" s="470">
        <f t="shared" si="11"/>
        <v>5.3987040945151064</v>
      </c>
      <c r="M80" s="470">
        <f t="shared" si="12"/>
        <v>1.6807155923080703</v>
      </c>
      <c r="N80" s="470">
        <f t="shared" si="13"/>
        <v>7.0794196868231767</v>
      </c>
      <c r="O80" s="470">
        <f t="shared" si="14"/>
        <v>2194.6201029151848</v>
      </c>
    </row>
    <row r="81" spans="1:15" ht="15.75" customHeight="1">
      <c r="A81" s="566"/>
      <c r="B81" s="318">
        <v>2022</v>
      </c>
      <c r="C81" s="566"/>
      <c r="D81" s="319">
        <v>585472167.28484297</v>
      </c>
      <c r="E81" s="566"/>
      <c r="F81" s="573"/>
      <c r="G81" s="209">
        <f t="shared" si="8"/>
        <v>1756416.5018545289</v>
      </c>
      <c r="H81" s="437">
        <f t="shared" si="9"/>
        <v>1.7564165018545288</v>
      </c>
      <c r="I81" s="468">
        <f t="shared" si="7"/>
        <v>544.48911557490396</v>
      </c>
      <c r="K81" s="320">
        <f t="shared" si="10"/>
        <v>2022</v>
      </c>
      <c r="L81" s="470">
        <f t="shared" si="11"/>
        <v>5.7693730150590712</v>
      </c>
      <c r="M81" s="470">
        <f t="shared" si="12"/>
        <v>1.7564165018545288</v>
      </c>
      <c r="N81" s="470">
        <f t="shared" si="13"/>
        <v>7.5257895169135995</v>
      </c>
      <c r="O81" s="470">
        <f t="shared" si="14"/>
        <v>2332.994750243216</v>
      </c>
    </row>
    <row r="82" spans="1:15" ht="15.75" customHeight="1">
      <c r="A82" s="566"/>
      <c r="B82" s="318">
        <v>2023</v>
      </c>
      <c r="C82" s="566"/>
      <c r="D82" s="319">
        <v>610155134.97967005</v>
      </c>
      <c r="E82" s="566"/>
      <c r="F82" s="573"/>
      <c r="G82" s="209">
        <f t="shared" si="8"/>
        <v>1830465.4049390103</v>
      </c>
      <c r="H82" s="437">
        <f t="shared" si="9"/>
        <v>1.8304654049390103</v>
      </c>
      <c r="I82" s="468">
        <f t="shared" si="7"/>
        <v>567.44427553109324</v>
      </c>
      <c r="K82" s="320">
        <f t="shared" si="10"/>
        <v>2023</v>
      </c>
      <c r="L82" s="470">
        <f t="shared" si="11"/>
        <v>6.1452405865730881</v>
      </c>
      <c r="M82" s="470">
        <f t="shared" si="12"/>
        <v>1.8304654049390103</v>
      </c>
      <c r="N82" s="470">
        <f t="shared" si="13"/>
        <v>7.9757059915120987</v>
      </c>
      <c r="O82" s="470">
        <f t="shared" si="14"/>
        <v>2472.4688573687504</v>
      </c>
    </row>
    <row r="83" spans="1:15" ht="15.75" customHeight="1">
      <c r="A83" s="566"/>
      <c r="B83" s="318">
        <v>2024</v>
      </c>
      <c r="C83" s="566"/>
      <c r="D83" s="319">
        <v>634306585.61613142</v>
      </c>
      <c r="E83" s="566"/>
      <c r="F83" s="573"/>
      <c r="G83" s="209">
        <f t="shared" si="8"/>
        <v>1902919.7568483944</v>
      </c>
      <c r="H83" s="437">
        <f t="shared" si="9"/>
        <v>1.9029197568483944</v>
      </c>
      <c r="I83" s="468">
        <f t="shared" si="7"/>
        <v>589.90512462300228</v>
      </c>
      <c r="K83" s="320">
        <f t="shared" si="10"/>
        <v>2024</v>
      </c>
      <c r="L83" s="470">
        <f t="shared" si="11"/>
        <v>6.5261155958937351</v>
      </c>
      <c r="M83" s="470">
        <f t="shared" si="12"/>
        <v>1.9029197568483944</v>
      </c>
      <c r="N83" s="470">
        <f t="shared" si="13"/>
        <v>8.4290353527421296</v>
      </c>
      <c r="O83" s="470">
        <f t="shared" si="14"/>
        <v>2613.0009593500604</v>
      </c>
    </row>
    <row r="84" spans="1:15" ht="15.75" customHeight="1">
      <c r="A84" s="566"/>
      <c r="B84" s="318">
        <v>2025</v>
      </c>
      <c r="C84" s="566"/>
      <c r="D84" s="319">
        <v>657944791.83074975</v>
      </c>
      <c r="E84" s="566"/>
      <c r="F84" s="573"/>
      <c r="G84" s="209">
        <f t="shared" si="8"/>
        <v>1973834.3754922494</v>
      </c>
      <c r="H84" s="437">
        <f t="shared" si="9"/>
        <v>1.9738343754922494</v>
      </c>
      <c r="I84" s="468">
        <f t="shared" si="7"/>
        <v>611.88865640259735</v>
      </c>
      <c r="K84" s="320">
        <f t="shared" si="10"/>
        <v>2025</v>
      </c>
      <c r="L84" s="470">
        <f t="shared" si="11"/>
        <v>6.9118156206635115</v>
      </c>
      <c r="M84" s="470">
        <f t="shared" si="12"/>
        <v>1.9738343754922494</v>
      </c>
      <c r="N84" s="470">
        <f t="shared" si="13"/>
        <v>8.8856499961557613</v>
      </c>
      <c r="O84" s="470">
        <f t="shared" si="14"/>
        <v>2754.5514988082859</v>
      </c>
    </row>
    <row r="85" spans="1:15" ht="15.75" customHeight="1">
      <c r="A85" s="566"/>
      <c r="B85" s="318">
        <v>2026</v>
      </c>
      <c r="C85" s="566"/>
      <c r="D85" s="319">
        <v>681087197.0072701</v>
      </c>
      <c r="E85" s="566"/>
      <c r="F85" s="573"/>
      <c r="G85" s="209">
        <f t="shared" si="8"/>
        <v>2043261.5910218104</v>
      </c>
      <c r="H85" s="437">
        <f t="shared" si="9"/>
        <v>2.0432615910218104</v>
      </c>
      <c r="I85" s="468">
        <f t="shared" si="7"/>
        <v>633.41109321676117</v>
      </c>
      <c r="K85" s="320">
        <f t="shared" si="10"/>
        <v>2026</v>
      </c>
      <c r="L85" s="470">
        <f t="shared" si="11"/>
        <v>7.3021665306067689</v>
      </c>
      <c r="M85" s="470">
        <f t="shared" si="12"/>
        <v>2.0432615910218104</v>
      </c>
      <c r="N85" s="470">
        <f t="shared" si="13"/>
        <v>9.3454281216285793</v>
      </c>
      <c r="O85" s="470">
        <f t="shared" si="14"/>
        <v>2897.0827177048595</v>
      </c>
    </row>
    <row r="86" spans="1:15" ht="15.75" customHeight="1">
      <c r="A86" s="566"/>
      <c r="B86" s="318">
        <v>2027</v>
      </c>
      <c r="C86" s="566"/>
      <c r="D86" s="319">
        <v>703750461.79178321</v>
      </c>
      <c r="E86" s="566"/>
      <c r="F86" s="573"/>
      <c r="G86" s="209">
        <f t="shared" si="8"/>
        <v>2111251.3853753498</v>
      </c>
      <c r="H86" s="437">
        <f t="shared" si="9"/>
        <v>2.1112513853753496</v>
      </c>
      <c r="I86" s="468">
        <f t="shared" si="7"/>
        <v>654.48792946635842</v>
      </c>
      <c r="K86" s="320">
        <f t="shared" si="10"/>
        <v>2027</v>
      </c>
      <c r="L86" s="470">
        <f t="shared" si="11"/>
        <v>7.697002022367494</v>
      </c>
      <c r="M86" s="470">
        <f t="shared" si="12"/>
        <v>2.1112513853753496</v>
      </c>
      <c r="N86" s="470">
        <f t="shared" si="13"/>
        <v>9.8082534077428427</v>
      </c>
      <c r="O86" s="470">
        <f t="shared" si="14"/>
        <v>3040.5585564002813</v>
      </c>
    </row>
    <row r="87" spans="1:15" ht="15.75" customHeight="1">
      <c r="A87" s="566"/>
      <c r="B87" s="318">
        <v>2028</v>
      </c>
      <c r="C87" s="566"/>
      <c r="D87" s="319">
        <v>725950507.51280093</v>
      </c>
      <c r="E87" s="566"/>
      <c r="F87" s="573"/>
      <c r="G87" s="209">
        <f t="shared" si="8"/>
        <v>2177851.522538403</v>
      </c>
      <c r="H87" s="437">
        <f t="shared" si="9"/>
        <v>2.1778515225384032</v>
      </c>
      <c r="I87" s="468">
        <f t="shared" si="7"/>
        <v>675.13397198690495</v>
      </c>
      <c r="K87" s="320">
        <f t="shared" si="10"/>
        <v>2028</v>
      </c>
      <c r="L87" s="470">
        <f t="shared" si="11"/>
        <v>8.0961631853241141</v>
      </c>
      <c r="M87" s="470">
        <f t="shared" si="12"/>
        <v>2.1778515225384032</v>
      </c>
      <c r="N87" s="470">
        <f t="shared" si="13"/>
        <v>10.274014707862516</v>
      </c>
      <c r="O87" s="470">
        <f t="shared" si="14"/>
        <v>3184.9445594373801</v>
      </c>
    </row>
    <row r="88" spans="1:15" ht="15.75" customHeight="1">
      <c r="A88" s="566"/>
      <c r="B88" s="318">
        <v>2029</v>
      </c>
      <c r="C88" s="566"/>
      <c r="D88" s="319">
        <v>747702556.74158144</v>
      </c>
      <c r="E88" s="566"/>
      <c r="F88" s="573"/>
      <c r="G88" s="209">
        <f t="shared" si="8"/>
        <v>2243107.6702247444</v>
      </c>
      <c r="H88" s="437">
        <f t="shared" si="9"/>
        <v>2.2431076702247443</v>
      </c>
      <c r="I88" s="468">
        <f t="shared" si="7"/>
        <v>695.36337776967071</v>
      </c>
      <c r="K88" s="320">
        <f t="shared" si="10"/>
        <v>2029</v>
      </c>
      <c r="L88" s="470">
        <f t="shared" si="11"/>
        <v>8.4994980959764632</v>
      </c>
      <c r="M88" s="470">
        <f t="shared" si="12"/>
        <v>2.2431076702247443</v>
      </c>
      <c r="N88" s="470">
        <f t="shared" si="13"/>
        <v>10.742605766201208</v>
      </c>
      <c r="O88" s="470">
        <f t="shared" si="14"/>
        <v>3330.207787522374</v>
      </c>
    </row>
    <row r="89" spans="1:15" ht="15.75" customHeight="1">
      <c r="A89" s="566"/>
      <c r="B89" s="318">
        <v>2030</v>
      </c>
      <c r="C89" s="567"/>
      <c r="D89" s="319">
        <v>769021171.2117722</v>
      </c>
      <c r="E89" s="567"/>
      <c r="F89" s="574"/>
      <c r="G89" s="209">
        <f t="shared" si="8"/>
        <v>2307063.5136353169</v>
      </c>
      <c r="H89" s="437">
        <f t="shared" si="9"/>
        <v>2.3070635136353168</v>
      </c>
      <c r="I89" s="468">
        <f t="shared" si="7"/>
        <v>715.18968922694819</v>
      </c>
      <c r="K89" s="320">
        <f t="shared" si="10"/>
        <v>2030</v>
      </c>
      <c r="L89" s="470">
        <f t="shared" si="11"/>
        <v>8.9068614387531539</v>
      </c>
      <c r="M89" s="470">
        <f t="shared" si="12"/>
        <v>2.3070635136353168</v>
      </c>
      <c r="N89" s="470">
        <f t="shared" si="13"/>
        <v>11.213924952388471</v>
      </c>
      <c r="O89" s="470">
        <f t="shared" si="14"/>
        <v>3476.3167352404262</v>
      </c>
    </row>
    <row r="90" spans="1:15" ht="53.25" customHeight="1">
      <c r="A90" s="566"/>
      <c r="B90" s="207" t="s">
        <v>385</v>
      </c>
      <c r="C90" s="347" t="s">
        <v>386</v>
      </c>
      <c r="D90" s="431" t="s">
        <v>81</v>
      </c>
      <c r="E90" s="432" t="s">
        <v>81</v>
      </c>
      <c r="F90" s="346">
        <v>3.0000000000000001E-3</v>
      </c>
      <c r="G90" s="433" t="s">
        <v>81</v>
      </c>
      <c r="H90" s="326"/>
    </row>
    <row r="91" spans="1:15">
      <c r="A91" s="578" t="s">
        <v>22</v>
      </c>
      <c r="B91" s="578"/>
      <c r="C91" s="210"/>
      <c r="D91" s="211"/>
      <c r="E91" s="210"/>
      <c r="F91" s="212"/>
      <c r="G91" s="209">
        <f>SUM(G14:G90)</f>
        <v>148396150.70478341</v>
      </c>
      <c r="H91" s="437"/>
    </row>
    <row r="92" spans="1:15">
      <c r="F92" s="563" t="s">
        <v>552</v>
      </c>
      <c r="G92" s="564"/>
      <c r="H92" s="439">
        <f>G91/1000000</f>
        <v>148.39615070478342</v>
      </c>
    </row>
    <row r="93" spans="1:15">
      <c r="G93" s="223">
        <f>H92*28/44</f>
        <v>94.433914084862181</v>
      </c>
    </row>
    <row r="94" spans="1:15">
      <c r="A94" s="219" t="s">
        <v>389</v>
      </c>
      <c r="B94" s="214"/>
      <c r="C94" s="215" t="s">
        <v>390</v>
      </c>
    </row>
    <row r="95" spans="1:15">
      <c r="A95" s="219"/>
      <c r="B95" s="216"/>
      <c r="C95" s="215" t="s">
        <v>391</v>
      </c>
    </row>
    <row r="96" spans="1:15">
      <c r="A96" s="220"/>
      <c r="B96" s="217"/>
      <c r="C96" s="215" t="s">
        <v>392</v>
      </c>
    </row>
    <row r="99" spans="1:12" ht="38.25">
      <c r="A99" s="218" t="s">
        <v>393</v>
      </c>
      <c r="B99" s="203" t="s">
        <v>394</v>
      </c>
    </row>
    <row r="100" spans="1:12" ht="21" customHeight="1">
      <c r="A100" s="558" t="s">
        <v>456</v>
      </c>
      <c r="B100" s="577" t="s">
        <v>460</v>
      </c>
      <c r="C100" s="577"/>
      <c r="D100" s="577"/>
      <c r="F100" s="478" t="s">
        <v>404</v>
      </c>
      <c r="G100" s="560" t="s">
        <v>461</v>
      </c>
      <c r="H100" s="561"/>
      <c r="I100" s="561"/>
      <c r="J100" s="561"/>
      <c r="K100" s="562"/>
    </row>
    <row r="101" spans="1:12">
      <c r="A101" s="559"/>
      <c r="B101" s="326" t="s">
        <v>329</v>
      </c>
      <c r="C101" s="326" t="s">
        <v>330</v>
      </c>
      <c r="D101" s="440" t="s">
        <v>331</v>
      </c>
      <c r="F101" s="478"/>
      <c r="G101" s="326" t="s">
        <v>329</v>
      </c>
      <c r="H101" s="326" t="s">
        <v>330</v>
      </c>
      <c r="I101" s="440" t="s">
        <v>331</v>
      </c>
      <c r="J101" s="440"/>
      <c r="K101" s="326" t="s">
        <v>545</v>
      </c>
    </row>
    <row r="102" spans="1:12">
      <c r="A102" s="326">
        <v>2006</v>
      </c>
      <c r="B102" s="441">
        <f>data!K118</f>
        <v>41162.888248178417</v>
      </c>
      <c r="C102" s="441">
        <f>data!H118</f>
        <v>5814.7634634595597</v>
      </c>
      <c r="D102" s="440">
        <f>data!I118</f>
        <v>4227.8048364458336</v>
      </c>
      <c r="F102" s="326">
        <v>2006</v>
      </c>
      <c r="G102" s="442">
        <f>data!Q118</f>
        <v>26017.111751821583</v>
      </c>
      <c r="H102" s="442">
        <f>data!N118</f>
        <v>3675.2365365404412</v>
      </c>
      <c r="I102" s="442">
        <f>data!O118</f>
        <v>2672.1951635541668</v>
      </c>
      <c r="J102" s="442"/>
      <c r="K102" s="326"/>
    </row>
    <row r="103" spans="1:12">
      <c r="A103" s="436">
        <v>2007</v>
      </c>
      <c r="B103" s="441">
        <f>data!K119</f>
        <v>433033.82171132258</v>
      </c>
      <c r="C103" s="441">
        <f>data!H119</f>
        <v>39541.075148981763</v>
      </c>
      <c r="D103" s="440">
        <f>data!I119</f>
        <v>4281.8130634354766</v>
      </c>
      <c r="F103" s="436">
        <v>2007</v>
      </c>
      <c r="G103" s="442">
        <f>data!Q119</f>
        <v>267314.17828867742</v>
      </c>
      <c r="H103" s="442">
        <f>data!N119</f>
        <v>24408.924851018237</v>
      </c>
      <c r="I103" s="442">
        <f>data!O119</f>
        <v>2643.1869365645234</v>
      </c>
      <c r="J103" s="442"/>
      <c r="K103" s="326"/>
    </row>
    <row r="104" spans="1:12">
      <c r="A104" s="326">
        <v>2008</v>
      </c>
      <c r="B104" s="441">
        <f>data!K120</f>
        <v>445078.83376455243</v>
      </c>
      <c r="C104" s="441">
        <f>data!H120</f>
        <v>42521.862702057333</v>
      </c>
      <c r="D104" s="440">
        <f>data!I120</f>
        <v>96856.189562356274</v>
      </c>
      <c r="F104" s="326">
        <v>2008</v>
      </c>
      <c r="G104" s="442">
        <f>data!Q120</f>
        <v>265090.16623544757</v>
      </c>
      <c r="H104" s="442">
        <f>data!N120</f>
        <v>25326.137297942671</v>
      </c>
      <c r="I104" s="442">
        <f>data!O120</f>
        <v>57687.810437643733</v>
      </c>
      <c r="J104" s="442"/>
      <c r="K104" s="443">
        <f>data!R120</f>
        <v>1921.6329856415643</v>
      </c>
      <c r="L104" s="203">
        <v>2008</v>
      </c>
    </row>
    <row r="105" spans="1:12">
      <c r="A105" s="436">
        <v>2009</v>
      </c>
      <c r="B105" s="441">
        <f>data!K121</f>
        <v>397578.29573900072</v>
      </c>
      <c r="C105" s="441">
        <f>data!H121</f>
        <v>42560.766071752216</v>
      </c>
      <c r="D105" s="440">
        <f>data!I121</f>
        <v>146546.55865188758</v>
      </c>
      <c r="F105" s="436">
        <v>2009</v>
      </c>
      <c r="G105" s="442">
        <f>data!Q121</f>
        <v>269343.55426099926</v>
      </c>
      <c r="H105" s="442">
        <f>data!N121</f>
        <v>28833.233928247788</v>
      </c>
      <c r="I105" s="442">
        <f>data!O121</f>
        <v>99279.491348112395</v>
      </c>
      <c r="J105" s="442"/>
      <c r="K105" s="443">
        <f>data!R121</f>
        <v>6617.2582838101234</v>
      </c>
    </row>
    <row r="106" spans="1:12">
      <c r="A106" s="326">
        <v>2010</v>
      </c>
      <c r="B106" s="441">
        <f>data!K122</f>
        <v>398496.10294338345</v>
      </c>
      <c r="C106" s="441">
        <f>data!H122</f>
        <v>34620.333044375227</v>
      </c>
      <c r="D106" s="440">
        <f>data!I122</f>
        <v>147035.21464200752</v>
      </c>
      <c r="F106" s="326">
        <v>2010</v>
      </c>
      <c r="G106" s="442">
        <f>data!Q122</f>
        <v>277996.89705661661</v>
      </c>
      <c r="H106" s="442">
        <f>data!N122</f>
        <v>24151.666955624773</v>
      </c>
      <c r="I106" s="442">
        <f>data!O122</f>
        <v>102573.98535799251</v>
      </c>
      <c r="J106" s="442"/>
      <c r="K106" s="443">
        <f>data!R122</f>
        <v>6379.6119521642413</v>
      </c>
    </row>
    <row r="107" spans="1:12">
      <c r="A107" s="436">
        <v>2011</v>
      </c>
      <c r="B107" s="441">
        <f>data!K123</f>
        <v>518276.98113800812</v>
      </c>
      <c r="C107" s="441">
        <f>data!H123</f>
        <v>48093.263533310805</v>
      </c>
      <c r="D107" s="440">
        <f>data!I123</f>
        <v>151917.93430383297</v>
      </c>
      <c r="F107" s="436">
        <v>2011</v>
      </c>
      <c r="G107" s="442">
        <f>data!Q123</f>
        <v>389924.6832976169</v>
      </c>
      <c r="H107" s="442">
        <f>data!N123</f>
        <v>36182.87370355257</v>
      </c>
      <c r="I107" s="442">
        <f>data!O123</f>
        <v>114295.16373770144</v>
      </c>
      <c r="J107" s="442"/>
      <c r="K107" s="443">
        <f>data!R123</f>
        <v>10258.933104624342</v>
      </c>
    </row>
    <row r="108" spans="1:12">
      <c r="A108" s="326">
        <v>2012</v>
      </c>
      <c r="B108" s="441">
        <f>data!K124</f>
        <v>581278.45757027983</v>
      </c>
      <c r="C108" s="441">
        <f>data!H124</f>
        <v>53557.031283962206</v>
      </c>
      <c r="D108" s="440">
        <f>data!I124</f>
        <v>173660.81972061633</v>
      </c>
      <c r="F108" s="326">
        <v>2012</v>
      </c>
      <c r="G108" s="442">
        <f>data!Q124</f>
        <v>445146.14637354488</v>
      </c>
      <c r="H108" s="442">
        <f>data!N124</f>
        <v>41014.260509354397</v>
      </c>
      <c r="I108" s="442">
        <f>data!O124</f>
        <v>132990.38295317651</v>
      </c>
      <c r="J108" s="442"/>
      <c r="K108" s="443">
        <f>data!R124</f>
        <v>21929.817802157071</v>
      </c>
    </row>
    <row r="109" spans="1:12">
      <c r="A109" s="436">
        <v>2013</v>
      </c>
      <c r="B109" s="441">
        <f>data!K125</f>
        <v>640167.63528172649</v>
      </c>
      <c r="C109" s="441">
        <f>data!H125</f>
        <v>58648.861657833128</v>
      </c>
      <c r="D109" s="440">
        <f>data!I125</f>
        <v>194115.54443812298</v>
      </c>
      <c r="F109" s="436">
        <v>2013</v>
      </c>
      <c r="G109" s="442">
        <f>data!Q125</f>
        <v>504421.16384990531</v>
      </c>
      <c r="H109" s="442">
        <f>data!N125</f>
        <v>46212.469086940015</v>
      </c>
      <c r="I109" s="442">
        <f>data!O125</f>
        <v>152953.66939902375</v>
      </c>
      <c r="J109" s="442"/>
      <c r="K109" s="443">
        <f>data!R125</f>
        <v>17599.385205961054</v>
      </c>
    </row>
    <row r="110" spans="1:12">
      <c r="A110" s="326">
        <v>2014</v>
      </c>
      <c r="B110" s="441">
        <f>data!K126</f>
        <v>697599.31895432249</v>
      </c>
      <c r="C110" s="441">
        <f>data!H126</f>
        <v>63614.725628968496</v>
      </c>
      <c r="D110" s="440">
        <f>data!I126</f>
        <v>214063.5458711937</v>
      </c>
      <c r="F110" s="326">
        <v>2014</v>
      </c>
      <c r="G110" s="442">
        <f>data!Q126</f>
        <v>565094.98939552542</v>
      </c>
      <c r="H110" s="442">
        <f>data!N126</f>
        <v>51531.533543620106</v>
      </c>
      <c r="I110" s="442">
        <f>data!O126</f>
        <v>173403.60561901782</v>
      </c>
      <c r="J110" s="442"/>
      <c r="K110" s="443">
        <f>data!R126</f>
        <v>14654.509232552264</v>
      </c>
    </row>
    <row r="111" spans="1:12">
      <c r="A111" s="436">
        <v>2015</v>
      </c>
      <c r="B111" s="441">
        <f>data!K127</f>
        <v>753630.13557428704</v>
      </c>
      <c r="C111" s="441">
        <f>data!H127</f>
        <v>68459.517243133785</v>
      </c>
      <c r="D111" s="440">
        <f>data!I127</f>
        <v>233524.51170641452</v>
      </c>
      <c r="F111" s="436">
        <v>2015</v>
      </c>
      <c r="G111" s="442">
        <f>data!Q127</f>
        <v>627111.05428748741</v>
      </c>
      <c r="H111" s="442">
        <f>data!N127</f>
        <v>56966.564907385102</v>
      </c>
      <c r="I111" s="442">
        <f>data!O127</f>
        <v>194320.52385562391</v>
      </c>
      <c r="J111" s="442"/>
      <c r="K111" s="443">
        <f>data!R127</f>
        <v>20831.430287639792</v>
      </c>
    </row>
    <row r="112" spans="1:12">
      <c r="A112" s="326">
        <v>2016</v>
      </c>
      <c r="B112" s="441">
        <f>data!K128</f>
        <v>808313.81333388388</v>
      </c>
      <c r="C112" s="441">
        <f>data!H128</f>
        <v>73187.880014823328</v>
      </c>
      <c r="D112" s="440">
        <f>data!I128</f>
        <v>252517.12179688149</v>
      </c>
      <c r="F112" s="326">
        <v>2016</v>
      </c>
      <c r="G112" s="442">
        <f>data!Q128</f>
        <v>690415.68851076066</v>
      </c>
      <c r="H112" s="442">
        <f>data!N128</f>
        <v>62512.924729897117</v>
      </c>
      <c r="I112" s="442">
        <f>data!O128</f>
        <v>215685.76415523354</v>
      </c>
      <c r="J112" s="442"/>
      <c r="K112" s="443">
        <f>data!R128</f>
        <v>23842.323669630023</v>
      </c>
    </row>
    <row r="113" spans="1:11">
      <c r="A113" s="436">
        <v>2017</v>
      </c>
      <c r="B113" s="441">
        <f>data!K129</f>
        <v>861701.36478131311</v>
      </c>
      <c r="C113" s="441">
        <f>data!H129</f>
        <v>77804.222756276678</v>
      </c>
      <c r="D113" s="440">
        <f>data!I129</f>
        <v>271059.11183868127</v>
      </c>
      <c r="F113" s="436">
        <v>2017</v>
      </c>
      <c r="G113" s="442">
        <f>data!Q129</f>
        <v>754957.93760687835</v>
      </c>
      <c r="H113" s="442">
        <f>data!N129</f>
        <v>68166.209257533017</v>
      </c>
      <c r="I113" s="442">
        <f>data!O129</f>
        <v>237481.61069144538</v>
      </c>
      <c r="J113" s="442"/>
      <c r="K113" s="443">
        <f>data!R129</f>
        <v>26920.147452692909</v>
      </c>
    </row>
    <row r="114" spans="1:11">
      <c r="A114" s="326">
        <v>2018</v>
      </c>
      <c r="B114" s="441">
        <f>data!K130</f>
        <v>913841.2562596862</v>
      </c>
      <c r="C114" s="441">
        <f>data!H130</f>
        <v>82312.734221376653</v>
      </c>
      <c r="D114" s="440">
        <f>data!I130</f>
        <v>289167.33228003746</v>
      </c>
      <c r="F114" s="326">
        <v>2018</v>
      </c>
      <c r="G114" s="442">
        <f>data!Q130</f>
        <v>820689.39323710755</v>
      </c>
      <c r="H114" s="442">
        <f>data!N130</f>
        <v>73922.234787605528</v>
      </c>
      <c r="I114" s="442">
        <f>data!O130</f>
        <v>259691.23285615677</v>
      </c>
      <c r="J114" s="442"/>
      <c r="K114" s="443">
        <f>data!R130</f>
        <v>30062.396030715703</v>
      </c>
    </row>
    <row r="115" spans="1:11">
      <c r="A115" s="436">
        <v>2019</v>
      </c>
      <c r="B115" s="441">
        <f>data!K131</f>
        <v>964779.56481426966</v>
      </c>
      <c r="C115" s="441">
        <f>data!H131</f>
        <v>86717.396666472734</v>
      </c>
      <c r="D115" s="440">
        <f>data!I131</f>
        <v>306857.80287423643</v>
      </c>
      <c r="F115" s="436">
        <v>2019</v>
      </c>
      <c r="G115" s="442">
        <f>data!Q131</f>
        <v>887564.03627377725</v>
      </c>
      <c r="H115" s="442">
        <f>data!N131</f>
        <v>79777.024107331439</v>
      </c>
      <c r="I115" s="442">
        <f>data!O131</f>
        <v>282298.63070699654</v>
      </c>
      <c r="J115" s="442"/>
      <c r="K115" s="443">
        <f>data!R131</f>
        <v>33266.687322632853</v>
      </c>
    </row>
    <row r="116" spans="1:11">
      <c r="A116" s="326">
        <v>2020</v>
      </c>
      <c r="B116" s="441">
        <f>data!K132</f>
        <v>1014560.1236386832</v>
      </c>
      <c r="C116" s="441">
        <f>data!H132</f>
        <v>91021.998420830627</v>
      </c>
      <c r="D116" s="440">
        <f>data!I132</f>
        <v>324145.76324703154</v>
      </c>
      <c r="F116" s="326">
        <v>2020</v>
      </c>
      <c r="G116" s="442">
        <f>data!Q132</f>
        <v>955538.09135431703</v>
      </c>
      <c r="H116" s="442">
        <f>data!N132</f>
        <v>85726.793923620338</v>
      </c>
      <c r="I116" s="442">
        <f>data!O132</f>
        <v>305288.58439932414</v>
      </c>
      <c r="J116" s="442"/>
      <c r="K116" s="443">
        <f>data!R132</f>
        <v>36530.755252953706</v>
      </c>
    </row>
    <row r="117" spans="1:11">
      <c r="A117" s="436">
        <v>2021</v>
      </c>
      <c r="B117" s="441">
        <f>data!K133</f>
        <v>1063224.6570253056</v>
      </c>
      <c r="C117" s="441">
        <f>data!H133</f>
        <v>95230.145549658075</v>
      </c>
      <c r="D117" s="440">
        <f>data!I133</f>
        <v>341045.71981525276</v>
      </c>
      <c r="F117" s="436">
        <v>2021</v>
      </c>
      <c r="G117" s="442">
        <f>data!Q133</f>
        <v>1024569.8919332343</v>
      </c>
      <c r="H117" s="442">
        <f>data!N133</f>
        <v>91767.943199869856</v>
      </c>
      <c r="I117" s="442">
        <f>data!O133</f>
        <v>328646.60726833489</v>
      </c>
      <c r="J117" s="442"/>
      <c r="K117" s="443">
        <f>data!R133</f>
        <v>39852.442774972136</v>
      </c>
    </row>
    <row r="118" spans="1:11">
      <c r="A118" s="326">
        <v>2022</v>
      </c>
      <c r="B118" s="441">
        <f>data!K134</f>
        <v>1110812.905689165</v>
      </c>
      <c r="C118" s="441">
        <f>data!H134</f>
        <v>99345.272685606426</v>
      </c>
      <c r="D118" s="440">
        <f>data!I134</f>
        <v>357571.48935899773</v>
      </c>
      <c r="F118" s="326">
        <v>2022</v>
      </c>
      <c r="G118" s="442">
        <f>data!Q134</f>
        <v>1094619.7549548892</v>
      </c>
      <c r="H118" s="442">
        <f>data!N134</f>
        <v>97897.042324672962</v>
      </c>
      <c r="I118" s="442">
        <f>data!O134</f>
        <v>352358.9022565122</v>
      </c>
      <c r="J118" s="442"/>
      <c r="K118" s="443">
        <f>data!R134</f>
        <v>43229.695391508343</v>
      </c>
    </row>
    <row r="119" spans="1:11">
      <c r="A119" s="436">
        <v>2023</v>
      </c>
      <c r="B119" s="441">
        <f>data!K135</f>
        <v>1157362.7432627247</v>
      </c>
      <c r="C119" s="441">
        <f>data!H135</f>
        <v>103370.65309671656</v>
      </c>
      <c r="D119" s="440">
        <f>data!I135</f>
        <v>373736.23952337494</v>
      </c>
      <c r="F119" s="436">
        <v>2023</v>
      </c>
      <c r="G119" s="442">
        <f>data!Q135</f>
        <v>1165649.8643615677</v>
      </c>
      <c r="H119" s="442">
        <f>data!N135</f>
        <v>104110.82304366336</v>
      </c>
      <c r="I119" s="442">
        <f>data!O135</f>
        <v>376412.32141212234</v>
      </c>
      <c r="J119" s="442"/>
      <c r="K119" s="443">
        <f>data!R135</f>
        <v>46660.555132275091</v>
      </c>
    </row>
    <row r="120" spans="1:11">
      <c r="A120" s="326">
        <v>2024</v>
      </c>
      <c r="B120" s="441">
        <f>data!K136</f>
        <v>1202910.284674159</v>
      </c>
      <c r="C120" s="441">
        <f>data!H136</f>
        <v>107309.40805328495</v>
      </c>
      <c r="D120" s="440">
        <f>data!I136</f>
        <v>389552.52649885562</v>
      </c>
      <c r="F120" s="326">
        <v>2024</v>
      </c>
      <c r="G120" s="442">
        <f>data!Q136</f>
        <v>1237624.1627142513</v>
      </c>
      <c r="H120" s="442">
        <f>data!N136</f>
        <v>110406.16909288756</v>
      </c>
      <c r="I120" s="442">
        <f>data!O136</f>
        <v>400794.32820874301</v>
      </c>
      <c r="J120" s="442"/>
      <c r="K120" s="443">
        <f>data!R136</f>
        <v>50143.154950760611</v>
      </c>
    </row>
    <row r="121" spans="1:11">
      <c r="A121" s="436">
        <v>2025</v>
      </c>
      <c r="B121" s="441">
        <f>data!K137</f>
        <v>1247489.9870635809</v>
      </c>
      <c r="C121" s="441">
        <f>data!H137</f>
        <v>111164.51554956517</v>
      </c>
      <c r="D121" s="440">
        <f>data!I137</f>
        <v>405032.33010729257</v>
      </c>
      <c r="F121" s="436">
        <v>2025</v>
      </c>
      <c r="G121" s="442">
        <f>data!Q137</f>
        <v>1310508.2502766307</v>
      </c>
      <c r="H121" s="442">
        <f>data!N137</f>
        <v>116780.10747695483</v>
      </c>
      <c r="I121" s="442">
        <f>data!O137</f>
        <v>425492.96245960286</v>
      </c>
      <c r="J121" s="442"/>
      <c r="K121" s="443">
        <f>data!R137</f>
        <v>53675.713506926775</v>
      </c>
    </row>
    <row r="122" spans="1:11">
      <c r="A122" s="326">
        <v>2026</v>
      </c>
      <c r="B122" s="441">
        <f>data!K138</f>
        <v>1291134.7438297521</v>
      </c>
      <c r="C122" s="441">
        <f>data!H138</f>
        <v>114938.81843188815</v>
      </c>
      <c r="D122" s="440">
        <f>data!I138</f>
        <v>420187.08649925055</v>
      </c>
      <c r="F122" s="326">
        <v>2026</v>
      </c>
      <c r="G122" s="442">
        <f>data!Q138</f>
        <v>1384269.2909695855</v>
      </c>
      <c r="H122" s="442">
        <f>data!N138</f>
        <v>123229.80034109541</v>
      </c>
      <c r="I122" s="442">
        <f>data!O138</f>
        <v>450496.80762025062</v>
      </c>
      <c r="J122" s="442"/>
      <c r="K122" s="443">
        <f>data!R138</f>
        <v>57256.530305080276</v>
      </c>
    </row>
    <row r="123" spans="1:11">
      <c r="A123" s="436">
        <v>2027</v>
      </c>
      <c r="B123" s="441">
        <f>data!K139</f>
        <v>1333875.9723447047</v>
      </c>
      <c r="C123" s="441">
        <f>data!H139</f>
        <v>118635.03197944714</v>
      </c>
      <c r="D123" s="440">
        <f>data!I139</f>
        <v>435027.71865023393</v>
      </c>
      <c r="F123" s="436">
        <v>2027</v>
      </c>
      <c r="G123" s="442">
        <f>data!Q139</f>
        <v>1458875.924654416</v>
      </c>
      <c r="H123" s="442">
        <f>data!N139</f>
        <v>129752.53739010739</v>
      </c>
      <c r="I123" s="442">
        <f>data!O139</f>
        <v>475794.96029196965</v>
      </c>
      <c r="J123" s="442"/>
      <c r="K123" s="443">
        <f>data!R139</f>
        <v>60883.981159024901</v>
      </c>
    </row>
    <row r="124" spans="1:11">
      <c r="A124" s="326">
        <v>2028</v>
      </c>
      <c r="B124" s="441">
        <f>data!K140</f>
        <v>1375743.6958320718</v>
      </c>
      <c r="C124" s="441">
        <f>data!H140</f>
        <v>122255.75098075937</v>
      </c>
      <c r="D124" s="440">
        <f>data!I140</f>
        <v>449564.66482725588</v>
      </c>
      <c r="F124" s="326">
        <v>2028</v>
      </c>
      <c r="G124" s="442">
        <f>data!Q140</f>
        <v>1534298.1852576155</v>
      </c>
      <c r="H124" s="442">
        <f>data!N140</f>
        <v>136345.72881225278</v>
      </c>
      <c r="I124" s="442">
        <f>data!O140</f>
        <v>501377.00175556692</v>
      </c>
      <c r="J124" s="442"/>
      <c r="K124" s="443">
        <f>data!R140</f>
        <v>64556.513959078133</v>
      </c>
    </row>
    <row r="125" spans="1:11">
      <c r="A125" s="436">
        <v>2029</v>
      </c>
      <c r="B125" s="441">
        <f>data!K141</f>
        <v>1416766.6198524975</v>
      </c>
      <c r="C125" s="441">
        <f>data!H141</f>
        <v>125803.45634398359</v>
      </c>
      <c r="D125" s="440">
        <f>data!I141</f>
        <v>463807.90518130711</v>
      </c>
      <c r="F125" s="436">
        <v>2029</v>
      </c>
      <c r="G125" s="442">
        <f>data!Q141</f>
        <v>1610507.4242833115</v>
      </c>
      <c r="H125" s="442">
        <f>data!N141</f>
        <v>143006.89866873127</v>
      </c>
      <c r="I125" s="442">
        <f>data!O141</f>
        <v>527232.9713792617</v>
      </c>
      <c r="J125" s="442"/>
      <c r="K125" s="443">
        <f>data!R141</f>
        <v>68272.644717766772</v>
      </c>
    </row>
    <row r="126" spans="1:11">
      <c r="A126" s="326">
        <v>2030</v>
      </c>
      <c r="B126" s="441">
        <f>data!K142</f>
        <v>1456972.2038097084</v>
      </c>
      <c r="C126" s="441">
        <f>data!H142</f>
        <v>129280.52127689405</v>
      </c>
      <c r="D126" s="440">
        <f>data!I142</f>
        <v>477766.98660772352</v>
      </c>
      <c r="F126" s="326">
        <v>2030</v>
      </c>
      <c r="G126" s="442">
        <f>data!Q142</f>
        <v>1687476.2393081486</v>
      </c>
      <c r="H126" s="442">
        <f>data!N142</f>
        <v>149733.6787137659</v>
      </c>
      <c r="I126" s="442">
        <f>data!O142</f>
        <v>553353.34175784083</v>
      </c>
      <c r="J126" s="442"/>
      <c r="K126" s="443">
        <f>data!R142</f>
        <v>72030.953873029037</v>
      </c>
    </row>
    <row r="127" spans="1:11">
      <c r="F127" s="218"/>
    </row>
    <row r="128" spans="1:11">
      <c r="A128" s="203"/>
    </row>
    <row r="129" spans="1:16">
      <c r="F129" s="218"/>
      <c r="N129" s="344" t="s">
        <v>480</v>
      </c>
      <c r="O129" s="344"/>
      <c r="P129" s="344"/>
    </row>
    <row r="130" spans="1:16" ht="15">
      <c r="A130" s="203"/>
      <c r="N130" s="345" t="s">
        <v>477</v>
      </c>
      <c r="O130" s="344"/>
      <c r="P130" s="344"/>
    </row>
    <row r="131" spans="1:16" ht="15">
      <c r="F131" s="218"/>
      <c r="N131" s="345" t="s">
        <v>478</v>
      </c>
      <c r="O131" s="344"/>
      <c r="P131" s="344"/>
    </row>
    <row r="132" spans="1:16" ht="15">
      <c r="A132" s="203"/>
      <c r="N132" s="345" t="s">
        <v>479</v>
      </c>
      <c r="O132" s="344"/>
      <c r="P132" s="344"/>
    </row>
    <row r="133" spans="1:16">
      <c r="N133" s="203" t="s">
        <v>544</v>
      </c>
    </row>
    <row r="135" spans="1:16">
      <c r="D135" s="203" t="s">
        <v>554</v>
      </c>
      <c r="G135" s="340"/>
      <c r="H135" s="340"/>
      <c r="I135" s="340"/>
      <c r="J135" s="340"/>
    </row>
    <row r="136" spans="1:16" ht="12.75" customHeight="1">
      <c r="A136" s="320"/>
      <c r="B136" s="568" t="s">
        <v>463</v>
      </c>
      <c r="C136" s="568"/>
      <c r="D136" s="568"/>
      <c r="E136" s="568"/>
      <c r="G136" s="569" t="s">
        <v>457</v>
      </c>
      <c r="H136" s="570"/>
      <c r="I136" s="570"/>
      <c r="J136" s="570"/>
      <c r="K136" s="570"/>
      <c r="L136" s="203" t="s">
        <v>554</v>
      </c>
      <c r="N136" s="203" t="s">
        <v>553</v>
      </c>
    </row>
    <row r="137" spans="1:16">
      <c r="A137" s="321" t="s">
        <v>456</v>
      </c>
      <c r="B137" s="321" t="str">
        <f>B101</f>
        <v>Urea</v>
      </c>
      <c r="C137" s="321" t="str">
        <f>C101</f>
        <v>ZA</v>
      </c>
      <c r="D137" s="321" t="str">
        <f>D101</f>
        <v>NPK</v>
      </c>
      <c r="E137" s="322" t="s">
        <v>462</v>
      </c>
      <c r="F137" s="322" t="s">
        <v>546</v>
      </c>
      <c r="G137" s="328" t="str">
        <f>G101</f>
        <v>Urea</v>
      </c>
      <c r="H137" s="328" t="str">
        <f>H101</f>
        <v>ZA</v>
      </c>
      <c r="I137" s="328" t="str">
        <f>I101</f>
        <v>NPK</v>
      </c>
      <c r="J137" s="328"/>
      <c r="K137" s="331" t="s">
        <v>462</v>
      </c>
      <c r="L137" s="444" t="s">
        <v>546</v>
      </c>
      <c r="N137" s="203" t="s">
        <v>545</v>
      </c>
    </row>
    <row r="138" spans="1:16">
      <c r="A138" s="341">
        <f>A102</f>
        <v>2006</v>
      </c>
      <c r="B138" s="324">
        <f>B102*46%*1000</f>
        <v>18934928.594162073</v>
      </c>
      <c r="C138" s="324">
        <f>C102*21%*1000</f>
        <v>1221100.3273265075</v>
      </c>
      <c r="D138" s="325">
        <f>D102*15%*1000</f>
        <v>634170.72546687513</v>
      </c>
      <c r="E138" s="323">
        <f>SUM(B138:D138)</f>
        <v>20790199.646955453</v>
      </c>
      <c r="F138" s="333">
        <f>E138/1000</f>
        <v>20790.199646955454</v>
      </c>
      <c r="G138" s="329">
        <f t="shared" ref="G138:G162" si="15">G102*46%*1000</f>
        <v>11967871.405837929</v>
      </c>
      <c r="H138" s="329">
        <f>H102*21%*1000</f>
        <v>771799.67267349269</v>
      </c>
      <c r="I138" s="330">
        <f t="shared" ref="I138:I162" si="16">I102*15%*1000</f>
        <v>400829.27453312499</v>
      </c>
      <c r="J138" s="330"/>
      <c r="K138" s="332">
        <f>SUM(G138:I138)</f>
        <v>13140500.353044545</v>
      </c>
      <c r="L138" s="445">
        <f>K138/1000</f>
        <v>13140.500353044545</v>
      </c>
    </row>
    <row r="139" spans="1:16">
      <c r="A139" s="341">
        <f>A103</f>
        <v>2007</v>
      </c>
      <c r="B139" s="324">
        <f t="shared" ref="B139:B162" si="17">B103*46%*1000</f>
        <v>199195557.9872084</v>
      </c>
      <c r="C139" s="324">
        <f t="shared" ref="C139:C162" si="18">C103*21%*1000</f>
        <v>8303625.7812861698</v>
      </c>
      <c r="D139" s="325">
        <f t="shared" ref="D139:D162" si="19">D103*15%*1000</f>
        <v>642271.95951532142</v>
      </c>
      <c r="E139" s="323">
        <f t="shared" ref="E139:E162" si="20">SUM(B139:D139)</f>
        <v>208141455.72800991</v>
      </c>
      <c r="F139" s="333">
        <f t="shared" ref="F139:F162" si="21">E139/1000</f>
        <v>208141.4557280099</v>
      </c>
      <c r="G139" s="329">
        <f t="shared" si="15"/>
        <v>122964522.0127916</v>
      </c>
      <c r="H139" s="329">
        <f t="shared" ref="H139:H162" si="22">H103*21%*1000</f>
        <v>5125874.2187138293</v>
      </c>
      <c r="I139" s="330">
        <f t="shared" si="16"/>
        <v>396478.04048467852</v>
      </c>
      <c r="J139" s="330"/>
      <c r="K139" s="332">
        <f t="shared" ref="K139:K162" si="23">SUM(G139:I139)</f>
        <v>128486874.27199012</v>
      </c>
      <c r="L139" s="445">
        <f t="shared" ref="L139:L162" si="24">K139/1000</f>
        <v>128486.87427199012</v>
      </c>
      <c r="M139" s="429" t="s">
        <v>404</v>
      </c>
      <c r="N139" s="429" t="s">
        <v>550</v>
      </c>
    </row>
    <row r="140" spans="1:16">
      <c r="A140" s="341">
        <f t="shared" ref="A140:A168" si="25">A104</f>
        <v>2008</v>
      </c>
      <c r="B140" s="324">
        <f t="shared" si="17"/>
        <v>204736263.53169414</v>
      </c>
      <c r="C140" s="324">
        <f t="shared" si="18"/>
        <v>8929591.16743204</v>
      </c>
      <c r="D140" s="325">
        <f t="shared" si="19"/>
        <v>14528428.434353439</v>
      </c>
      <c r="E140" s="323">
        <f t="shared" si="20"/>
        <v>228194283.13347962</v>
      </c>
      <c r="F140" s="333">
        <f t="shared" si="21"/>
        <v>228194.28313347962</v>
      </c>
      <c r="G140" s="329">
        <f t="shared" si="15"/>
        <v>121941476.46830589</v>
      </c>
      <c r="H140" s="329">
        <f t="shared" si="22"/>
        <v>5318488.83256796</v>
      </c>
      <c r="I140" s="330">
        <f t="shared" si="16"/>
        <v>8653171.5656465609</v>
      </c>
      <c r="J140" s="330"/>
      <c r="K140" s="332">
        <f t="shared" si="23"/>
        <v>135913136.8665204</v>
      </c>
      <c r="L140" s="445">
        <f t="shared" si="24"/>
        <v>135913.13686652039</v>
      </c>
      <c r="M140" s="443">
        <v>2008</v>
      </c>
      <c r="N140" s="443">
        <f t="shared" ref="N140:N162" si="26">20%*K104*1000</f>
        <v>384326.59712831286</v>
      </c>
    </row>
    <row r="141" spans="1:16">
      <c r="A141" s="341">
        <f t="shared" si="25"/>
        <v>2009</v>
      </c>
      <c r="B141" s="324">
        <f t="shared" si="17"/>
        <v>182886016.03994036</v>
      </c>
      <c r="C141" s="324">
        <f t="shared" si="18"/>
        <v>8937760.8750679642</v>
      </c>
      <c r="D141" s="325">
        <f t="shared" si="19"/>
        <v>21981983.797783136</v>
      </c>
      <c r="E141" s="323">
        <f t="shared" si="20"/>
        <v>213805760.71279144</v>
      </c>
      <c r="F141" s="333">
        <f t="shared" si="21"/>
        <v>213805.76071279144</v>
      </c>
      <c r="G141" s="329">
        <f t="shared" si="15"/>
        <v>123898034.96005967</v>
      </c>
      <c r="H141" s="329">
        <f t="shared" si="22"/>
        <v>6054979.1249320349</v>
      </c>
      <c r="I141" s="330">
        <f t="shared" si="16"/>
        <v>14891923.702216858</v>
      </c>
      <c r="J141" s="330"/>
      <c r="K141" s="332">
        <f t="shared" si="23"/>
        <v>144844937.78720856</v>
      </c>
      <c r="L141" s="445">
        <f t="shared" si="24"/>
        <v>144844.93778720856</v>
      </c>
      <c r="M141" s="443">
        <v>2009</v>
      </c>
      <c r="N141" s="443">
        <f>20%*K105*1000</f>
        <v>1323451.6567620249</v>
      </c>
    </row>
    <row r="142" spans="1:16">
      <c r="A142" s="341">
        <f t="shared" si="25"/>
        <v>2010</v>
      </c>
      <c r="B142" s="324">
        <f t="shared" si="17"/>
        <v>183308207.35395637</v>
      </c>
      <c r="C142" s="324">
        <f t="shared" si="18"/>
        <v>7270269.9393187976</v>
      </c>
      <c r="D142" s="325">
        <f t="shared" si="19"/>
        <v>22055282.196301125</v>
      </c>
      <c r="E142" s="323">
        <f t="shared" si="20"/>
        <v>212633759.48957631</v>
      </c>
      <c r="F142" s="333">
        <f t="shared" si="21"/>
        <v>212633.7594895763</v>
      </c>
      <c r="G142" s="329">
        <f t="shared" si="15"/>
        <v>127878572.64604364</v>
      </c>
      <c r="H142" s="329">
        <f t="shared" si="22"/>
        <v>5071850.0606812024</v>
      </c>
      <c r="I142" s="330">
        <f t="shared" si="16"/>
        <v>15386097.803698877</v>
      </c>
      <c r="J142" s="330"/>
      <c r="K142" s="332">
        <f t="shared" si="23"/>
        <v>148336520.51042372</v>
      </c>
      <c r="L142" s="445">
        <f t="shared" si="24"/>
        <v>148336.52051042372</v>
      </c>
      <c r="M142" s="443">
        <v>2010</v>
      </c>
      <c r="N142" s="443">
        <f t="shared" si="26"/>
        <v>1275922.3904328484</v>
      </c>
    </row>
    <row r="143" spans="1:16">
      <c r="A143" s="341">
        <f t="shared" si="25"/>
        <v>2011</v>
      </c>
      <c r="B143" s="324">
        <f t="shared" si="17"/>
        <v>238407411.32348374</v>
      </c>
      <c r="C143" s="324">
        <f t="shared" si="18"/>
        <v>10099585.341995269</v>
      </c>
      <c r="D143" s="325">
        <f t="shared" si="19"/>
        <v>22787690.145574942</v>
      </c>
      <c r="E143" s="323">
        <f t="shared" si="20"/>
        <v>271294686.81105393</v>
      </c>
      <c r="F143" s="333">
        <f t="shared" si="21"/>
        <v>271294.68681105395</v>
      </c>
      <c r="G143" s="329">
        <f t="shared" si="15"/>
        <v>179365354.31690377</v>
      </c>
      <c r="H143" s="329">
        <f t="shared" si="22"/>
        <v>7598403.4777460396</v>
      </c>
      <c r="I143" s="330">
        <f t="shared" si="16"/>
        <v>17144274.560655218</v>
      </c>
      <c r="J143" s="330"/>
      <c r="K143" s="332">
        <f t="shared" si="23"/>
        <v>204108032.35530502</v>
      </c>
      <c r="L143" s="445">
        <f t="shared" si="24"/>
        <v>204108.03235530501</v>
      </c>
      <c r="M143" s="443">
        <v>2011</v>
      </c>
      <c r="N143" s="443">
        <f t="shared" si="26"/>
        <v>2051786.6209248686</v>
      </c>
    </row>
    <row r="144" spans="1:16">
      <c r="A144" s="341">
        <f t="shared" si="25"/>
        <v>2012</v>
      </c>
      <c r="B144" s="324">
        <f t="shared" si="17"/>
        <v>267388090.48232871</v>
      </c>
      <c r="C144" s="324">
        <f t="shared" si="18"/>
        <v>11246976.569632063</v>
      </c>
      <c r="D144" s="325">
        <f t="shared" si="19"/>
        <v>26049122.958092447</v>
      </c>
      <c r="E144" s="323">
        <f t="shared" si="20"/>
        <v>304684190.01005322</v>
      </c>
      <c r="F144" s="333">
        <f t="shared" si="21"/>
        <v>304684.19001005322</v>
      </c>
      <c r="G144" s="329">
        <f t="shared" si="15"/>
        <v>204767227.33183065</v>
      </c>
      <c r="H144" s="329">
        <f t="shared" si="22"/>
        <v>8612994.706964422</v>
      </c>
      <c r="I144" s="330">
        <f t="shared" si="16"/>
        <v>19948557.442976475</v>
      </c>
      <c r="J144" s="330"/>
      <c r="K144" s="332">
        <f t="shared" si="23"/>
        <v>233328779.48177156</v>
      </c>
      <c r="L144" s="445">
        <f t="shared" si="24"/>
        <v>233328.77948177155</v>
      </c>
      <c r="M144" s="443">
        <v>2012</v>
      </c>
      <c r="N144" s="443">
        <f t="shared" si="26"/>
        <v>4385963.5604314143</v>
      </c>
    </row>
    <row r="145" spans="1:14">
      <c r="A145" s="341">
        <f t="shared" si="25"/>
        <v>2013</v>
      </c>
      <c r="B145" s="324">
        <f t="shared" si="17"/>
        <v>294477112.22959423</v>
      </c>
      <c r="C145" s="324">
        <f t="shared" si="18"/>
        <v>12316260.948144956</v>
      </c>
      <c r="D145" s="325">
        <f t="shared" si="19"/>
        <v>29117331.665718444</v>
      </c>
      <c r="E145" s="323">
        <f t="shared" si="20"/>
        <v>335910704.84345764</v>
      </c>
      <c r="F145" s="333">
        <f t="shared" si="21"/>
        <v>335910.70484345761</v>
      </c>
      <c r="G145" s="329">
        <f t="shared" si="15"/>
        <v>232033735.37095645</v>
      </c>
      <c r="H145" s="329">
        <f t="shared" si="22"/>
        <v>9704618.5082574021</v>
      </c>
      <c r="I145" s="330">
        <f t="shared" si="16"/>
        <v>22943050.409853563</v>
      </c>
      <c r="J145" s="330"/>
      <c r="K145" s="332">
        <f t="shared" si="23"/>
        <v>264681404.28906739</v>
      </c>
      <c r="L145" s="445">
        <f t="shared" si="24"/>
        <v>264681.40428906737</v>
      </c>
      <c r="M145" s="443">
        <v>2013</v>
      </c>
      <c r="N145" s="443">
        <f t="shared" si="26"/>
        <v>3519877.0411922112</v>
      </c>
    </row>
    <row r="146" spans="1:14">
      <c r="A146" s="341">
        <f t="shared" si="25"/>
        <v>2014</v>
      </c>
      <c r="B146" s="324">
        <f t="shared" si="17"/>
        <v>320895686.71898836</v>
      </c>
      <c r="C146" s="324">
        <f t="shared" si="18"/>
        <v>13359092.382083382</v>
      </c>
      <c r="D146" s="325">
        <f t="shared" si="19"/>
        <v>32109531.880679052</v>
      </c>
      <c r="E146" s="323">
        <f t="shared" si="20"/>
        <v>366364310.98175079</v>
      </c>
      <c r="F146" s="333">
        <f t="shared" si="21"/>
        <v>366364.31098175078</v>
      </c>
      <c r="G146" s="329">
        <f t="shared" si="15"/>
        <v>259943695.12194172</v>
      </c>
      <c r="H146" s="329">
        <f t="shared" si="22"/>
        <v>10821622.044160223</v>
      </c>
      <c r="I146" s="330">
        <f t="shared" si="16"/>
        <v>26010540.842852671</v>
      </c>
      <c r="J146" s="330"/>
      <c r="K146" s="332">
        <f t="shared" si="23"/>
        <v>296775858.00895458</v>
      </c>
      <c r="L146" s="445">
        <f t="shared" si="24"/>
        <v>296775.85800895456</v>
      </c>
      <c r="M146" s="443">
        <v>2014</v>
      </c>
      <c r="N146" s="443">
        <f t="shared" si="26"/>
        <v>2930901.8465104527</v>
      </c>
    </row>
    <row r="147" spans="1:14">
      <c r="A147" s="341">
        <f t="shared" si="25"/>
        <v>2015</v>
      </c>
      <c r="B147" s="324">
        <f t="shared" si="17"/>
        <v>346669862.36417204</v>
      </c>
      <c r="C147" s="324">
        <f t="shared" si="18"/>
        <v>14376498.621058093</v>
      </c>
      <c r="D147" s="325">
        <f t="shared" si="19"/>
        <v>35028676.755962171</v>
      </c>
      <c r="E147" s="323">
        <f t="shared" si="20"/>
        <v>396075037.74119234</v>
      </c>
      <c r="F147" s="333">
        <f t="shared" si="21"/>
        <v>396075.03774119233</v>
      </c>
      <c r="G147" s="329">
        <f t="shared" si="15"/>
        <v>288471084.9722442</v>
      </c>
      <c r="H147" s="329">
        <f t="shared" si="22"/>
        <v>11962978.630550871</v>
      </c>
      <c r="I147" s="330">
        <f t="shared" si="16"/>
        <v>29148078.578343585</v>
      </c>
      <c r="J147" s="330"/>
      <c r="K147" s="332">
        <f t="shared" si="23"/>
        <v>329582142.18113863</v>
      </c>
      <c r="L147" s="445">
        <f t="shared" si="24"/>
        <v>329582.14218113862</v>
      </c>
      <c r="M147" s="443">
        <v>2015</v>
      </c>
      <c r="N147" s="443">
        <f t="shared" si="26"/>
        <v>4166286.0575279584</v>
      </c>
    </row>
    <row r="148" spans="1:14">
      <c r="A148" s="341">
        <f t="shared" si="25"/>
        <v>2016</v>
      </c>
      <c r="B148" s="324">
        <f t="shared" si="17"/>
        <v>371824354.13358659</v>
      </c>
      <c r="C148" s="324">
        <f t="shared" si="18"/>
        <v>15369454.803112898</v>
      </c>
      <c r="D148" s="325">
        <f t="shared" si="19"/>
        <v>37877568.269532226</v>
      </c>
      <c r="E148" s="323">
        <f t="shared" si="20"/>
        <v>425071377.20623171</v>
      </c>
      <c r="F148" s="333">
        <f t="shared" si="21"/>
        <v>425071.3772062317</v>
      </c>
      <c r="G148" s="329">
        <f t="shared" si="15"/>
        <v>317591216.71494991</v>
      </c>
      <c r="H148" s="329">
        <f t="shared" si="22"/>
        <v>13127714.193278395</v>
      </c>
      <c r="I148" s="330">
        <f t="shared" si="16"/>
        <v>32352864.623285029</v>
      </c>
      <c r="J148" s="330"/>
      <c r="K148" s="332">
        <f t="shared" si="23"/>
        <v>363071795.53151333</v>
      </c>
      <c r="L148" s="445">
        <f t="shared" si="24"/>
        <v>363071.79553151334</v>
      </c>
      <c r="M148" s="443">
        <v>2016</v>
      </c>
      <c r="N148" s="443">
        <f>20%*K112*1000</f>
        <v>4768464.7339260047</v>
      </c>
    </row>
    <row r="149" spans="1:14">
      <c r="A149" s="341">
        <f t="shared" si="25"/>
        <v>2017</v>
      </c>
      <c r="B149" s="324">
        <f t="shared" si="17"/>
        <v>396382627.79940403</v>
      </c>
      <c r="C149" s="324">
        <f t="shared" si="18"/>
        <v>16338886.778818101</v>
      </c>
      <c r="D149" s="325">
        <f t="shared" si="19"/>
        <v>40658866.775802188</v>
      </c>
      <c r="E149" s="323">
        <f t="shared" si="20"/>
        <v>453380381.35402435</v>
      </c>
      <c r="F149" s="333">
        <f t="shared" si="21"/>
        <v>453380.38135402434</v>
      </c>
      <c r="G149" s="329">
        <f t="shared" si="15"/>
        <v>347280651.29916406</v>
      </c>
      <c r="H149" s="329">
        <f t="shared" si="22"/>
        <v>14314903.944081932</v>
      </c>
      <c r="I149" s="330">
        <f>I113*15%*1000</f>
        <v>35622241.603716806</v>
      </c>
      <c r="J149" s="330"/>
      <c r="K149" s="332">
        <f t="shared" si="23"/>
        <v>397217796.84696275</v>
      </c>
      <c r="L149" s="445">
        <f t="shared" si="24"/>
        <v>397217.79684696277</v>
      </c>
      <c r="M149" s="443">
        <v>2017</v>
      </c>
      <c r="N149" s="443">
        <f t="shared" si="26"/>
        <v>5384029.4905385822</v>
      </c>
    </row>
    <row r="150" spans="1:14">
      <c r="A150" s="341">
        <f t="shared" si="25"/>
        <v>2018</v>
      </c>
      <c r="B150" s="324">
        <f t="shared" si="17"/>
        <v>420366977.87945569</v>
      </c>
      <c r="C150" s="324">
        <f t="shared" si="18"/>
        <v>17285674.186489098</v>
      </c>
      <c r="D150" s="325">
        <f t="shared" si="19"/>
        <v>43375099.842005618</v>
      </c>
      <c r="E150" s="323">
        <f t="shared" si="20"/>
        <v>481027751.9079504</v>
      </c>
      <c r="F150" s="333">
        <f t="shared" si="21"/>
        <v>481027.75190795038</v>
      </c>
      <c r="G150" s="329">
        <f t="shared" si="15"/>
        <v>377517120.8890695</v>
      </c>
      <c r="H150" s="329">
        <f t="shared" si="22"/>
        <v>15523669.30539716</v>
      </c>
      <c r="I150" s="330">
        <f t="shared" si="16"/>
        <v>38953684.928423516</v>
      </c>
      <c r="J150" s="330"/>
      <c r="K150" s="332">
        <f t="shared" si="23"/>
        <v>431994475.12289017</v>
      </c>
      <c r="L150" s="445">
        <f t="shared" si="24"/>
        <v>431994.4751228902</v>
      </c>
      <c r="M150" s="443">
        <v>2018</v>
      </c>
      <c r="N150" s="443">
        <f t="shared" si="26"/>
        <v>6012479.2061431408</v>
      </c>
    </row>
    <row r="151" spans="1:14">
      <c r="A151" s="341">
        <f t="shared" si="25"/>
        <v>2019</v>
      </c>
      <c r="B151" s="324">
        <f t="shared" si="17"/>
        <v>443798599.81456405</v>
      </c>
      <c r="C151" s="324">
        <f t="shared" si="18"/>
        <v>18210653.299959276</v>
      </c>
      <c r="D151" s="325">
        <f t="shared" si="19"/>
        <v>46028670.431135461</v>
      </c>
      <c r="E151" s="323">
        <f t="shared" si="20"/>
        <v>508037923.54565883</v>
      </c>
      <c r="F151" s="333">
        <f t="shared" si="21"/>
        <v>508037.92354565882</v>
      </c>
      <c r="G151" s="329">
        <f t="shared" si="15"/>
        <v>408279456.68593752</v>
      </c>
      <c r="H151" s="329">
        <f t="shared" si="22"/>
        <v>16753175.062539602</v>
      </c>
      <c r="I151" s="330">
        <f t="shared" si="16"/>
        <v>42344794.606049478</v>
      </c>
      <c r="J151" s="330"/>
      <c r="K151" s="332">
        <f t="shared" si="23"/>
        <v>467377426.35452658</v>
      </c>
      <c r="L151" s="445">
        <f t="shared" si="24"/>
        <v>467377.4263545266</v>
      </c>
      <c r="M151" s="443">
        <v>2019</v>
      </c>
      <c r="N151" s="443">
        <f t="shared" si="26"/>
        <v>6653337.4645265713</v>
      </c>
    </row>
    <row r="152" spans="1:14">
      <c r="A152" s="341">
        <f t="shared" si="25"/>
        <v>2020</v>
      </c>
      <c r="B152" s="324">
        <f t="shared" si="17"/>
        <v>466697656.87379432</v>
      </c>
      <c r="C152" s="324">
        <f t="shared" si="18"/>
        <v>19114619.66837443</v>
      </c>
      <c r="D152" s="325">
        <f t="shared" si="19"/>
        <v>48621864.487054728</v>
      </c>
      <c r="E152" s="323">
        <f t="shared" si="20"/>
        <v>534434141.02922344</v>
      </c>
      <c r="F152" s="333">
        <f t="shared" si="21"/>
        <v>534434.14102922345</v>
      </c>
      <c r="G152" s="329">
        <f t="shared" si="15"/>
        <v>439547522.02298588</v>
      </c>
      <c r="H152" s="329">
        <f t="shared" si="22"/>
        <v>18002626.723960273</v>
      </c>
      <c r="I152" s="330">
        <f t="shared" si="16"/>
        <v>45793287.659898616</v>
      </c>
      <c r="J152" s="330"/>
      <c r="K152" s="332">
        <f t="shared" si="23"/>
        <v>503343436.40684479</v>
      </c>
      <c r="L152" s="445">
        <f t="shared" si="24"/>
        <v>503343.43640684482</v>
      </c>
      <c r="M152" s="443">
        <v>2020</v>
      </c>
      <c r="N152" s="443">
        <f t="shared" si="26"/>
        <v>7306151.0505907414</v>
      </c>
    </row>
    <row r="153" spans="1:14">
      <c r="A153" s="341">
        <f t="shared" si="25"/>
        <v>2021</v>
      </c>
      <c r="B153" s="324">
        <f t="shared" si="17"/>
        <v>489083342.23164058</v>
      </c>
      <c r="C153" s="324">
        <f t="shared" si="18"/>
        <v>19998330.565428194</v>
      </c>
      <c r="D153" s="325">
        <f t="shared" si="19"/>
        <v>51156857.972287916</v>
      </c>
      <c r="E153" s="323">
        <f t="shared" si="20"/>
        <v>560238530.76935673</v>
      </c>
      <c r="F153" s="333">
        <f t="shared" si="21"/>
        <v>560238.53076935676</v>
      </c>
      <c r="G153" s="329">
        <f t="shared" si="15"/>
        <v>471302150.28928781</v>
      </c>
      <c r="H153" s="329">
        <f t="shared" si="22"/>
        <v>19271268.071972672</v>
      </c>
      <c r="I153" s="330">
        <f t="shared" si="16"/>
        <v>49296991.090250231</v>
      </c>
      <c r="J153" s="330"/>
      <c r="K153" s="332">
        <f t="shared" si="23"/>
        <v>539870409.45151067</v>
      </c>
      <c r="L153" s="445">
        <f t="shared" si="24"/>
        <v>539870.40945151064</v>
      </c>
      <c r="M153" s="443">
        <v>2021</v>
      </c>
      <c r="N153" s="443">
        <f t="shared" si="26"/>
        <v>7970488.5549944276</v>
      </c>
    </row>
    <row r="154" spans="1:14">
      <c r="A154" s="341">
        <f t="shared" si="25"/>
        <v>2022</v>
      </c>
      <c r="B154" s="324">
        <f t="shared" si="17"/>
        <v>510973936.6170159</v>
      </c>
      <c r="C154" s="324">
        <f t="shared" si="18"/>
        <v>20862507.263977349</v>
      </c>
      <c r="D154" s="325">
        <f t="shared" si="19"/>
        <v>53635723.403849661</v>
      </c>
      <c r="E154" s="323">
        <f t="shared" si="20"/>
        <v>585472167.28484297</v>
      </c>
      <c r="F154" s="333">
        <f t="shared" si="21"/>
        <v>585472.16728484293</v>
      </c>
      <c r="G154" s="329">
        <f t="shared" si="15"/>
        <v>503525087.27924901</v>
      </c>
      <c r="H154" s="329">
        <f t="shared" si="22"/>
        <v>20558378.888181321</v>
      </c>
      <c r="I154" s="330">
        <f t="shared" si="16"/>
        <v>52853835.338476829</v>
      </c>
      <c r="J154" s="330"/>
      <c r="K154" s="332">
        <f t="shared" si="23"/>
        <v>576937301.50590718</v>
      </c>
      <c r="L154" s="445">
        <f t="shared" si="24"/>
        <v>576937.30150590721</v>
      </c>
      <c r="M154" s="443">
        <v>2022</v>
      </c>
      <c r="N154" s="443">
        <f t="shared" si="26"/>
        <v>8645939.07830167</v>
      </c>
    </row>
    <row r="155" spans="1:14">
      <c r="A155" s="341">
        <f t="shared" si="25"/>
        <v>2023</v>
      </c>
      <c r="B155" s="324">
        <f t="shared" si="17"/>
        <v>532386861.90085334</v>
      </c>
      <c r="C155" s="324">
        <f t="shared" si="18"/>
        <v>21707837.150310475</v>
      </c>
      <c r="D155" s="325">
        <f t="shared" si="19"/>
        <v>56060435.92850624</v>
      </c>
      <c r="E155" s="323">
        <f t="shared" si="20"/>
        <v>610155134.97967005</v>
      </c>
      <c r="F155" s="333">
        <f t="shared" si="21"/>
        <v>610155.13497967005</v>
      </c>
      <c r="G155" s="329">
        <f t="shared" si="15"/>
        <v>536198937.60632116</v>
      </c>
      <c r="H155" s="329">
        <f t="shared" si="22"/>
        <v>21863272.839169305</v>
      </c>
      <c r="I155" s="330">
        <f t="shared" si="16"/>
        <v>56461848.211818352</v>
      </c>
      <c r="J155" s="330"/>
      <c r="K155" s="332">
        <f t="shared" si="23"/>
        <v>614524058.65730882</v>
      </c>
      <c r="L155" s="445">
        <f t="shared" si="24"/>
        <v>614524.05865730881</v>
      </c>
      <c r="M155" s="443">
        <v>2023</v>
      </c>
      <c r="N155" s="443">
        <f t="shared" si="26"/>
        <v>9332111.0264550187</v>
      </c>
    </row>
    <row r="156" spans="1:14">
      <c r="A156" s="341">
        <f t="shared" si="25"/>
        <v>2024</v>
      </c>
      <c r="B156" s="324">
        <f t="shared" si="17"/>
        <v>553338730.95011318</v>
      </c>
      <c r="C156" s="324">
        <f t="shared" si="18"/>
        <v>22534975.691189837</v>
      </c>
      <c r="D156" s="325">
        <f t="shared" si="19"/>
        <v>58432878.97482834</v>
      </c>
      <c r="E156" s="323">
        <f t="shared" si="20"/>
        <v>634306585.61613142</v>
      </c>
      <c r="F156" s="333">
        <f t="shared" si="21"/>
        <v>634306.58561613143</v>
      </c>
      <c r="G156" s="329">
        <f t="shared" si="15"/>
        <v>569307114.84855568</v>
      </c>
      <c r="H156" s="329">
        <f t="shared" si="22"/>
        <v>23185295.509506389</v>
      </c>
      <c r="I156" s="330">
        <f t="shared" si="16"/>
        <v>60119149.231311448</v>
      </c>
      <c r="J156" s="330"/>
      <c r="K156" s="332">
        <f t="shared" si="23"/>
        <v>652611559.58937347</v>
      </c>
      <c r="L156" s="445">
        <f t="shared" si="24"/>
        <v>652611.55958937341</v>
      </c>
      <c r="M156" s="443">
        <v>2024</v>
      </c>
      <c r="N156" s="443">
        <f t="shared" si="26"/>
        <v>10028630.990152124</v>
      </c>
    </row>
    <row r="157" spans="1:14">
      <c r="A157" s="341">
        <f t="shared" si="25"/>
        <v>2025</v>
      </c>
      <c r="B157" s="324">
        <f t="shared" si="17"/>
        <v>573845394.04924726</v>
      </c>
      <c r="C157" s="324">
        <f t="shared" si="18"/>
        <v>23344548.265408684</v>
      </c>
      <c r="D157" s="325">
        <f t="shared" si="19"/>
        <v>60754849.516093887</v>
      </c>
      <c r="E157" s="323">
        <f t="shared" si="20"/>
        <v>657944791.83074975</v>
      </c>
      <c r="F157" s="333">
        <f t="shared" si="21"/>
        <v>657944.79183074972</v>
      </c>
      <c r="G157" s="329">
        <f t="shared" si="15"/>
        <v>602833795.12725019</v>
      </c>
      <c r="H157" s="329">
        <f t="shared" si="22"/>
        <v>24523822.570160512</v>
      </c>
      <c r="I157" s="330">
        <f t="shared" si="16"/>
        <v>63823944.368940428</v>
      </c>
      <c r="J157" s="330"/>
      <c r="K157" s="332">
        <f t="shared" si="23"/>
        <v>691181562.06635118</v>
      </c>
      <c r="L157" s="445">
        <f t="shared" si="24"/>
        <v>691181.56206635118</v>
      </c>
      <c r="M157" s="443">
        <v>2025</v>
      </c>
      <c r="N157" s="443">
        <f t="shared" si="26"/>
        <v>10735142.701385355</v>
      </c>
    </row>
    <row r="158" spans="1:14">
      <c r="A158" s="341">
        <f t="shared" si="25"/>
        <v>2026</v>
      </c>
      <c r="B158" s="324">
        <f t="shared" si="17"/>
        <v>593921982.16168594</v>
      </c>
      <c r="C158" s="324">
        <f t="shared" si="18"/>
        <v>24137151.870696511</v>
      </c>
      <c r="D158" s="325">
        <f t="shared" si="19"/>
        <v>63028062.97488758</v>
      </c>
      <c r="E158" s="323">
        <f t="shared" si="20"/>
        <v>681087197.0072701</v>
      </c>
      <c r="F158" s="333">
        <f t="shared" si="21"/>
        <v>681087.19700727006</v>
      </c>
      <c r="G158" s="329">
        <f t="shared" si="15"/>
        <v>636763873.84600937</v>
      </c>
      <c r="H158" s="329">
        <f t="shared" si="22"/>
        <v>25878258.071630035</v>
      </c>
      <c r="I158" s="330">
        <f t="shared" si="16"/>
        <v>67574521.143037587</v>
      </c>
      <c r="J158" s="330"/>
      <c r="K158" s="332">
        <f t="shared" si="23"/>
        <v>730216653.06067693</v>
      </c>
      <c r="L158" s="445">
        <f t="shared" si="24"/>
        <v>730216.65306067688</v>
      </c>
      <c r="M158" s="443">
        <v>2026</v>
      </c>
      <c r="N158" s="443">
        <f t="shared" si="26"/>
        <v>11451306.061016055</v>
      </c>
    </row>
    <row r="159" spans="1:14">
      <c r="A159" s="341">
        <f t="shared" si="25"/>
        <v>2027</v>
      </c>
      <c r="B159" s="324">
        <f t="shared" si="17"/>
        <v>613582947.27856421</v>
      </c>
      <c r="C159" s="324">
        <f t="shared" si="18"/>
        <v>24913356.7156839</v>
      </c>
      <c r="D159" s="325">
        <f t="shared" si="19"/>
        <v>65254157.797535092</v>
      </c>
      <c r="E159" s="323">
        <f t="shared" si="20"/>
        <v>703750461.79178321</v>
      </c>
      <c r="F159" s="333">
        <f t="shared" si="21"/>
        <v>703750.46179178322</v>
      </c>
      <c r="G159" s="329">
        <f t="shared" si="15"/>
        <v>671082925.34103143</v>
      </c>
      <c r="H159" s="329">
        <f t="shared" si="22"/>
        <v>27248032.851922553</v>
      </c>
      <c r="I159" s="330">
        <f t="shared" si="16"/>
        <v>71369244.043795452</v>
      </c>
      <c r="J159" s="330"/>
      <c r="K159" s="332">
        <f t="shared" si="23"/>
        <v>769700202.23674941</v>
      </c>
      <c r="L159" s="445">
        <f t="shared" si="24"/>
        <v>769700.20223674946</v>
      </c>
      <c r="M159" s="443">
        <v>2027</v>
      </c>
      <c r="N159" s="443">
        <f t="shared" si="26"/>
        <v>12176796.231804982</v>
      </c>
    </row>
    <row r="160" spans="1:14">
      <c r="A160" s="341">
        <f t="shared" si="25"/>
        <v>2028</v>
      </c>
      <c r="B160" s="324">
        <f t="shared" si="17"/>
        <v>632842100.08275306</v>
      </c>
      <c r="C160" s="324">
        <f t="shared" si="18"/>
        <v>25673707.705959465</v>
      </c>
      <c r="D160" s="325">
        <f t="shared" si="19"/>
        <v>67434699.724088386</v>
      </c>
      <c r="E160" s="323">
        <f t="shared" si="20"/>
        <v>725950507.51280093</v>
      </c>
      <c r="F160" s="333">
        <f t="shared" si="21"/>
        <v>725950.50751280098</v>
      </c>
      <c r="G160" s="329">
        <f t="shared" si="15"/>
        <v>705777165.21850324</v>
      </c>
      <c r="H160" s="329">
        <f t="shared" si="22"/>
        <v>28632603.050573085</v>
      </c>
      <c r="I160" s="330">
        <f t="shared" si="16"/>
        <v>75206550.263335034</v>
      </c>
      <c r="J160" s="330"/>
      <c r="K160" s="332">
        <f t="shared" si="23"/>
        <v>809616318.53241134</v>
      </c>
      <c r="L160" s="445">
        <f t="shared" si="24"/>
        <v>809616.31853241136</v>
      </c>
      <c r="M160" s="443">
        <v>2028</v>
      </c>
      <c r="N160" s="443">
        <f t="shared" si="26"/>
        <v>12911302.791815627</v>
      </c>
    </row>
    <row r="161" spans="1:14">
      <c r="A161" s="341">
        <f t="shared" si="25"/>
        <v>2029</v>
      </c>
      <c r="B161" s="324">
        <f t="shared" si="17"/>
        <v>651712645.13214886</v>
      </c>
      <c r="C161" s="324">
        <f t="shared" si="18"/>
        <v>26418725.832236551</v>
      </c>
      <c r="D161" s="325">
        <f t="shared" si="19"/>
        <v>69571185.777196065</v>
      </c>
      <c r="E161" s="323">
        <f t="shared" si="20"/>
        <v>747702556.74158144</v>
      </c>
      <c r="F161" s="333">
        <f t="shared" si="21"/>
        <v>747702.55674158141</v>
      </c>
      <c r="G161" s="329">
        <f t="shared" si="15"/>
        <v>740833415.17032337</v>
      </c>
      <c r="H161" s="329">
        <f t="shared" si="22"/>
        <v>30031448.720433567</v>
      </c>
      <c r="I161" s="330">
        <f t="shared" si="16"/>
        <v>79084945.706889257</v>
      </c>
      <c r="J161" s="330"/>
      <c r="K161" s="332">
        <f t="shared" si="23"/>
        <v>849949809.59764624</v>
      </c>
      <c r="L161" s="445">
        <f t="shared" si="24"/>
        <v>849949.80959764624</v>
      </c>
      <c r="M161" s="443">
        <v>2029</v>
      </c>
      <c r="N161" s="443">
        <f t="shared" si="26"/>
        <v>13654528.943553356</v>
      </c>
    </row>
    <row r="162" spans="1:14">
      <c r="A162" s="341">
        <f t="shared" si="25"/>
        <v>2030</v>
      </c>
      <c r="B162" s="324">
        <f t="shared" si="17"/>
        <v>670207213.75246596</v>
      </c>
      <c r="C162" s="324">
        <f t="shared" si="18"/>
        <v>27148909.468147751</v>
      </c>
      <c r="D162" s="325">
        <f t="shared" si="19"/>
        <v>71665047.99115853</v>
      </c>
      <c r="E162" s="323">
        <f t="shared" si="20"/>
        <v>769021171.2117722</v>
      </c>
      <c r="F162" s="333">
        <f t="shared" si="21"/>
        <v>769021.17121177225</v>
      </c>
      <c r="G162" s="329">
        <f t="shared" si="15"/>
        <v>776239070.08174837</v>
      </c>
      <c r="H162" s="329">
        <f t="shared" si="22"/>
        <v>31444072.529890835</v>
      </c>
      <c r="I162" s="330">
        <f t="shared" si="16"/>
        <v>83003001.263676122</v>
      </c>
      <c r="J162" s="330"/>
      <c r="K162" s="332">
        <f t="shared" si="23"/>
        <v>890686143.87531543</v>
      </c>
      <c r="L162" s="445">
        <f t="shared" si="24"/>
        <v>890686.14387531544</v>
      </c>
      <c r="M162" s="443">
        <v>2030</v>
      </c>
      <c r="N162" s="443">
        <f t="shared" si="26"/>
        <v>14406190.774605807</v>
      </c>
    </row>
    <row r="163" spans="1:14">
      <c r="A163" s="341">
        <f t="shared" si="25"/>
        <v>0</v>
      </c>
    </row>
    <row r="164" spans="1:14">
      <c r="A164" s="341">
        <f t="shared" si="25"/>
        <v>0</v>
      </c>
    </row>
    <row r="165" spans="1:14">
      <c r="A165" s="341">
        <f t="shared" si="25"/>
        <v>0</v>
      </c>
    </row>
    <row r="166" spans="1:14">
      <c r="A166" s="341">
        <f t="shared" si="25"/>
        <v>0</v>
      </c>
    </row>
    <row r="167" spans="1:14">
      <c r="A167" s="341">
        <f t="shared" si="25"/>
        <v>0</v>
      </c>
    </row>
    <row r="168" spans="1:14">
      <c r="A168" s="341">
        <f t="shared" si="25"/>
        <v>0</v>
      </c>
    </row>
    <row r="169" spans="1:14" ht="25.5">
      <c r="A169" s="218" t="s">
        <v>395</v>
      </c>
      <c r="B169" s="203" t="s">
        <v>396</v>
      </c>
    </row>
    <row r="171" spans="1:14">
      <c r="B171" s="203" t="s">
        <v>397</v>
      </c>
      <c r="D171" s="203"/>
      <c r="E171" s="213"/>
      <c r="G171" s="203" t="s">
        <v>401</v>
      </c>
    </row>
    <row r="172" spans="1:14">
      <c r="B172" s="218" t="s">
        <v>406</v>
      </c>
      <c r="C172" s="203" t="s">
        <v>407</v>
      </c>
      <c r="D172" s="203" t="s">
        <v>398</v>
      </c>
      <c r="E172" s="213" t="s">
        <v>399</v>
      </c>
      <c r="F172" s="203" t="s">
        <v>400</v>
      </c>
      <c r="G172" s="218" t="s">
        <v>408</v>
      </c>
      <c r="H172" s="203" t="s">
        <v>409</v>
      </c>
      <c r="I172" s="203" t="s">
        <v>398</v>
      </c>
    </row>
    <row r="173" spans="1:14">
      <c r="A173" s="218">
        <v>2000</v>
      </c>
    </row>
    <row r="174" spans="1:14">
      <c r="A174" s="218">
        <v>2001</v>
      </c>
    </row>
    <row r="175" spans="1:14">
      <c r="A175" s="218">
        <v>2002</v>
      </c>
    </row>
    <row r="176" spans="1:14">
      <c r="A176" s="218">
        <v>2003</v>
      </c>
    </row>
    <row r="177" spans="1:1">
      <c r="A177" s="218">
        <v>2004</v>
      </c>
    </row>
    <row r="178" spans="1:1">
      <c r="A178" s="218">
        <v>2005</v>
      </c>
    </row>
    <row r="179" spans="1:1">
      <c r="A179" s="218">
        <v>2006</v>
      </c>
    </row>
    <row r="180" spans="1:1">
      <c r="A180" s="218">
        <v>2007</v>
      </c>
    </row>
    <row r="181" spans="1:1">
      <c r="A181" s="218">
        <v>2008</v>
      </c>
    </row>
    <row r="182" spans="1:1">
      <c r="A182" s="218">
        <v>2009</v>
      </c>
    </row>
    <row r="183" spans="1:1">
      <c r="A183" s="218">
        <v>2010</v>
      </c>
    </row>
    <row r="184" spans="1:1">
      <c r="A184" s="218">
        <v>2011</v>
      </c>
    </row>
    <row r="185" spans="1:1">
      <c r="A185" s="218">
        <v>2012</v>
      </c>
    </row>
    <row r="186" spans="1:1">
      <c r="A186" s="218">
        <v>2013</v>
      </c>
    </row>
    <row r="187" spans="1:1">
      <c r="A187" s="218">
        <v>2014</v>
      </c>
    </row>
    <row r="188" spans="1:1">
      <c r="A188" s="218">
        <v>2015</v>
      </c>
    </row>
    <row r="189" spans="1:1">
      <c r="A189" s="218">
        <v>2016</v>
      </c>
    </row>
    <row r="190" spans="1:1">
      <c r="A190" s="218">
        <v>2017</v>
      </c>
    </row>
    <row r="191" spans="1:1">
      <c r="A191" s="218">
        <v>2018</v>
      </c>
    </row>
    <row r="192" spans="1:1">
      <c r="A192" s="218">
        <v>2019</v>
      </c>
    </row>
    <row r="193" spans="1:1">
      <c r="A193" s="218">
        <v>2020</v>
      </c>
    </row>
    <row r="194" spans="1:1">
      <c r="A194" s="218">
        <v>2021</v>
      </c>
    </row>
    <row r="195" spans="1:1">
      <c r="A195" s="218">
        <v>2022</v>
      </c>
    </row>
    <row r="196" spans="1:1">
      <c r="A196" s="218">
        <v>2023</v>
      </c>
    </row>
    <row r="197" spans="1:1">
      <c r="A197" s="218">
        <v>2024</v>
      </c>
    </row>
    <row r="198" spans="1:1">
      <c r="A198" s="218">
        <v>2025</v>
      </c>
    </row>
    <row r="199" spans="1:1">
      <c r="A199" s="218">
        <v>2026</v>
      </c>
    </row>
    <row r="200" spans="1:1">
      <c r="A200" s="218">
        <v>2027</v>
      </c>
    </row>
    <row r="201" spans="1:1">
      <c r="A201" s="218">
        <v>2028</v>
      </c>
    </row>
    <row r="202" spans="1:1">
      <c r="A202" s="218">
        <v>2029</v>
      </c>
    </row>
    <row r="203" spans="1:1">
      <c r="A203" s="218">
        <v>2030</v>
      </c>
    </row>
  </sheetData>
  <mergeCells count="44">
    <mergeCell ref="N63:O63"/>
    <mergeCell ref="A7:B7"/>
    <mergeCell ref="C7:G7"/>
    <mergeCell ref="A8:B8"/>
    <mergeCell ref="C8:G8"/>
    <mergeCell ref="A9:B13"/>
    <mergeCell ref="C9:D9"/>
    <mergeCell ref="E9:F9"/>
    <mergeCell ref="C10:D11"/>
    <mergeCell ref="L10:L12"/>
    <mergeCell ref="C40:C63"/>
    <mergeCell ref="C14:C39"/>
    <mergeCell ref="F40:F63"/>
    <mergeCell ref="E14:E39"/>
    <mergeCell ref="E40:E63"/>
    <mergeCell ref="I12:I13"/>
    <mergeCell ref="C4:G4"/>
    <mergeCell ref="A5:B5"/>
    <mergeCell ref="C5:G5"/>
    <mergeCell ref="A6:B6"/>
    <mergeCell ref="C6:G6"/>
    <mergeCell ref="B136:E136"/>
    <mergeCell ref="G136:K136"/>
    <mergeCell ref="A2:G2"/>
    <mergeCell ref="F64:F89"/>
    <mergeCell ref="F14:F39"/>
    <mergeCell ref="H12:H13"/>
    <mergeCell ref="B100:D100"/>
    <mergeCell ref="A91:B91"/>
    <mergeCell ref="C12:D12"/>
    <mergeCell ref="E12:F12"/>
    <mergeCell ref="C13:D13"/>
    <mergeCell ref="E13:F13"/>
    <mergeCell ref="E10:F11"/>
    <mergeCell ref="G10:G11"/>
    <mergeCell ref="A14:A63"/>
    <mergeCell ref="A4:B4"/>
    <mergeCell ref="A100:A101"/>
    <mergeCell ref="F100:F101"/>
    <mergeCell ref="G100:K100"/>
    <mergeCell ref="F92:G92"/>
    <mergeCell ref="E64:E89"/>
    <mergeCell ref="C64:C89"/>
    <mergeCell ref="A64:A90"/>
  </mergeCells>
  <hyperlinks>
    <hyperlink ref="B95" r:id="rId1" display="http://www.deptan.go.id/tampil.php?page=inf_basisdata"/>
  </hyperlinks>
  <pageMargins left="0.75" right="0.75" top="1" bottom="1" header="0.5" footer="0.5"/>
  <pageSetup orientation="portrait" horizontalDpi="4294967292" verticalDpi="4294967292" r:id="rId2"/>
  <headerFooter alignWithMargins="0"/>
  <drawing r:id="rId3"/>
</worksheet>
</file>

<file path=xl/worksheets/sheet14.xml><?xml version="1.0" encoding="utf-8"?>
<worksheet xmlns="http://schemas.openxmlformats.org/spreadsheetml/2006/main" xmlns:r="http://schemas.openxmlformats.org/officeDocument/2006/relationships">
  <dimension ref="A1:AN38"/>
  <sheetViews>
    <sheetView tabSelected="1" topLeftCell="U1" zoomScale="85" zoomScaleNormal="85" workbookViewId="0">
      <selection activeCell="G28" sqref="G28:AA28"/>
    </sheetView>
  </sheetViews>
  <sheetFormatPr defaultRowHeight="15"/>
  <cols>
    <col min="1" max="1" width="43.28515625" customWidth="1"/>
    <col min="2" max="2" width="22.7109375" bestFit="1" customWidth="1"/>
    <col min="3" max="13" width="15.28515625" style="243" customWidth="1"/>
    <col min="14" max="24" width="11" bestFit="1" customWidth="1"/>
    <col min="25" max="27" width="11.7109375" bestFit="1" customWidth="1"/>
    <col min="28" max="28" width="9.7109375" bestFit="1" customWidth="1"/>
    <col min="36" max="37" width="13.42578125" style="446" customWidth="1"/>
    <col min="38" max="40" width="13.42578125" style="187" customWidth="1"/>
  </cols>
  <sheetData>
    <row r="1" spans="1:36">
      <c r="C1" s="243">
        <v>62.376535083333337</v>
      </c>
      <c r="D1" s="243">
        <v>66.691821326666656</v>
      </c>
      <c r="E1" s="243">
        <v>73.113194156666651</v>
      </c>
      <c r="F1" s="243">
        <v>78.119209699999999</v>
      </c>
      <c r="G1" s="243">
        <v>82.742088163333307</v>
      </c>
      <c r="H1" s="243">
        <v>83.626515777702139</v>
      </c>
      <c r="I1" s="243">
        <v>87.31788581040702</v>
      </c>
      <c r="J1" s="243">
        <v>91.009255887556492</v>
      </c>
      <c r="K1" s="243">
        <v>94.700626009137963</v>
      </c>
      <c r="L1" s="243">
        <v>98.391996175138829</v>
      </c>
      <c r="M1" s="243">
        <v>102.08336638554648</v>
      </c>
      <c r="N1">
        <v>105.77473664034835</v>
      </c>
      <c r="O1">
        <v>109.46610693953185</v>
      </c>
      <c r="P1">
        <v>113.15747728308433</v>
      </c>
      <c r="Q1">
        <v>116.84884767099319</v>
      </c>
      <c r="R1">
        <v>120.54021810324602</v>
      </c>
      <c r="S1">
        <v>124.23158857983003</v>
      </c>
      <c r="T1">
        <v>127.92295910073277</v>
      </c>
      <c r="U1">
        <v>131.61432966594165</v>
      </c>
      <c r="V1">
        <v>135.30570027544408</v>
      </c>
      <c r="W1">
        <v>138.99707092922745</v>
      </c>
      <c r="X1">
        <v>142.68844162727925</v>
      </c>
      <c r="Y1">
        <v>146.37981236958697</v>
      </c>
      <c r="Z1">
        <v>150.07118315613801</v>
      </c>
      <c r="AA1">
        <v>153.76255398691981</v>
      </c>
      <c r="AJ1" s="446" t="s">
        <v>563</v>
      </c>
    </row>
    <row r="3" spans="1:36" ht="43.5" customHeight="1"/>
    <row r="4" spans="1:36" ht="36" customHeight="1">
      <c r="C4" s="291">
        <v>2006</v>
      </c>
      <c r="D4" s="291">
        <v>2007</v>
      </c>
      <c r="E4" s="291">
        <v>2008</v>
      </c>
      <c r="F4" s="291">
        <v>2009</v>
      </c>
      <c r="G4" s="291">
        <v>2010</v>
      </c>
      <c r="H4" s="291">
        <v>2011</v>
      </c>
      <c r="I4" s="291">
        <v>2012</v>
      </c>
      <c r="J4" s="291">
        <v>2013</v>
      </c>
      <c r="K4" s="291">
        <v>2014</v>
      </c>
      <c r="L4" s="291">
        <v>2015</v>
      </c>
      <c r="M4" s="291">
        <v>2016</v>
      </c>
      <c r="N4" s="291">
        <v>2017</v>
      </c>
      <c r="O4" s="291">
        <v>2018</v>
      </c>
      <c r="P4" s="291">
        <v>2019</v>
      </c>
      <c r="Q4" s="291">
        <v>2020</v>
      </c>
      <c r="R4" s="291">
        <v>2021</v>
      </c>
      <c r="S4" s="291">
        <v>2022</v>
      </c>
      <c r="T4" s="291">
        <v>2023</v>
      </c>
      <c r="U4" s="291">
        <v>2024</v>
      </c>
      <c r="V4" s="291">
        <v>2025</v>
      </c>
      <c r="W4" s="291">
        <v>2026</v>
      </c>
      <c r="X4" s="291">
        <v>2027</v>
      </c>
      <c r="Y4" s="291">
        <v>2028</v>
      </c>
      <c r="Z4" s="291">
        <v>2029</v>
      </c>
      <c r="AA4" s="291">
        <v>2030</v>
      </c>
    </row>
    <row r="5" spans="1:36" s="17" customFormat="1">
      <c r="A5" s="448" t="s">
        <v>441</v>
      </c>
      <c r="B5" s="447" t="s">
        <v>540</v>
      </c>
      <c r="C5" s="450">
        <v>37.044038319999999</v>
      </c>
      <c r="D5" s="452">
        <v>37.365075759999996</v>
      </c>
      <c r="E5" s="450">
        <v>37.659409439999997</v>
      </c>
      <c r="F5" s="450">
        <v>37.491486719999997</v>
      </c>
      <c r="G5" s="450">
        <v>37.313988159999994</v>
      </c>
      <c r="H5" s="450">
        <v>37.381475619999996</v>
      </c>
      <c r="I5" s="450">
        <v>37.448963079999999</v>
      </c>
      <c r="J5" s="450">
        <v>37.516450539999994</v>
      </c>
      <c r="K5" s="450">
        <v>37.583937999999996</v>
      </c>
      <c r="L5" s="450">
        <v>37.651425459999999</v>
      </c>
      <c r="M5" s="450">
        <v>37.718912920000001</v>
      </c>
      <c r="N5" s="450">
        <v>37.786400380000003</v>
      </c>
      <c r="O5" s="450">
        <v>37.853887839999992</v>
      </c>
      <c r="P5" s="450">
        <v>37.921375299999994</v>
      </c>
      <c r="Q5" s="450">
        <v>37.988862759999996</v>
      </c>
      <c r="R5" s="450">
        <v>38.056350219999999</v>
      </c>
      <c r="S5" s="450">
        <v>38.123837680000001</v>
      </c>
      <c r="T5" s="450">
        <v>38.191325139999996</v>
      </c>
      <c r="U5" s="450">
        <v>38.258812599999999</v>
      </c>
      <c r="V5" s="450">
        <v>38.326300060000001</v>
      </c>
      <c r="W5" s="450">
        <v>38.393787520000004</v>
      </c>
      <c r="X5" s="450">
        <v>38.461274979999992</v>
      </c>
      <c r="Y5" s="450">
        <v>38.528762439999994</v>
      </c>
      <c r="Z5" s="450">
        <v>38.596249899999997</v>
      </c>
      <c r="AA5" s="450">
        <v>38.663737359999999</v>
      </c>
    </row>
    <row r="6" spans="1:36">
      <c r="A6" s="448" t="s">
        <v>442</v>
      </c>
      <c r="B6" s="449" t="s">
        <v>540</v>
      </c>
      <c r="C6" s="450">
        <v>4.5254926500000003</v>
      </c>
      <c r="D6" s="452">
        <v>4.5655121800000007</v>
      </c>
      <c r="E6" s="450">
        <v>4.6963264999999996</v>
      </c>
      <c r="F6" s="450">
        <v>4.5660255799999998</v>
      </c>
      <c r="G6" s="450">
        <v>4.4745890399999997</v>
      </c>
      <c r="H6" s="450">
        <v>4.4618631375</v>
      </c>
      <c r="I6" s="450">
        <v>4.4491372350000002</v>
      </c>
      <c r="J6" s="450">
        <v>4.4364113325000005</v>
      </c>
      <c r="K6" s="450">
        <v>4.4236854300000008</v>
      </c>
      <c r="L6" s="450">
        <v>4.4109595274999993</v>
      </c>
      <c r="M6" s="450">
        <v>4.3982336249999996</v>
      </c>
      <c r="N6" s="450">
        <v>4.3855077224999999</v>
      </c>
      <c r="O6" s="450">
        <v>4.3727818200000002</v>
      </c>
      <c r="P6" s="450">
        <v>4.3600559175000004</v>
      </c>
      <c r="Q6" s="450">
        <v>4.3473300150000007</v>
      </c>
      <c r="R6" s="450">
        <v>4.3346041125000001</v>
      </c>
      <c r="S6" s="450">
        <v>4.3218782099999995</v>
      </c>
      <c r="T6" s="450">
        <v>4.3091523074999998</v>
      </c>
      <c r="U6" s="450">
        <v>4.2964264050000001</v>
      </c>
      <c r="V6" s="450">
        <v>4.2837005025000003</v>
      </c>
      <c r="W6" s="450">
        <v>4.2709746000000006</v>
      </c>
      <c r="X6" s="450">
        <v>4.2582486975000009</v>
      </c>
      <c r="Y6" s="450">
        <v>4.2455227949999994</v>
      </c>
      <c r="Z6" s="450">
        <v>4.2327968924999997</v>
      </c>
      <c r="AA6" s="450">
        <v>4.22007099</v>
      </c>
    </row>
    <row r="7" spans="1:36" s="17" customFormat="1">
      <c r="A7" s="448" t="s">
        <v>403</v>
      </c>
      <c r="B7" s="447" t="s">
        <v>540</v>
      </c>
      <c r="C7" s="450">
        <v>62.376535083333337</v>
      </c>
      <c r="D7" s="450">
        <v>66.691821326666656</v>
      </c>
      <c r="E7" s="450">
        <v>73.113194156666651</v>
      </c>
      <c r="F7" s="450">
        <v>78.119209699999999</v>
      </c>
      <c r="G7" s="450">
        <v>82.742088163333307</v>
      </c>
      <c r="H7" s="450">
        <v>83.626515777702139</v>
      </c>
      <c r="I7" s="450">
        <v>87.31788581040702</v>
      </c>
      <c r="J7" s="450">
        <v>91.009255887556492</v>
      </c>
      <c r="K7" s="450">
        <v>94.700626009137963</v>
      </c>
      <c r="L7" s="450">
        <v>98.391996175138829</v>
      </c>
      <c r="M7" s="450">
        <v>102.08336638554648</v>
      </c>
      <c r="N7" s="450">
        <v>105.77473664034835</v>
      </c>
      <c r="O7" s="450">
        <v>109.46610693953185</v>
      </c>
      <c r="P7" s="450">
        <v>113.15747728308433</v>
      </c>
      <c r="Q7" s="450">
        <v>116.84884767099319</v>
      </c>
      <c r="R7" s="450">
        <v>120.54021810324602</v>
      </c>
      <c r="S7" s="450">
        <v>124.23158857983003</v>
      </c>
      <c r="T7" s="450">
        <v>127.92295910073277</v>
      </c>
      <c r="U7" s="450">
        <v>131.61432966594165</v>
      </c>
      <c r="V7" s="450">
        <v>135.30570027544408</v>
      </c>
      <c r="W7" s="450">
        <v>138.99707092922745</v>
      </c>
      <c r="X7" s="450">
        <v>142.68844162727925</v>
      </c>
      <c r="Y7" s="450">
        <v>146.37981236958697</v>
      </c>
      <c r="Z7" s="450">
        <v>150.07118315613801</v>
      </c>
      <c r="AA7" s="450">
        <v>153.76255398691981</v>
      </c>
    </row>
    <row r="8" spans="1:36">
      <c r="A8" s="448" t="s">
        <v>356</v>
      </c>
      <c r="B8" s="449" t="s">
        <v>541</v>
      </c>
      <c r="C8" s="451">
        <v>7.2172728356394295E-2</v>
      </c>
      <c r="D8" s="451">
        <v>7.7329711078753582E-2</v>
      </c>
      <c r="E8" s="451">
        <v>8.6235438936161452E-2</v>
      </c>
      <c r="F8" s="451">
        <v>9.3002349600702125E-2</v>
      </c>
      <c r="G8" s="451">
        <v>0.10027515846731429</v>
      </c>
      <c r="H8" s="451">
        <v>0.10094912073048673</v>
      </c>
      <c r="I8" s="451">
        <v>0.10600689318588111</v>
      </c>
      <c r="J8" s="451">
        <v>0.11106466595482911</v>
      </c>
      <c r="K8" s="451">
        <v>0.11612243903724163</v>
      </c>
      <c r="L8" s="451">
        <v>0.12118021243302983</v>
      </c>
      <c r="M8" s="451">
        <v>0.12623798614210482</v>
      </c>
      <c r="N8" s="451">
        <v>0.13129576016437772</v>
      </c>
      <c r="O8" s="451">
        <v>0.13635353449975968</v>
      </c>
      <c r="P8" s="451">
        <v>0.14141130914816188</v>
      </c>
      <c r="Q8" s="451">
        <v>0.14646908410949552</v>
      </c>
      <c r="R8" s="451">
        <v>0.15152685938367186</v>
      </c>
      <c r="S8" s="451">
        <v>0.15658463497060221</v>
      </c>
      <c r="T8" s="451">
        <v>0.16164241087019771</v>
      </c>
      <c r="U8" s="451">
        <v>0.16670018708236972</v>
      </c>
      <c r="V8" s="451">
        <v>0.17175796360702961</v>
      </c>
      <c r="W8" s="451">
        <v>0.17681574044408876</v>
      </c>
      <c r="X8" s="451">
        <v>0.18187351759345843</v>
      </c>
      <c r="Y8" s="451">
        <v>0.18693129505505018</v>
      </c>
      <c r="Z8" s="451">
        <v>0.19198907282877531</v>
      </c>
      <c r="AA8" s="451">
        <v>0.19704685091454543</v>
      </c>
    </row>
    <row r="9" spans="1:36" hidden="1">
      <c r="A9" s="448" t="s">
        <v>357</v>
      </c>
      <c r="B9" s="449" t="s">
        <v>360</v>
      </c>
      <c r="C9" s="294"/>
      <c r="D9" s="295"/>
      <c r="E9" s="294"/>
      <c r="F9" s="294"/>
      <c r="G9" s="294"/>
      <c r="H9" s="294"/>
      <c r="I9" s="294"/>
      <c r="J9" s="294"/>
      <c r="K9" s="294"/>
      <c r="L9" s="245"/>
      <c r="M9" s="245"/>
      <c r="N9" s="63"/>
      <c r="O9" s="63"/>
      <c r="P9" s="63"/>
      <c r="Q9" s="63"/>
      <c r="R9" s="63"/>
      <c r="S9" s="63"/>
      <c r="T9" s="63"/>
      <c r="U9" s="63"/>
      <c r="V9" s="63"/>
      <c r="W9" s="63"/>
      <c r="X9" s="63"/>
      <c r="Y9" s="63"/>
      <c r="Z9" s="63"/>
      <c r="AA9" s="63"/>
    </row>
    <row r="10" spans="1:36">
      <c r="A10" s="448" t="s">
        <v>358</v>
      </c>
      <c r="B10" s="449" t="s">
        <v>542</v>
      </c>
      <c r="C10" s="414">
        <v>13.436</v>
      </c>
      <c r="D10" s="453">
        <v>140.06960000000001</v>
      </c>
      <c r="E10" s="414">
        <v>142.03380000000001</v>
      </c>
      <c r="F10" s="414">
        <v>133.38436999999999</v>
      </c>
      <c r="G10" s="414">
        <v>135.29859999999999</v>
      </c>
      <c r="H10" s="414">
        <v>181.64033288712503</v>
      </c>
      <c r="I10" s="414">
        <v>205.28492078876496</v>
      </c>
      <c r="J10" s="414">
        <v>228.9177598263264</v>
      </c>
      <c r="K10" s="414">
        <v>252.53886166996958</v>
      </c>
      <c r="L10" s="414">
        <v>276.14823797235493</v>
      </c>
      <c r="M10" s="414">
        <v>299.74590036892891</v>
      </c>
      <c r="N10" s="414">
        <v>323.33186047763826</v>
      </c>
      <c r="O10" s="414">
        <v>346.9061298993588</v>
      </c>
      <c r="P10" s="414">
        <v>370.46872021760942</v>
      </c>
      <c r="Q10" s="414">
        <v>394.01964299860003</v>
      </c>
      <c r="R10" s="414">
        <v>417.558909791708</v>
      </c>
      <c r="S10" s="414">
        <v>441.08653212881086</v>
      </c>
      <c r="T10" s="414">
        <v>464.6025215248585</v>
      </c>
      <c r="U10" s="414">
        <v>488.1068894776821</v>
      </c>
      <c r="V10" s="414">
        <v>511.59964746804241</v>
      </c>
      <c r="W10" s="414">
        <v>535.08080695986746</v>
      </c>
      <c r="X10" s="414">
        <v>558.55037939982424</v>
      </c>
      <c r="Y10" s="414">
        <v>582.00837621793744</v>
      </c>
      <c r="Z10" s="414">
        <v>605.45480882716174</v>
      </c>
      <c r="AA10" s="414">
        <v>628.88968862357137</v>
      </c>
      <c r="AB10" s="446"/>
    </row>
    <row r="11" spans="1:36" hidden="1">
      <c r="A11" s="448" t="s">
        <v>402</v>
      </c>
      <c r="B11" s="449" t="s">
        <v>360</v>
      </c>
      <c r="C11" s="294"/>
      <c r="D11" s="294">
        <f>'Direct N2O'!G93</f>
        <v>94.433914084862181</v>
      </c>
      <c r="E11" s="294"/>
      <c r="F11" s="295"/>
      <c r="G11" s="294"/>
      <c r="H11" s="294"/>
      <c r="I11" s="294"/>
      <c r="J11" s="294"/>
      <c r="K11" s="294"/>
      <c r="L11" s="245"/>
      <c r="M11" s="245"/>
      <c r="N11" s="63"/>
      <c r="O11" s="63"/>
      <c r="P11" s="63"/>
      <c r="Q11" s="63"/>
      <c r="R11" s="63"/>
      <c r="S11" s="63"/>
      <c r="T11" s="63"/>
      <c r="U11" s="63"/>
      <c r="V11" s="63"/>
      <c r="W11" s="63"/>
      <c r="X11" s="63"/>
      <c r="Y11" s="63"/>
      <c r="Z11" s="63"/>
      <c r="AA11" s="63"/>
    </row>
    <row r="12" spans="1:36">
      <c r="A12" s="448" t="s">
        <v>466</v>
      </c>
      <c r="B12" s="449" t="s">
        <v>543</v>
      </c>
      <c r="C12" s="414">
        <v>0.19377560247131181</v>
      </c>
      <c r="D12" s="453">
        <v>1.9092931099039312</v>
      </c>
      <c r="E12" s="414">
        <v>2.0437142180656429</v>
      </c>
      <c r="F12" s="414">
        <v>2.0898666600104598</v>
      </c>
      <c r="G12" s="414">
        <v>2.121266483572966</v>
      </c>
      <c r="H12" s="414">
        <v>2.854964383986212</v>
      </c>
      <c r="I12" s="414">
        <v>3.2473403648478754</v>
      </c>
      <c r="J12" s="414">
        <v>3.6545461574210467</v>
      </c>
      <c r="K12" s="414">
        <v>4.0668515130347984</v>
      </c>
      <c r="L12" s="414">
        <v>4.4840465350349632</v>
      </c>
      <c r="M12" s="414">
        <v>4.905932086933829</v>
      </c>
      <c r="N12" s="414">
        <v>5.3323191125317004</v>
      </c>
      <c r="O12" s="414">
        <v>5.7630280069527533</v>
      </c>
      <c r="P12" s="414">
        <v>6.1978880341822427</v>
      </c>
      <c r="Q12" s="414">
        <v>6.6367367871561189</v>
      </c>
      <c r="R12" s="414">
        <v>7.0794196868231767</v>
      </c>
      <c r="S12" s="414">
        <v>7.5257895169135995</v>
      </c>
      <c r="T12" s="414">
        <v>7.9757059915120987</v>
      </c>
      <c r="U12" s="414">
        <v>8.4290353527421296</v>
      </c>
      <c r="V12" s="414">
        <v>8.8856499961557613</v>
      </c>
      <c r="W12" s="414">
        <v>9.3454281216285793</v>
      </c>
      <c r="X12" s="414">
        <v>9.8082534077428427</v>
      </c>
      <c r="Y12" s="414">
        <v>10.274014707862516</v>
      </c>
      <c r="Z12" s="414">
        <v>10.742605766201208</v>
      </c>
      <c r="AA12" s="414">
        <v>11.213924952388471</v>
      </c>
    </row>
    <row r="13" spans="1:36">
      <c r="A13" s="448" t="s">
        <v>470</v>
      </c>
      <c r="B13" s="449" t="s">
        <v>543</v>
      </c>
      <c r="C13" s="245"/>
      <c r="D13" s="245"/>
      <c r="E13" s="414">
        <v>3.8432659712831288E-3</v>
      </c>
      <c r="F13" s="453">
        <v>1.3234516567620249E-2</v>
      </c>
      <c r="G13" s="414">
        <v>1.2759223904328484E-2</v>
      </c>
      <c r="H13" s="414">
        <v>2.0517866209248687E-2</v>
      </c>
      <c r="I13" s="414">
        <v>4.3859635604314141E-2</v>
      </c>
      <c r="J13" s="414">
        <v>3.5198770411922119E-2</v>
      </c>
      <c r="K13" s="414">
        <v>2.9309018465104527E-2</v>
      </c>
      <c r="L13" s="414">
        <v>4.1662860575279584E-2</v>
      </c>
      <c r="M13" s="414">
        <v>4.7684647339260047E-2</v>
      </c>
      <c r="N13" s="414">
        <v>5.3840294905385826E-2</v>
      </c>
      <c r="O13" s="414">
        <v>6.0124792061431405E-2</v>
      </c>
      <c r="P13" s="414">
        <v>6.6533374645265722E-2</v>
      </c>
      <c r="Q13" s="414">
        <v>7.3061510505907409E-2</v>
      </c>
      <c r="R13" s="414">
        <v>7.9704885549944274E-2</v>
      </c>
      <c r="S13" s="414">
        <v>8.6459390783016704E-2</v>
      </c>
      <c r="T13" s="414">
        <v>9.3321110264550186E-2</v>
      </c>
      <c r="U13" s="414">
        <v>0.10028630990152125</v>
      </c>
      <c r="V13" s="414">
        <v>0.10735142701385356</v>
      </c>
      <c r="W13" s="414">
        <v>0.11451306061016055</v>
      </c>
      <c r="X13" s="414">
        <v>0.12176796231804982</v>
      </c>
      <c r="Y13" s="414">
        <v>0.12911302791815629</v>
      </c>
      <c r="Z13" s="414">
        <v>0.13654528943553357</v>
      </c>
      <c r="AA13" s="414">
        <v>0.14406190774605807</v>
      </c>
      <c r="AC13">
        <v>3.8432659712831288E-3</v>
      </c>
      <c r="AD13">
        <v>0.19377560247131181</v>
      </c>
      <c r="AE13">
        <v>37.044038319999999</v>
      </c>
      <c r="AF13">
        <v>4.5254926500000003</v>
      </c>
      <c r="AG13">
        <v>13.436</v>
      </c>
      <c r="AH13">
        <v>13.436</v>
      </c>
    </row>
    <row r="14" spans="1:36" s="167" customFormat="1">
      <c r="A14" s="293" t="s">
        <v>22</v>
      </c>
      <c r="B14" s="293"/>
      <c r="C14" s="334">
        <f>SUM(C5:C13)</f>
        <v>117.64801438416103</v>
      </c>
      <c r="D14" s="334">
        <f t="shared" ref="D14:AA14" si="0">SUM(D5:D13)</f>
        <v>345.11254617251154</v>
      </c>
      <c r="E14" s="334">
        <f t="shared" si="0"/>
        <v>259.63652301963975</v>
      </c>
      <c r="F14" s="334">
        <f t="shared" si="0"/>
        <v>255.75719552617878</v>
      </c>
      <c r="G14" s="334">
        <f t="shared" si="0"/>
        <v>262.06356622927791</v>
      </c>
      <c r="H14" s="334">
        <f t="shared" si="0"/>
        <v>310.08661879325314</v>
      </c>
      <c r="I14" s="334">
        <f t="shared" si="0"/>
        <v>337.89811380781003</v>
      </c>
      <c r="J14" s="334">
        <f t="shared" si="0"/>
        <v>365.68068718017071</v>
      </c>
      <c r="K14" s="334">
        <f t="shared" si="0"/>
        <v>393.45939407964465</v>
      </c>
      <c r="L14" s="334">
        <f t="shared" si="0"/>
        <v>421.24950874303698</v>
      </c>
      <c r="M14" s="334">
        <f t="shared" si="0"/>
        <v>449.02626801989067</v>
      </c>
      <c r="N14" s="334">
        <f t="shared" si="0"/>
        <v>476.79596038808808</v>
      </c>
      <c r="O14" s="334">
        <f t="shared" si="0"/>
        <v>504.55841283240466</v>
      </c>
      <c r="P14" s="334">
        <f t="shared" si="0"/>
        <v>532.3134614361694</v>
      </c>
      <c r="Q14" s="334">
        <f t="shared" si="0"/>
        <v>560.06095082636477</v>
      </c>
      <c r="R14" s="334">
        <f t="shared" si="0"/>
        <v>587.80073365921078</v>
      </c>
      <c r="S14" s="334">
        <f t="shared" si="0"/>
        <v>615.53267014130813</v>
      </c>
      <c r="T14" s="334">
        <f t="shared" si="0"/>
        <v>643.2566275857381</v>
      </c>
      <c r="U14" s="334">
        <f t="shared" si="0"/>
        <v>670.97247999834985</v>
      </c>
      <c r="V14" s="334">
        <f t="shared" si="0"/>
        <v>698.68010769276316</v>
      </c>
      <c r="W14" s="334">
        <f t="shared" si="0"/>
        <v>726.37939693177782</v>
      </c>
      <c r="X14" s="334">
        <f t="shared" si="0"/>
        <v>754.07023959225785</v>
      </c>
      <c r="Y14" s="334">
        <f t="shared" si="0"/>
        <v>781.75253285336009</v>
      </c>
      <c r="Z14" s="334">
        <f t="shared" si="0"/>
        <v>809.42617890426527</v>
      </c>
      <c r="AA14" s="334">
        <f t="shared" si="0"/>
        <v>837.09108467154022</v>
      </c>
      <c r="AC14" s="167">
        <v>1.3234516567620249E-2</v>
      </c>
      <c r="AD14" s="167">
        <v>1.9092931099039312</v>
      </c>
      <c r="AE14" s="167">
        <v>37.365075759999996</v>
      </c>
      <c r="AF14" s="167">
        <v>4.5655121800000007</v>
      </c>
      <c r="AG14" s="167">
        <v>140.06960000000001</v>
      </c>
      <c r="AH14" s="167">
        <v>140.06960000000001</v>
      </c>
    </row>
    <row r="15" spans="1:36">
      <c r="C15" s="296"/>
      <c r="D15" s="296"/>
      <c r="E15" s="296"/>
      <c r="F15" s="297"/>
      <c r="G15" s="296"/>
      <c r="H15" s="296"/>
      <c r="I15" s="296"/>
      <c r="J15" s="296"/>
      <c r="K15" s="296"/>
      <c r="AC15">
        <v>1.2759223904328484E-2</v>
      </c>
      <c r="AD15">
        <v>2.0437142180656429</v>
      </c>
      <c r="AE15">
        <v>37.659409439999997</v>
      </c>
      <c r="AF15">
        <v>4.6963264999999996</v>
      </c>
      <c r="AG15">
        <v>142.03380000000001</v>
      </c>
      <c r="AH15">
        <v>142.03380000000001</v>
      </c>
    </row>
    <row r="16" spans="1:36">
      <c r="A16" s="592"/>
      <c r="B16" s="592"/>
      <c r="C16" s="593" t="s">
        <v>555</v>
      </c>
      <c r="D16" s="593"/>
      <c r="E16" s="593"/>
      <c r="F16" s="593"/>
      <c r="G16" s="593"/>
      <c r="H16" s="593"/>
      <c r="I16" s="593"/>
      <c r="J16" s="593"/>
      <c r="K16" s="593"/>
      <c r="L16" s="593"/>
      <c r="M16" s="593"/>
      <c r="AC16">
        <v>2.0517866209248687E-2</v>
      </c>
      <c r="AD16">
        <v>2.0898666600104598</v>
      </c>
      <c r="AE16">
        <v>37.491486719999997</v>
      </c>
      <c r="AF16">
        <v>4.5660255799999998</v>
      </c>
      <c r="AG16">
        <v>133.38436999999999</v>
      </c>
      <c r="AH16">
        <v>133.38436999999999</v>
      </c>
    </row>
    <row r="17" spans="1:34">
      <c r="A17" s="592"/>
      <c r="B17" s="592"/>
      <c r="C17" s="291">
        <v>2006</v>
      </c>
      <c r="D17" s="291">
        <v>2007</v>
      </c>
      <c r="E17" s="291">
        <v>2008</v>
      </c>
      <c r="F17" s="291">
        <v>2009</v>
      </c>
      <c r="G17" s="291">
        <v>2010</v>
      </c>
      <c r="H17" s="291">
        <v>2011</v>
      </c>
      <c r="I17" s="291">
        <v>2012</v>
      </c>
      <c r="J17" s="291">
        <v>2013</v>
      </c>
      <c r="K17" s="291">
        <v>2014</v>
      </c>
      <c r="L17" s="291">
        <v>2015</v>
      </c>
      <c r="M17" s="291">
        <v>2016</v>
      </c>
      <c r="N17" s="291">
        <v>2017</v>
      </c>
      <c r="O17" s="291">
        <v>2018</v>
      </c>
      <c r="P17" s="291">
        <v>2019</v>
      </c>
      <c r="Q17" s="291">
        <v>2020</v>
      </c>
      <c r="R17" s="291">
        <v>2021</v>
      </c>
      <c r="S17" s="291">
        <v>2022</v>
      </c>
      <c r="T17" s="291">
        <v>2023</v>
      </c>
      <c r="U17" s="291">
        <v>2024</v>
      </c>
      <c r="V17" s="291">
        <v>2025</v>
      </c>
      <c r="W17" s="291">
        <v>2026</v>
      </c>
      <c r="X17" s="291">
        <v>2027</v>
      </c>
      <c r="Y17" s="291">
        <v>2028</v>
      </c>
      <c r="Z17" s="291">
        <v>2029</v>
      </c>
      <c r="AA17" s="291">
        <v>2030</v>
      </c>
      <c r="AC17">
        <v>4.3859635604314141E-2</v>
      </c>
      <c r="AD17">
        <v>2.121266483572966</v>
      </c>
      <c r="AE17">
        <v>37.313988159999994</v>
      </c>
      <c r="AF17">
        <v>4.4745890399999997</v>
      </c>
      <c r="AG17">
        <v>135.29859999999999</v>
      </c>
      <c r="AH17">
        <v>135.29859999999999</v>
      </c>
    </row>
    <row r="18" spans="1:34">
      <c r="A18" s="292" t="s">
        <v>441</v>
      </c>
      <c r="B18" s="63" t="s">
        <v>556</v>
      </c>
      <c r="C18" s="299">
        <f>C5*21</f>
        <v>777.92480472</v>
      </c>
      <c r="D18" s="430">
        <f t="shared" ref="D18:AA18" si="1">D5*21</f>
        <v>784.66659095999989</v>
      </c>
      <c r="E18" s="430">
        <f t="shared" si="1"/>
        <v>790.84759823999991</v>
      </c>
      <c r="F18" s="430">
        <f t="shared" si="1"/>
        <v>787.3212211199999</v>
      </c>
      <c r="G18" s="430">
        <f t="shared" si="1"/>
        <v>783.59375135999983</v>
      </c>
      <c r="H18" s="430">
        <f t="shared" si="1"/>
        <v>785.0109880199999</v>
      </c>
      <c r="I18" s="430">
        <f t="shared" si="1"/>
        <v>786.42822467999997</v>
      </c>
      <c r="J18" s="430">
        <f t="shared" si="1"/>
        <v>787.84546133999993</v>
      </c>
      <c r="K18" s="430">
        <f t="shared" si="1"/>
        <v>789.26269799999989</v>
      </c>
      <c r="L18" s="430">
        <f t="shared" si="1"/>
        <v>790.67993465999996</v>
      </c>
      <c r="M18" s="430">
        <f t="shared" si="1"/>
        <v>792.09717132000003</v>
      </c>
      <c r="N18" s="430">
        <f t="shared" si="1"/>
        <v>793.5144079800001</v>
      </c>
      <c r="O18" s="430">
        <f t="shared" si="1"/>
        <v>794.93164463999983</v>
      </c>
      <c r="P18" s="430">
        <f t="shared" si="1"/>
        <v>796.3488812999999</v>
      </c>
      <c r="Q18" s="430">
        <f t="shared" si="1"/>
        <v>797.76611795999997</v>
      </c>
      <c r="R18" s="430">
        <f t="shared" si="1"/>
        <v>799.18335461999993</v>
      </c>
      <c r="S18" s="430">
        <f t="shared" si="1"/>
        <v>800.60059128</v>
      </c>
      <c r="T18" s="430">
        <f t="shared" si="1"/>
        <v>802.01782793999996</v>
      </c>
      <c r="U18" s="430">
        <f t="shared" si="1"/>
        <v>803.43506460000003</v>
      </c>
      <c r="V18" s="430">
        <f t="shared" si="1"/>
        <v>804.85230125999999</v>
      </c>
      <c r="W18" s="430">
        <f t="shared" si="1"/>
        <v>806.26953792000006</v>
      </c>
      <c r="X18" s="430">
        <f t="shared" si="1"/>
        <v>807.68677457999979</v>
      </c>
      <c r="Y18" s="430">
        <f t="shared" si="1"/>
        <v>809.10401123999986</v>
      </c>
      <c r="Z18" s="430">
        <f t="shared" si="1"/>
        <v>810.52124789999993</v>
      </c>
      <c r="AA18" s="430">
        <f t="shared" si="1"/>
        <v>811.93848456000001</v>
      </c>
      <c r="AC18">
        <v>3.5198770411922119E-2</v>
      </c>
      <c r="AD18">
        <v>2.854964383986212</v>
      </c>
      <c r="AE18">
        <v>37.381475619999996</v>
      </c>
      <c r="AF18">
        <v>4.4618631375</v>
      </c>
      <c r="AG18">
        <v>181.64033288712503</v>
      </c>
      <c r="AH18">
        <v>181.64033288712503</v>
      </c>
    </row>
    <row r="19" spans="1:34">
      <c r="A19" s="292" t="s">
        <v>442</v>
      </c>
      <c r="B19" s="63" t="s">
        <v>556</v>
      </c>
      <c r="C19" s="299">
        <f>C6*21</f>
        <v>95.035345650000011</v>
      </c>
      <c r="D19" s="430">
        <f t="shared" ref="D19:AA19" si="2">D6*21</f>
        <v>95.87575578000002</v>
      </c>
      <c r="E19" s="430">
        <f t="shared" si="2"/>
        <v>98.622856499999997</v>
      </c>
      <c r="F19" s="430">
        <f t="shared" si="2"/>
        <v>95.886537179999991</v>
      </c>
      <c r="G19" s="430">
        <f t="shared" si="2"/>
        <v>93.966369839999999</v>
      </c>
      <c r="H19" s="430">
        <f t="shared" si="2"/>
        <v>93.699125887500003</v>
      </c>
      <c r="I19" s="430">
        <f t="shared" si="2"/>
        <v>93.431881935000007</v>
      </c>
      <c r="J19" s="430">
        <f t="shared" si="2"/>
        <v>93.164637982500011</v>
      </c>
      <c r="K19" s="430">
        <f t="shared" si="2"/>
        <v>92.897394030000015</v>
      </c>
      <c r="L19" s="430">
        <f t="shared" si="2"/>
        <v>92.630150077499991</v>
      </c>
      <c r="M19" s="430">
        <f t="shared" si="2"/>
        <v>92.362906124999995</v>
      </c>
      <c r="N19" s="430">
        <f t="shared" si="2"/>
        <v>92.095662172499999</v>
      </c>
      <c r="O19" s="430">
        <f t="shared" si="2"/>
        <v>91.828418220000003</v>
      </c>
      <c r="P19" s="430">
        <f t="shared" si="2"/>
        <v>91.561174267500007</v>
      </c>
      <c r="Q19" s="430">
        <f t="shared" si="2"/>
        <v>91.293930315000011</v>
      </c>
      <c r="R19" s="430">
        <f t="shared" si="2"/>
        <v>91.026686362500001</v>
      </c>
      <c r="S19" s="430">
        <f t="shared" si="2"/>
        <v>90.759442409999991</v>
      </c>
      <c r="T19" s="430">
        <f t="shared" si="2"/>
        <v>90.492198457499995</v>
      </c>
      <c r="U19" s="430">
        <f t="shared" si="2"/>
        <v>90.224954504999999</v>
      </c>
      <c r="V19" s="430">
        <f t="shared" si="2"/>
        <v>89.957710552500004</v>
      </c>
      <c r="W19" s="430">
        <f t="shared" si="2"/>
        <v>89.690466600000008</v>
      </c>
      <c r="X19" s="430">
        <f t="shared" si="2"/>
        <v>89.423222647500012</v>
      </c>
      <c r="Y19" s="430">
        <f t="shared" si="2"/>
        <v>89.155978694999988</v>
      </c>
      <c r="Z19" s="430">
        <f t="shared" si="2"/>
        <v>88.888734742499992</v>
      </c>
      <c r="AA19" s="430">
        <f t="shared" si="2"/>
        <v>88.621490789999996</v>
      </c>
      <c r="AC19">
        <v>2.9309018465104527E-2</v>
      </c>
      <c r="AD19">
        <v>3.2473403648478754</v>
      </c>
      <c r="AE19">
        <v>37.448963079999999</v>
      </c>
      <c r="AF19">
        <v>4.4491372350000002</v>
      </c>
      <c r="AG19">
        <v>205.28492078876496</v>
      </c>
      <c r="AH19">
        <v>205.28492078876496</v>
      </c>
    </row>
    <row r="20" spans="1:34">
      <c r="A20" s="63" t="s">
        <v>403</v>
      </c>
      <c r="B20" s="63" t="s">
        <v>556</v>
      </c>
      <c r="C20" s="299">
        <f>C7*21</f>
        <v>1309.90723675</v>
      </c>
      <c r="D20" s="430">
        <f t="shared" ref="D20:AA20" si="3">D7*21</f>
        <v>1400.5282478599997</v>
      </c>
      <c r="E20" s="430">
        <f t="shared" si="3"/>
        <v>1535.3770772899998</v>
      </c>
      <c r="F20" s="430">
        <f t="shared" si="3"/>
        <v>1640.5034037</v>
      </c>
      <c r="G20" s="430">
        <f t="shared" si="3"/>
        <v>1737.5838514299994</v>
      </c>
      <c r="H20" s="430">
        <f t="shared" si="3"/>
        <v>1756.1568313317448</v>
      </c>
      <c r="I20" s="430">
        <f t="shared" si="3"/>
        <v>1833.6756020185474</v>
      </c>
      <c r="J20" s="430">
        <f t="shared" si="3"/>
        <v>1911.1943736386863</v>
      </c>
      <c r="K20" s="430">
        <f t="shared" si="3"/>
        <v>1988.7131461918973</v>
      </c>
      <c r="L20" s="430">
        <f t="shared" si="3"/>
        <v>2066.2319196779154</v>
      </c>
      <c r="M20" s="430">
        <f t="shared" si="3"/>
        <v>2143.7506940964763</v>
      </c>
      <c r="N20" s="430">
        <f t="shared" si="3"/>
        <v>2221.2694694473153</v>
      </c>
      <c r="O20" s="430">
        <f t="shared" si="3"/>
        <v>2298.7882457301689</v>
      </c>
      <c r="P20" s="430">
        <f t="shared" si="3"/>
        <v>2376.3070229447708</v>
      </c>
      <c r="Q20" s="430">
        <f t="shared" si="3"/>
        <v>2453.8258010908571</v>
      </c>
      <c r="R20" s="430">
        <f t="shared" si="3"/>
        <v>2531.3445801681664</v>
      </c>
      <c r="S20" s="430">
        <f t="shared" si="3"/>
        <v>2608.8633601764304</v>
      </c>
      <c r="T20" s="430">
        <f t="shared" si="3"/>
        <v>2686.3821411153881</v>
      </c>
      <c r="U20" s="430">
        <f t="shared" si="3"/>
        <v>2763.9009229847748</v>
      </c>
      <c r="V20" s="430">
        <f t="shared" si="3"/>
        <v>2841.4197057843257</v>
      </c>
      <c r="W20" s="430">
        <f t="shared" si="3"/>
        <v>2918.9384895137764</v>
      </c>
      <c r="X20" s="430">
        <f t="shared" si="3"/>
        <v>2996.4572741728643</v>
      </c>
      <c r="Y20" s="430">
        <f t="shared" si="3"/>
        <v>3073.9760597613263</v>
      </c>
      <c r="Z20" s="430">
        <f t="shared" si="3"/>
        <v>3151.494846278898</v>
      </c>
      <c r="AA20" s="430">
        <f t="shared" si="3"/>
        <v>3229.0136337253161</v>
      </c>
      <c r="AC20">
        <v>4.1662860575279584E-2</v>
      </c>
      <c r="AD20">
        <v>3.6545461574210467</v>
      </c>
      <c r="AE20">
        <v>37.516450539999994</v>
      </c>
      <c r="AF20">
        <v>4.4364113325000005</v>
      </c>
      <c r="AG20">
        <v>228.9177598263264</v>
      </c>
      <c r="AH20">
        <v>228.9177598263264</v>
      </c>
    </row>
    <row r="21" spans="1:34">
      <c r="A21" s="63" t="s">
        <v>356</v>
      </c>
      <c r="B21" s="63" t="s">
        <v>556</v>
      </c>
      <c r="C21" s="299">
        <f>C8*298</f>
        <v>21.507473050205501</v>
      </c>
      <c r="D21" s="430">
        <f t="shared" ref="D21:AA21" si="4">D8*298</f>
        <v>23.044253901468569</v>
      </c>
      <c r="E21" s="430">
        <f t="shared" si="4"/>
        <v>25.698160802976112</v>
      </c>
      <c r="F21" s="430">
        <f t="shared" si="4"/>
        <v>27.714700181009235</v>
      </c>
      <c r="G21" s="430">
        <f t="shared" si="4"/>
        <v>29.881997223259656</v>
      </c>
      <c r="H21" s="430">
        <f t="shared" si="4"/>
        <v>30.082837977685045</v>
      </c>
      <c r="I21" s="430">
        <f t="shared" si="4"/>
        <v>31.59005416939257</v>
      </c>
      <c r="J21" s="430">
        <f t="shared" si="4"/>
        <v>33.097270454539078</v>
      </c>
      <c r="K21" s="430">
        <f t="shared" si="4"/>
        <v>34.604486833098008</v>
      </c>
      <c r="L21" s="430">
        <f t="shared" si="4"/>
        <v>36.111703305042887</v>
      </c>
      <c r="M21" s="430">
        <f t="shared" si="4"/>
        <v>37.618919870347234</v>
      </c>
      <c r="N21" s="430">
        <f t="shared" si="4"/>
        <v>39.12613652898456</v>
      </c>
      <c r="O21" s="430">
        <f t="shared" si="4"/>
        <v>40.633353280928382</v>
      </c>
      <c r="P21" s="430">
        <f t="shared" si="4"/>
        <v>42.140570126152241</v>
      </c>
      <c r="Q21" s="430">
        <f t="shared" si="4"/>
        <v>43.647787064629668</v>
      </c>
      <c r="R21" s="430">
        <f t="shared" si="4"/>
        <v>45.155004096334217</v>
      </c>
      <c r="S21" s="430">
        <f t="shared" si="4"/>
        <v>46.662221221239456</v>
      </c>
      <c r="T21" s="430">
        <f t="shared" si="4"/>
        <v>48.169438439318917</v>
      </c>
      <c r="U21" s="430">
        <f t="shared" si="4"/>
        <v>49.676655750546175</v>
      </c>
      <c r="V21" s="430">
        <f t="shared" si="4"/>
        <v>51.183873154894826</v>
      </c>
      <c r="W21" s="430">
        <f t="shared" si="4"/>
        <v>52.691090652338453</v>
      </c>
      <c r="X21" s="430">
        <f t="shared" si="4"/>
        <v>54.198308242850615</v>
      </c>
      <c r="Y21" s="430">
        <f t="shared" si="4"/>
        <v>55.705525926404952</v>
      </c>
      <c r="Z21" s="430">
        <f t="shared" si="4"/>
        <v>57.21274370297504</v>
      </c>
      <c r="AA21" s="430">
        <f t="shared" si="4"/>
        <v>58.719961572534537</v>
      </c>
      <c r="AC21">
        <v>4.7684647339260047E-2</v>
      </c>
      <c r="AD21">
        <v>4.0668515130347984</v>
      </c>
      <c r="AE21">
        <v>37.583937999999996</v>
      </c>
      <c r="AF21">
        <v>4.4236854300000008</v>
      </c>
      <c r="AG21">
        <v>252.53886166996958</v>
      </c>
      <c r="AH21">
        <v>252.53886166996958</v>
      </c>
    </row>
    <row r="22" spans="1:34" hidden="1">
      <c r="A22" s="63" t="s">
        <v>357</v>
      </c>
      <c r="B22" s="63" t="s">
        <v>556</v>
      </c>
      <c r="C22" s="299"/>
      <c r="D22" s="299"/>
      <c r="E22" s="299"/>
      <c r="F22" s="299"/>
      <c r="G22" s="299"/>
      <c r="H22" s="299"/>
      <c r="I22" s="299"/>
      <c r="J22" s="299"/>
      <c r="K22" s="299"/>
      <c r="L22" s="299"/>
      <c r="M22" s="299"/>
      <c r="N22" s="336">
        <f>M22/$M$27</f>
        <v>0</v>
      </c>
      <c r="AC22">
        <v>5.3840294905385826E-2</v>
      </c>
      <c r="AD22">
        <v>4.4840465350349632</v>
      </c>
      <c r="AE22">
        <v>37.651425459999999</v>
      </c>
      <c r="AF22">
        <v>4.4109595274999993</v>
      </c>
      <c r="AG22">
        <v>276.14823797235493</v>
      </c>
      <c r="AH22">
        <v>276.14823797235493</v>
      </c>
    </row>
    <row r="23" spans="1:34">
      <c r="A23" s="63" t="s">
        <v>358</v>
      </c>
      <c r="B23" s="63" t="s">
        <v>556</v>
      </c>
      <c r="C23" s="348">
        <f>C10/1000</f>
        <v>1.3436E-2</v>
      </c>
      <c r="D23" s="430">
        <f t="shared" ref="D23:AA23" si="5">D10/1000</f>
        <v>0.14006960000000002</v>
      </c>
      <c r="E23" s="430">
        <f t="shared" si="5"/>
        <v>0.14203380000000002</v>
      </c>
      <c r="F23" s="430">
        <f t="shared" si="5"/>
        <v>0.13338437</v>
      </c>
      <c r="G23" s="430">
        <f t="shared" si="5"/>
        <v>0.13529859999999999</v>
      </c>
      <c r="H23" s="430">
        <f t="shared" si="5"/>
        <v>0.18164033288712503</v>
      </c>
      <c r="I23" s="430">
        <f t="shared" si="5"/>
        <v>0.20528492078876495</v>
      </c>
      <c r="J23" s="430">
        <f t="shared" si="5"/>
        <v>0.22891775982632639</v>
      </c>
      <c r="K23" s="430">
        <f t="shared" si="5"/>
        <v>0.25253886166996958</v>
      </c>
      <c r="L23" s="430">
        <f t="shared" si="5"/>
        <v>0.27614823797235494</v>
      </c>
      <c r="M23" s="430">
        <f t="shared" si="5"/>
        <v>0.2997459003689289</v>
      </c>
      <c r="N23" s="430">
        <f t="shared" si="5"/>
        <v>0.32333186047763823</v>
      </c>
      <c r="O23" s="430">
        <f t="shared" si="5"/>
        <v>0.34690612989935882</v>
      </c>
      <c r="P23" s="430">
        <f t="shared" si="5"/>
        <v>0.3704687202176094</v>
      </c>
      <c r="Q23" s="430">
        <f t="shared" si="5"/>
        <v>0.39401964299860004</v>
      </c>
      <c r="R23" s="430">
        <f t="shared" si="5"/>
        <v>0.41755890979170801</v>
      </c>
      <c r="S23" s="430">
        <f t="shared" si="5"/>
        <v>0.44108653212881088</v>
      </c>
      <c r="T23" s="430">
        <f t="shared" si="5"/>
        <v>0.46460252152485848</v>
      </c>
      <c r="U23" s="430">
        <f t="shared" si="5"/>
        <v>0.4881068894776821</v>
      </c>
      <c r="V23" s="430">
        <f t="shared" si="5"/>
        <v>0.51159964746804243</v>
      </c>
      <c r="W23" s="430">
        <f t="shared" si="5"/>
        <v>0.53508080695986748</v>
      </c>
      <c r="X23" s="430">
        <f t="shared" si="5"/>
        <v>0.55855037939982422</v>
      </c>
      <c r="Y23" s="430">
        <f t="shared" si="5"/>
        <v>0.58200837621793744</v>
      </c>
      <c r="Z23" s="430">
        <f t="shared" si="5"/>
        <v>0.60545480882716174</v>
      </c>
      <c r="AA23" s="430">
        <f t="shared" si="5"/>
        <v>0.62888968862357142</v>
      </c>
      <c r="AC23">
        <v>6.0124792061431405E-2</v>
      </c>
      <c r="AD23">
        <v>4.905932086933829</v>
      </c>
      <c r="AE23">
        <v>37.718912920000001</v>
      </c>
      <c r="AF23">
        <v>4.3982336249999996</v>
      </c>
      <c r="AG23">
        <v>299.74590036892891</v>
      </c>
      <c r="AH23">
        <v>299.74590036892891</v>
      </c>
    </row>
    <row r="24" spans="1:34">
      <c r="A24" s="292" t="s">
        <v>467</v>
      </c>
      <c r="B24" s="63" t="s">
        <v>556</v>
      </c>
      <c r="C24" s="299">
        <f>C12*298</f>
        <v>57.745129536450918</v>
      </c>
      <c r="D24" s="430">
        <f t="shared" ref="D24:AA24" si="6">D12*298</f>
        <v>568.96934675137152</v>
      </c>
      <c r="E24" s="430">
        <f t="shared" si="6"/>
        <v>609.02683698356157</v>
      </c>
      <c r="F24" s="430">
        <f t="shared" si="6"/>
        <v>622.78026468311703</v>
      </c>
      <c r="G24" s="430">
        <f t="shared" si="6"/>
        <v>632.13741210474382</v>
      </c>
      <c r="H24" s="430">
        <f t="shared" si="6"/>
        <v>850.77938642789115</v>
      </c>
      <c r="I24" s="430">
        <f t="shared" si="6"/>
        <v>967.7074287246669</v>
      </c>
      <c r="J24" s="430">
        <f t="shared" si="6"/>
        <v>1089.0547549114719</v>
      </c>
      <c r="K24" s="430">
        <f t="shared" si="6"/>
        <v>1211.9217508843699</v>
      </c>
      <c r="L24" s="430">
        <f t="shared" si="6"/>
        <v>1336.245867440419</v>
      </c>
      <c r="M24" s="430">
        <f t="shared" si="6"/>
        <v>1461.9677619062811</v>
      </c>
      <c r="N24" s="430">
        <f t="shared" si="6"/>
        <v>1589.0310955344466</v>
      </c>
      <c r="O24" s="430">
        <f t="shared" si="6"/>
        <v>1717.3823460719204</v>
      </c>
      <c r="P24" s="430">
        <f t="shared" si="6"/>
        <v>1846.9706341863084</v>
      </c>
      <c r="Q24" s="430">
        <f t="shared" si="6"/>
        <v>1977.7475625725235</v>
      </c>
      <c r="R24" s="430">
        <f t="shared" si="6"/>
        <v>2109.6670666733066</v>
      </c>
      <c r="S24" s="430">
        <f t="shared" si="6"/>
        <v>2242.6852760402526</v>
      </c>
      <c r="T24" s="430">
        <f t="shared" si="6"/>
        <v>2376.7603854706053</v>
      </c>
      <c r="U24" s="430">
        <f t="shared" si="6"/>
        <v>2511.8525351171547</v>
      </c>
      <c r="V24" s="430">
        <f t="shared" si="6"/>
        <v>2647.9236988544167</v>
      </c>
      <c r="W24" s="430">
        <f t="shared" si="6"/>
        <v>2784.9375802453164</v>
      </c>
      <c r="X24" s="430">
        <f t="shared" si="6"/>
        <v>2922.8595155073672</v>
      </c>
      <c r="Y24" s="430">
        <f t="shared" si="6"/>
        <v>3061.6563829430297</v>
      </c>
      <c r="Z24" s="430">
        <f t="shared" si="6"/>
        <v>3201.2965183279603</v>
      </c>
      <c r="AA24" s="430">
        <f t="shared" si="6"/>
        <v>3341.7496358117642</v>
      </c>
      <c r="AC24">
        <v>6.6533374645265722E-2</v>
      </c>
      <c r="AD24">
        <v>5.3323191125317004</v>
      </c>
      <c r="AE24">
        <v>37.786400380000003</v>
      </c>
      <c r="AF24">
        <v>4.3855077224999999</v>
      </c>
      <c r="AG24">
        <v>323.33186047763826</v>
      </c>
      <c r="AH24">
        <v>323.33186047763826</v>
      </c>
    </row>
    <row r="25" spans="1:34" hidden="1">
      <c r="A25" s="63" t="s">
        <v>402</v>
      </c>
      <c r="B25" s="63" t="s">
        <v>556</v>
      </c>
      <c r="C25" s="299"/>
      <c r="D25" s="299"/>
      <c r="E25" s="299"/>
      <c r="F25" s="299"/>
      <c r="G25" s="299"/>
      <c r="H25" s="299"/>
      <c r="I25" s="299"/>
      <c r="J25" s="299"/>
      <c r="K25" s="299"/>
      <c r="L25" s="299"/>
      <c r="M25" s="299"/>
      <c r="N25" s="336">
        <f>M25/$M$27</f>
        <v>0</v>
      </c>
      <c r="AC25">
        <v>7.3061510505907409E-2</v>
      </c>
      <c r="AD25">
        <v>5.7630280069527533</v>
      </c>
      <c r="AE25">
        <v>37.853887839999992</v>
      </c>
      <c r="AF25">
        <v>4.3727818200000002</v>
      </c>
      <c r="AG25">
        <v>346.9061298993588</v>
      </c>
      <c r="AH25">
        <v>346.9061298993588</v>
      </c>
    </row>
    <row r="26" spans="1:34">
      <c r="A26" s="292" t="s">
        <v>470</v>
      </c>
      <c r="B26" s="63" t="s">
        <v>556</v>
      </c>
      <c r="C26" s="301">
        <f>C13*298</f>
        <v>0</v>
      </c>
      <c r="D26" s="430">
        <f t="shared" ref="D26:AA26" si="7">D13*298</f>
        <v>0</v>
      </c>
      <c r="E26" s="430">
        <f t="shared" si="7"/>
        <v>1.1452932594423724</v>
      </c>
      <c r="F26" s="430">
        <f t="shared" si="7"/>
        <v>3.9438859371508341</v>
      </c>
      <c r="G26" s="430">
        <f t="shared" si="7"/>
        <v>3.8022487234898881</v>
      </c>
      <c r="H26" s="430">
        <f t="shared" si="7"/>
        <v>6.1143241303561089</v>
      </c>
      <c r="I26" s="430">
        <f t="shared" si="7"/>
        <v>13.070171410085614</v>
      </c>
      <c r="J26" s="430">
        <f t="shared" si="7"/>
        <v>10.48923358275279</v>
      </c>
      <c r="K26" s="430">
        <f t="shared" si="7"/>
        <v>8.7340875026011489</v>
      </c>
      <c r="L26" s="430">
        <f t="shared" si="7"/>
        <v>12.415532451433316</v>
      </c>
      <c r="M26" s="430">
        <f t="shared" si="7"/>
        <v>14.210024907099495</v>
      </c>
      <c r="N26" s="430">
        <f t="shared" si="7"/>
        <v>16.044407881804975</v>
      </c>
      <c r="O26" s="430">
        <f t="shared" si="7"/>
        <v>17.917188034306559</v>
      </c>
      <c r="P26" s="430">
        <f t="shared" si="7"/>
        <v>19.826945644289186</v>
      </c>
      <c r="Q26" s="430">
        <f t="shared" si="7"/>
        <v>21.772330130760409</v>
      </c>
      <c r="R26" s="430">
        <f t="shared" si="7"/>
        <v>23.752055893883394</v>
      </c>
      <c r="S26" s="430">
        <f t="shared" si="7"/>
        <v>25.764898453338979</v>
      </c>
      <c r="T26" s="430">
        <f t="shared" si="7"/>
        <v>27.809690858835957</v>
      </c>
      <c r="U26" s="430">
        <f t="shared" si="7"/>
        <v>29.885320350653334</v>
      </c>
      <c r="V26" s="430">
        <f t="shared" si="7"/>
        <v>31.99072525012836</v>
      </c>
      <c r="W26" s="430">
        <f t="shared" si="7"/>
        <v>34.124892061827843</v>
      </c>
      <c r="X26" s="430">
        <f t="shared" si="7"/>
        <v>36.286852770778843</v>
      </c>
      <c r="Y26" s="430">
        <f t="shared" si="7"/>
        <v>38.475682319610577</v>
      </c>
      <c r="Z26" s="430">
        <f t="shared" si="7"/>
        <v>40.690496251789</v>
      </c>
      <c r="AA26" s="430">
        <f t="shared" si="7"/>
        <v>42.930448508325306</v>
      </c>
      <c r="AC26">
        <v>7.9704885549944274E-2</v>
      </c>
      <c r="AD26">
        <v>6.1978880341822427</v>
      </c>
      <c r="AE26">
        <v>37.921375299999994</v>
      </c>
      <c r="AF26">
        <v>4.3600559175000004</v>
      </c>
      <c r="AG26">
        <v>370.46872021760942</v>
      </c>
      <c r="AH26">
        <v>370.46872021760942</v>
      </c>
    </row>
    <row r="27" spans="1:34">
      <c r="A27" s="179" t="s">
        <v>420</v>
      </c>
      <c r="B27" s="63" t="s">
        <v>556</v>
      </c>
      <c r="C27" s="335">
        <f>SUM(C18:C26)</f>
        <v>2262.1334257066565</v>
      </c>
      <c r="D27" s="335">
        <f t="shared" ref="D27:AA27" si="8">SUM(D18:D26)</f>
        <v>2873.22426485284</v>
      </c>
      <c r="E27" s="335">
        <f t="shared" si="8"/>
        <v>3060.8598568759794</v>
      </c>
      <c r="F27" s="335">
        <f t="shared" si="8"/>
        <v>3178.2833971712771</v>
      </c>
      <c r="G27" s="335">
        <f t="shared" si="8"/>
        <v>3281.1009292814924</v>
      </c>
      <c r="H27" s="335">
        <f t="shared" si="8"/>
        <v>3522.0251341080639</v>
      </c>
      <c r="I27" s="335">
        <f t="shared" si="8"/>
        <v>3726.1086478584812</v>
      </c>
      <c r="J27" s="335">
        <f t="shared" si="8"/>
        <v>3925.0746496697766</v>
      </c>
      <c r="K27" s="335">
        <f t="shared" si="8"/>
        <v>4126.3861023036361</v>
      </c>
      <c r="L27" s="335">
        <f t="shared" si="8"/>
        <v>4334.5912558502823</v>
      </c>
      <c r="M27" s="335">
        <f t="shared" si="8"/>
        <v>4542.3072241255732</v>
      </c>
      <c r="N27" s="335">
        <f t="shared" si="8"/>
        <v>4751.4045114055289</v>
      </c>
      <c r="O27" s="335">
        <f t="shared" si="8"/>
        <v>4961.8281021072235</v>
      </c>
      <c r="P27" s="335">
        <f t="shared" si="8"/>
        <v>5173.5256971892386</v>
      </c>
      <c r="Q27" s="335">
        <f t="shared" si="8"/>
        <v>5386.4475487767695</v>
      </c>
      <c r="R27" s="335">
        <f t="shared" si="8"/>
        <v>5600.5463067239816</v>
      </c>
      <c r="S27" s="335">
        <f t="shared" si="8"/>
        <v>5815.7768761133902</v>
      </c>
      <c r="T27" s="335">
        <f t="shared" si="8"/>
        <v>6032.0962848031731</v>
      </c>
      <c r="U27" s="335">
        <f t="shared" si="8"/>
        <v>6249.463560197607</v>
      </c>
      <c r="V27" s="335">
        <f t="shared" si="8"/>
        <v>6467.8396145037323</v>
      </c>
      <c r="W27" s="335">
        <f t="shared" si="8"/>
        <v>6687.1871378002188</v>
      </c>
      <c r="X27" s="335">
        <f t="shared" si="8"/>
        <v>6907.4704983007605</v>
      </c>
      <c r="Y27" s="335">
        <f t="shared" si="8"/>
        <v>7128.6556492615882</v>
      </c>
      <c r="Z27" s="335">
        <f t="shared" si="8"/>
        <v>7350.7100420129491</v>
      </c>
      <c r="AA27" s="335">
        <f t="shared" si="8"/>
        <v>7573.6025446565645</v>
      </c>
      <c r="AC27">
        <v>8.6459390783016704E-2</v>
      </c>
      <c r="AD27">
        <v>6.6367367871561189</v>
      </c>
      <c r="AE27">
        <v>37.988862759999996</v>
      </c>
      <c r="AF27">
        <v>4.3473300150000007</v>
      </c>
      <c r="AG27">
        <v>394.01964299860003</v>
      </c>
      <c r="AH27">
        <v>394.01964299860003</v>
      </c>
    </row>
    <row r="28" spans="1:34">
      <c r="C28" s="243">
        <f>C27*1000</f>
        <v>2262133.4257066566</v>
      </c>
      <c r="D28" s="243">
        <f t="shared" ref="D28:AA28" si="9">D27*1000</f>
        <v>2873224.26485284</v>
      </c>
      <c r="E28" s="243">
        <f t="shared" si="9"/>
        <v>3060859.8568759793</v>
      </c>
      <c r="F28" s="243">
        <f t="shared" si="9"/>
        <v>3178283.3971712771</v>
      </c>
      <c r="G28" s="243">
        <f t="shared" si="9"/>
        <v>3281100.9292814923</v>
      </c>
      <c r="H28" s="243">
        <f t="shared" si="9"/>
        <v>3522025.1341080638</v>
      </c>
      <c r="I28" s="243">
        <f t="shared" si="9"/>
        <v>3726108.6478584814</v>
      </c>
      <c r="J28" s="243">
        <f t="shared" si="9"/>
        <v>3925074.6496697767</v>
      </c>
      <c r="K28" s="243">
        <f t="shared" si="9"/>
        <v>4126386.1023036363</v>
      </c>
      <c r="L28" s="243">
        <f t="shared" si="9"/>
        <v>4334591.2558502825</v>
      </c>
      <c r="M28" s="243">
        <f t="shared" si="9"/>
        <v>4542307.2241255734</v>
      </c>
      <c r="N28" s="243">
        <f t="shared" si="9"/>
        <v>4751404.5114055285</v>
      </c>
      <c r="O28" s="243">
        <f t="shared" si="9"/>
        <v>4961828.1021072231</v>
      </c>
      <c r="P28" s="243">
        <f t="shared" si="9"/>
        <v>5173525.6971892389</v>
      </c>
      <c r="Q28" s="243">
        <f t="shared" si="9"/>
        <v>5386447.5487767691</v>
      </c>
      <c r="R28" s="243">
        <f t="shared" si="9"/>
        <v>5600546.3067239812</v>
      </c>
      <c r="S28" s="243">
        <f t="shared" si="9"/>
        <v>5815776.8761133906</v>
      </c>
      <c r="T28" s="243">
        <f t="shared" si="9"/>
        <v>6032096.2848031735</v>
      </c>
      <c r="U28" s="243">
        <f t="shared" si="9"/>
        <v>6249463.5601976067</v>
      </c>
      <c r="V28" s="243">
        <f t="shared" si="9"/>
        <v>6467839.614503732</v>
      </c>
      <c r="W28" s="243">
        <f t="shared" si="9"/>
        <v>6687187.1378002185</v>
      </c>
      <c r="X28" s="243">
        <f t="shared" si="9"/>
        <v>6907470.4983007601</v>
      </c>
      <c r="Y28" s="243">
        <f t="shared" si="9"/>
        <v>7128655.6492615882</v>
      </c>
      <c r="Z28" s="243">
        <f t="shared" si="9"/>
        <v>7350710.0420129495</v>
      </c>
      <c r="AA28" s="243">
        <f t="shared" si="9"/>
        <v>7573602.5446565645</v>
      </c>
      <c r="AC28">
        <v>9.3321110264550186E-2</v>
      </c>
      <c r="AD28">
        <v>7.0794196868231767</v>
      </c>
      <c r="AE28">
        <v>38.056350219999999</v>
      </c>
      <c r="AF28">
        <v>4.3346041125000001</v>
      </c>
      <c r="AG28">
        <v>417.558909791708</v>
      </c>
      <c r="AH28">
        <v>417.558909791708</v>
      </c>
    </row>
    <row r="29" spans="1:34">
      <c r="AC29">
        <v>0.10028630990152125</v>
      </c>
      <c r="AD29">
        <v>7.5257895169135995</v>
      </c>
      <c r="AE29">
        <v>38.123837680000001</v>
      </c>
      <c r="AF29">
        <v>4.3218782099999995</v>
      </c>
      <c r="AG29">
        <v>441.08653212881086</v>
      </c>
      <c r="AH29">
        <v>441.08653212881086</v>
      </c>
    </row>
    <row r="30" spans="1:34">
      <c r="AC30">
        <v>0.10735142701385356</v>
      </c>
      <c r="AD30">
        <v>7.9757059915120987</v>
      </c>
      <c r="AE30">
        <v>38.191325139999996</v>
      </c>
      <c r="AF30">
        <v>4.3091523074999998</v>
      </c>
      <c r="AG30">
        <v>464.6025215248585</v>
      </c>
      <c r="AH30">
        <v>464.6025215248585</v>
      </c>
    </row>
    <row r="31" spans="1:34">
      <c r="AC31">
        <v>0.11451306061016055</v>
      </c>
      <c r="AD31">
        <v>8.4290353527421296</v>
      </c>
      <c r="AE31">
        <v>38.258812599999999</v>
      </c>
      <c r="AF31">
        <v>4.2964264050000001</v>
      </c>
      <c r="AG31">
        <v>488.1068894776821</v>
      </c>
      <c r="AH31">
        <v>488.1068894776821</v>
      </c>
    </row>
    <row r="32" spans="1:34">
      <c r="AC32">
        <v>0.12176796231804982</v>
      </c>
      <c r="AD32">
        <v>8.8856499961557613</v>
      </c>
      <c r="AE32">
        <v>38.326300060000001</v>
      </c>
      <c r="AF32">
        <v>4.2837005025000003</v>
      </c>
      <c r="AG32">
        <v>511.59964746804241</v>
      </c>
      <c r="AH32">
        <v>511.59964746804241</v>
      </c>
    </row>
    <row r="33" spans="29:34">
      <c r="AC33">
        <v>0.12911302791815629</v>
      </c>
      <c r="AD33">
        <v>9.3454281216285793</v>
      </c>
      <c r="AE33">
        <v>38.393787520000004</v>
      </c>
      <c r="AF33">
        <v>4.2709746000000006</v>
      </c>
      <c r="AG33">
        <v>535.08080695986746</v>
      </c>
      <c r="AH33">
        <v>535.08080695986746</v>
      </c>
    </row>
    <row r="34" spans="29:34">
      <c r="AC34">
        <v>0.13654528943553357</v>
      </c>
      <c r="AD34">
        <v>9.8082534077428427</v>
      </c>
      <c r="AE34">
        <v>38.461274979999992</v>
      </c>
      <c r="AF34">
        <v>4.2582486975000009</v>
      </c>
      <c r="AG34">
        <v>558.55037939982424</v>
      </c>
      <c r="AH34">
        <v>558.55037939982424</v>
      </c>
    </row>
    <row r="35" spans="29:34">
      <c r="AC35">
        <v>0.14406190774605807</v>
      </c>
      <c r="AD35">
        <v>10.274014707862516</v>
      </c>
      <c r="AE35">
        <v>38.528762439999994</v>
      </c>
      <c r="AF35">
        <v>4.2455227949999994</v>
      </c>
      <c r="AG35">
        <v>582.00837621793744</v>
      </c>
      <c r="AH35">
        <v>582.00837621793744</v>
      </c>
    </row>
    <row r="36" spans="29:34">
      <c r="AD36">
        <v>10.742605766201208</v>
      </c>
      <c r="AE36">
        <v>38.596249899999997</v>
      </c>
      <c r="AF36">
        <v>4.2327968924999997</v>
      </c>
      <c r="AG36">
        <v>605.45480882716174</v>
      </c>
      <c r="AH36">
        <v>605.45480882716174</v>
      </c>
    </row>
    <row r="37" spans="29:34">
      <c r="AD37">
        <v>11.213924952388471</v>
      </c>
      <c r="AE37">
        <v>38.663737359999999</v>
      </c>
      <c r="AF37">
        <v>4.22007099</v>
      </c>
      <c r="AG37">
        <v>628.88968862357137</v>
      </c>
      <c r="AH37">
        <v>628.88968862357137</v>
      </c>
    </row>
    <row r="38" spans="29:34">
      <c r="AG38">
        <v>8712.4446975261399</v>
      </c>
    </row>
  </sheetData>
  <mergeCells count="3">
    <mergeCell ref="B16:B17"/>
    <mergeCell ref="A16:A17"/>
    <mergeCell ref="C16:M1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AG146"/>
  <sheetViews>
    <sheetView topLeftCell="E37" workbookViewId="0">
      <selection activeCell="E61" sqref="E61"/>
    </sheetView>
  </sheetViews>
  <sheetFormatPr defaultRowHeight="15"/>
  <cols>
    <col min="1" max="1" width="21.28515625" customWidth="1"/>
    <col min="2" max="2" width="14.42578125" customWidth="1"/>
    <col min="3" max="4" width="15.85546875" customWidth="1"/>
    <col min="5" max="5" width="17.28515625" bestFit="1" customWidth="1"/>
    <col min="6" max="6" width="12.28515625" customWidth="1"/>
    <col min="7" max="7" width="13.28515625" customWidth="1"/>
    <col min="8" max="8" width="12.28515625" customWidth="1"/>
    <col min="9" max="9" width="12" customWidth="1"/>
    <col min="10" max="10" width="16" customWidth="1"/>
    <col min="11" max="11" width="13.85546875" bestFit="1" customWidth="1"/>
    <col min="12" max="12" width="11.85546875" customWidth="1"/>
    <col min="13" max="13" width="11.5703125" customWidth="1"/>
    <col min="14" max="14" width="10.28515625" customWidth="1"/>
    <col min="15" max="15" width="10.5703125" bestFit="1" customWidth="1"/>
    <col min="16" max="17" width="11.5703125" bestFit="1" customWidth="1"/>
    <col min="18" max="18" width="11.140625" customWidth="1"/>
    <col min="19" max="19" width="10.85546875" customWidth="1"/>
    <col min="20" max="20" width="10.42578125" customWidth="1"/>
    <col min="21" max="21" width="11" customWidth="1"/>
    <col min="22" max="22" width="11.85546875" customWidth="1"/>
    <col min="23" max="23" width="10.7109375" customWidth="1"/>
    <col min="24" max="25" width="11.7109375" customWidth="1"/>
    <col min="26" max="27" width="10.85546875" bestFit="1" customWidth="1"/>
    <col min="28" max="28" width="10.5703125" bestFit="1" customWidth="1"/>
    <col min="29" max="29" width="10.85546875" bestFit="1" customWidth="1"/>
    <col min="30" max="30" width="10.28515625" bestFit="1" customWidth="1"/>
    <col min="31" max="31" width="10.5703125" bestFit="1" customWidth="1"/>
    <col min="32" max="33" width="10.28515625" bestFit="1" customWidth="1"/>
  </cols>
  <sheetData>
    <row r="2" spans="1:22" ht="15.75" thickBot="1"/>
    <row r="3" spans="1:22" ht="24" customHeight="1" thickBot="1">
      <c r="A3" s="492" t="s">
        <v>404</v>
      </c>
      <c r="B3" s="458" t="s">
        <v>414</v>
      </c>
      <c r="C3" s="458" t="s">
        <v>413</v>
      </c>
      <c r="D3" s="458" t="s">
        <v>19</v>
      </c>
      <c r="E3" s="458" t="s">
        <v>61</v>
      </c>
      <c r="F3" s="458" t="s">
        <v>20</v>
      </c>
      <c r="G3" s="458" t="s">
        <v>21</v>
      </c>
      <c r="H3" s="458" t="s">
        <v>62</v>
      </c>
      <c r="I3" s="456" t="s">
        <v>415</v>
      </c>
      <c r="J3" s="237" t="s">
        <v>416</v>
      </c>
      <c r="K3" s="237" t="s">
        <v>417</v>
      </c>
      <c r="L3" s="237" t="s">
        <v>73</v>
      </c>
      <c r="V3" s="29"/>
    </row>
    <row r="4" spans="1:22">
      <c r="A4" s="492"/>
      <c r="B4" s="458" t="s">
        <v>67</v>
      </c>
      <c r="C4" s="458" t="s">
        <v>67</v>
      </c>
      <c r="D4" s="458" t="s">
        <v>67</v>
      </c>
      <c r="E4" s="458" t="s">
        <v>67</v>
      </c>
      <c r="F4" s="458" t="s">
        <v>67</v>
      </c>
      <c r="G4" s="458" t="s">
        <v>67</v>
      </c>
      <c r="H4" s="458" t="s">
        <v>67</v>
      </c>
      <c r="I4" s="378" t="s">
        <v>67</v>
      </c>
      <c r="J4" s="378" t="s">
        <v>67</v>
      </c>
      <c r="K4" s="378" t="s">
        <v>67</v>
      </c>
      <c r="L4" s="378" t="s">
        <v>67</v>
      </c>
      <c r="V4" s="29"/>
    </row>
    <row r="5" spans="1:22">
      <c r="A5" s="458">
        <v>2000</v>
      </c>
      <c r="B5" s="406">
        <v>84756</v>
      </c>
      <c r="C5" s="406">
        <v>165686</v>
      </c>
      <c r="D5" s="406">
        <v>166898</v>
      </c>
      <c r="E5" s="406">
        <v>3036812</v>
      </c>
      <c r="F5" s="406">
        <v>1160462</v>
      </c>
      <c r="G5" s="406">
        <v>10763</v>
      </c>
      <c r="H5" s="406">
        <v>9253</v>
      </c>
      <c r="I5" s="457">
        <v>26939832</v>
      </c>
      <c r="J5" s="379">
        <v>5962619</v>
      </c>
      <c r="K5" s="379">
        <v>27674161</v>
      </c>
      <c r="L5" s="379">
        <v>3481702</v>
      </c>
      <c r="V5" s="29"/>
    </row>
    <row r="6" spans="1:22">
      <c r="A6" s="458">
        <v>2001</v>
      </c>
      <c r="B6" s="406">
        <v>84934</v>
      </c>
      <c r="C6" s="406">
        <v>189518</v>
      </c>
      <c r="D6" s="406">
        <v>153372</v>
      </c>
      <c r="E6" s="406">
        <v>3087038</v>
      </c>
      <c r="F6" s="406">
        <v>922633</v>
      </c>
      <c r="G6" s="406">
        <v>11851</v>
      </c>
      <c r="H6" s="406">
        <v>12337</v>
      </c>
      <c r="I6" s="457">
        <v>27703049</v>
      </c>
      <c r="J6" s="379">
        <v>7403492</v>
      </c>
      <c r="K6" s="379">
        <v>31490528.333333332</v>
      </c>
      <c r="L6" s="379">
        <v>4055539</v>
      </c>
      <c r="V6" s="29"/>
    </row>
    <row r="7" spans="1:22">
      <c r="A7" s="458">
        <v>2002</v>
      </c>
      <c r="B7" s="406">
        <v>91219</v>
      </c>
      <c r="C7" s="406">
        <v>205843</v>
      </c>
      <c r="D7" s="406">
        <v>148778</v>
      </c>
      <c r="E7" s="406">
        <v>3162234</v>
      </c>
      <c r="F7" s="406">
        <v>878043</v>
      </c>
      <c r="G7" s="406">
        <v>11963</v>
      </c>
      <c r="H7" s="406">
        <v>9702</v>
      </c>
      <c r="I7" s="457">
        <v>30273580</v>
      </c>
      <c r="J7" s="379">
        <v>8588803</v>
      </c>
      <c r="K7" s="379">
        <v>42146199.5</v>
      </c>
      <c r="L7" s="379">
        <v>4293637</v>
      </c>
      <c r="V7" s="29"/>
    </row>
    <row r="8" spans="1:22">
      <c r="A8" s="458">
        <v>2003</v>
      </c>
      <c r="B8" s="406">
        <v>95513</v>
      </c>
      <c r="C8" s="406">
        <v>223818</v>
      </c>
      <c r="D8" s="406">
        <v>146758</v>
      </c>
      <c r="E8" s="406">
        <v>3288884</v>
      </c>
      <c r="F8" s="406">
        <v>930066</v>
      </c>
      <c r="G8" s="406">
        <v>12124</v>
      </c>
      <c r="H8" s="406">
        <v>11207</v>
      </c>
      <c r="I8" s="457">
        <v>31294784</v>
      </c>
      <c r="J8" s="379">
        <v>8446127</v>
      </c>
      <c r="K8" s="379">
        <v>46245137</v>
      </c>
      <c r="L8" s="379">
        <v>4952224</v>
      </c>
      <c r="V8" s="29"/>
    </row>
    <row r="9" spans="1:22">
      <c r="A9" s="458">
        <v>2004</v>
      </c>
      <c r="B9" s="406">
        <v>98958</v>
      </c>
      <c r="C9" s="406">
        <v>232949</v>
      </c>
      <c r="D9" s="406">
        <v>149960</v>
      </c>
      <c r="E9" s="406">
        <v>3529456</v>
      </c>
      <c r="F9" s="406">
        <v>1144102</v>
      </c>
      <c r="G9" s="406">
        <v>14242</v>
      </c>
      <c r="H9" s="406">
        <v>8092</v>
      </c>
      <c r="I9" s="457">
        <v>30779120</v>
      </c>
      <c r="J9" s="379">
        <v>9720685</v>
      </c>
      <c r="K9" s="379">
        <v>51922827.666666664</v>
      </c>
      <c r="L9" s="379">
        <v>4880019</v>
      </c>
      <c r="V9" s="29"/>
    </row>
    <row r="10" spans="1:22">
      <c r="A10" s="458">
        <v>2005</v>
      </c>
      <c r="B10" s="406">
        <v>92755</v>
      </c>
      <c r="C10" s="406">
        <v>234948</v>
      </c>
      <c r="D10" s="406">
        <v>147157</v>
      </c>
      <c r="E10" s="406">
        <v>3737803</v>
      </c>
      <c r="F10" s="406">
        <v>999267</v>
      </c>
      <c r="G10" s="406">
        <v>12569</v>
      </c>
      <c r="H10" s="406">
        <v>9056.7545957063885</v>
      </c>
      <c r="I10" s="457">
        <v>31043932</v>
      </c>
      <c r="J10" s="379">
        <v>10171904</v>
      </c>
      <c r="K10" s="379">
        <v>53943997.833333336</v>
      </c>
      <c r="L10" s="379">
        <v>5335872</v>
      </c>
      <c r="V10" s="29"/>
    </row>
    <row r="11" spans="1:22">
      <c r="A11" s="458">
        <v>2006</v>
      </c>
      <c r="B11" s="406">
        <v>97367</v>
      </c>
      <c r="C11" s="406">
        <v>254243</v>
      </c>
      <c r="D11" s="406">
        <v>149444</v>
      </c>
      <c r="E11" s="406">
        <v>4221806</v>
      </c>
      <c r="F11" s="406">
        <v>1148547</v>
      </c>
      <c r="G11" s="406">
        <v>15555</v>
      </c>
      <c r="H11" s="406">
        <v>12487</v>
      </c>
      <c r="I11" s="457">
        <v>29319161</v>
      </c>
      <c r="J11" s="379">
        <v>10351105</v>
      </c>
      <c r="K11" s="379">
        <v>57325681.666666664</v>
      </c>
      <c r="L11" s="379">
        <v>5296757</v>
      </c>
      <c r="V11" s="29"/>
    </row>
    <row r="12" spans="1:22">
      <c r="A12" s="458">
        <v>2007</v>
      </c>
      <c r="B12" s="406">
        <v>103489</v>
      </c>
      <c r="C12" s="406">
        <v>272264</v>
      </c>
      <c r="D12" s="406">
        <v>149030</v>
      </c>
      <c r="E12" s="406">
        <v>4605417</v>
      </c>
      <c r="F12" s="406">
        <v>1294453</v>
      </c>
      <c r="G12" s="406">
        <v>15755</v>
      </c>
      <c r="H12" s="406">
        <v>7043</v>
      </c>
      <c r="I12" s="457">
        <v>27789274</v>
      </c>
      <c r="J12" s="379">
        <v>11462744</v>
      </c>
      <c r="K12" s="379">
        <v>58084469.833333336</v>
      </c>
      <c r="L12" s="379">
        <v>6534753</v>
      </c>
      <c r="V12" s="29"/>
    </row>
    <row r="13" spans="1:22">
      <c r="A13" s="458">
        <v>2008</v>
      </c>
      <c r="B13" s="406">
        <v>111250</v>
      </c>
      <c r="C13" s="406">
        <v>295554</v>
      </c>
      <c r="D13" s="406">
        <v>145847</v>
      </c>
      <c r="E13" s="406">
        <v>5311836</v>
      </c>
      <c r="F13" s="406">
        <v>1431012</v>
      </c>
      <c r="G13" s="406">
        <v>13717</v>
      </c>
      <c r="H13" s="406">
        <v>4773</v>
      </c>
      <c r="I13" s="457">
        <v>27761015</v>
      </c>
      <c r="J13" s="379">
        <v>10303478</v>
      </c>
      <c r="K13" s="379">
        <v>69562266.333333343</v>
      </c>
      <c r="L13" s="379">
        <v>7962095</v>
      </c>
      <c r="V13" s="29"/>
    </row>
    <row r="14" spans="1:22">
      <c r="A14" s="458">
        <v>2009</v>
      </c>
      <c r="B14" s="406">
        <v>117839</v>
      </c>
      <c r="C14" s="406">
        <v>310981</v>
      </c>
      <c r="D14" s="406">
        <v>142502</v>
      </c>
      <c r="E14" s="406">
        <v>5817834</v>
      </c>
      <c r="F14" s="406">
        <v>1615002</v>
      </c>
      <c r="G14" s="406">
        <v>13757</v>
      </c>
      <c r="H14" s="406">
        <v>8146</v>
      </c>
      <c r="I14" s="457">
        <v>28371910</v>
      </c>
      <c r="J14" s="379">
        <v>10501767</v>
      </c>
      <c r="K14" s="379">
        <v>73088484.5</v>
      </c>
      <c r="L14" s="379">
        <v>8213920</v>
      </c>
      <c r="V14" s="29"/>
    </row>
    <row r="15" spans="1:22">
      <c r="A15" s="458">
        <v>2010</v>
      </c>
      <c r="B15" s="406">
        <v>120475</v>
      </c>
      <c r="C15" s="406">
        <v>327750</v>
      </c>
      <c r="D15" s="406">
        <v>139730</v>
      </c>
      <c r="E15" s="406">
        <v>6275299</v>
      </c>
      <c r="F15" s="406">
        <v>1801320</v>
      </c>
      <c r="G15" s="406">
        <v>13929</v>
      </c>
      <c r="H15" s="406">
        <v>8327</v>
      </c>
      <c r="I15" s="457">
        <v>27394516</v>
      </c>
      <c r="J15" s="379">
        <v>11252390</v>
      </c>
      <c r="K15" s="379">
        <v>82969025.666666657</v>
      </c>
      <c r="L15" s="379">
        <v>9871091</v>
      </c>
      <c r="V15" s="29"/>
    </row>
    <row r="16" spans="1:22" ht="15.75" thickBot="1">
      <c r="A16" s="458">
        <v>2011</v>
      </c>
      <c r="B16" s="459">
        <v>121483.19999999998</v>
      </c>
      <c r="C16" s="460">
        <v>337319.26666666666</v>
      </c>
      <c r="D16" s="459">
        <v>141532.19999999998</v>
      </c>
      <c r="E16" s="459">
        <v>6340767.2000000002</v>
      </c>
      <c r="F16" s="461">
        <v>1755509.8</v>
      </c>
      <c r="G16" s="459">
        <v>15104.533333333333</v>
      </c>
      <c r="H16" s="459">
        <v>6488.116973047092</v>
      </c>
      <c r="I16" s="235">
        <v>27616728.729221676</v>
      </c>
      <c r="J16" s="235">
        <v>12107700.666666666</v>
      </c>
      <c r="K16" s="235">
        <v>83956352.76666671</v>
      </c>
      <c r="L16" s="235">
        <v>9464803.7333333343</v>
      </c>
      <c r="V16" s="29"/>
    </row>
    <row r="17" spans="1:22" ht="15.75" thickBot="1">
      <c r="A17" s="458">
        <v>2012</v>
      </c>
      <c r="B17" s="459">
        <v>125138.34545454544</v>
      </c>
      <c r="C17" s="460">
        <v>352325.16969696968</v>
      </c>
      <c r="D17" s="459">
        <v>140491.18181818182</v>
      </c>
      <c r="E17" s="459">
        <v>6711132.0181818185</v>
      </c>
      <c r="F17" s="459">
        <v>1853521.6727272726</v>
      </c>
      <c r="G17" s="459">
        <v>15387.866666666667</v>
      </c>
      <c r="H17" s="459">
        <v>6010.1245209519011</v>
      </c>
      <c r="I17" s="235">
        <v>27608894.78166661</v>
      </c>
      <c r="J17" s="235">
        <v>12535356</v>
      </c>
      <c r="K17" s="235">
        <v>88916078.39090915</v>
      </c>
      <c r="L17" s="235">
        <v>10069387.921212122</v>
      </c>
      <c r="V17" s="29"/>
    </row>
    <row r="18" spans="1:22" ht="15.75" thickBot="1">
      <c r="A18" s="458">
        <v>2013</v>
      </c>
      <c r="B18" s="460">
        <v>128793.49090909091</v>
      </c>
      <c r="C18" s="462">
        <v>367331.07272727269</v>
      </c>
      <c r="D18" s="460">
        <v>139450.16363636364</v>
      </c>
      <c r="E18" s="459">
        <v>7081496.8363636369</v>
      </c>
      <c r="F18" s="460">
        <v>1951533.5454545454</v>
      </c>
      <c r="G18" s="460">
        <v>15671.2</v>
      </c>
      <c r="H18" s="460">
        <v>5532.1320688567112</v>
      </c>
      <c r="I18" s="236">
        <v>27601063.05634195</v>
      </c>
      <c r="J18" s="235">
        <v>12963011.333333332</v>
      </c>
      <c r="K18" s="235">
        <v>93875804.01515159</v>
      </c>
      <c r="L18" s="235">
        <v>10673972.109090909</v>
      </c>
      <c r="V18" s="29"/>
    </row>
    <row r="19" spans="1:22" ht="15.75" thickBot="1">
      <c r="A19" s="458">
        <v>2014</v>
      </c>
      <c r="B19" s="460">
        <v>132448.63636363635</v>
      </c>
      <c r="C19" s="460">
        <v>382336.97575757571</v>
      </c>
      <c r="D19" s="460">
        <v>138409.14545454545</v>
      </c>
      <c r="E19" s="460">
        <v>7451861.6545454543</v>
      </c>
      <c r="F19" s="460">
        <v>2049545.4181818182</v>
      </c>
      <c r="G19" s="460">
        <v>15954.533333333333</v>
      </c>
      <c r="H19" s="460">
        <v>5054.1396167615203</v>
      </c>
      <c r="I19" s="235">
        <v>27593233.552617323</v>
      </c>
      <c r="J19" s="235">
        <v>13390666.666666666</v>
      </c>
      <c r="K19" s="235">
        <v>98835529.639394015</v>
      </c>
      <c r="L19" s="235">
        <v>11278556.296969697</v>
      </c>
      <c r="V19" s="29"/>
    </row>
    <row r="20" spans="1:22" ht="20.25" customHeight="1" thickBot="1">
      <c r="A20" s="458">
        <v>2015</v>
      </c>
      <c r="B20" s="460">
        <v>136103.7818181818</v>
      </c>
      <c r="C20" s="460">
        <v>397342.87878787878</v>
      </c>
      <c r="D20" s="460">
        <v>137368.12727272726</v>
      </c>
      <c r="E20" s="460">
        <v>7822226.4727272727</v>
      </c>
      <c r="F20" s="460">
        <v>2147557.290909091</v>
      </c>
      <c r="G20" s="460">
        <v>16237.866666666667</v>
      </c>
      <c r="H20" s="460">
        <v>4576.1471646663304</v>
      </c>
      <c r="I20" s="235">
        <v>27585406.269862529</v>
      </c>
      <c r="J20" s="235">
        <v>13818322</v>
      </c>
      <c r="K20" s="235">
        <v>103795255.26363644</v>
      </c>
      <c r="L20" s="235">
        <v>11883140.484848484</v>
      </c>
      <c r="V20" s="29"/>
    </row>
    <row r="21" spans="1:22" ht="15.75" thickBot="1">
      <c r="A21" s="458">
        <v>2016</v>
      </c>
      <c r="B21" s="460">
        <v>139758.92727272725</v>
      </c>
      <c r="C21" s="460">
        <v>412348.7818181818</v>
      </c>
      <c r="D21" s="460">
        <v>136327.10909090907</v>
      </c>
      <c r="E21" s="460">
        <v>8192591.290909091</v>
      </c>
      <c r="F21" s="460">
        <v>2245569.1636363636</v>
      </c>
      <c r="G21" s="460">
        <v>16521.2</v>
      </c>
      <c r="H21" s="460">
        <v>4098.1547125711395</v>
      </c>
      <c r="I21" s="235">
        <v>27577581.20744757</v>
      </c>
      <c r="J21" s="235">
        <v>14245977.333333332</v>
      </c>
      <c r="K21" s="235">
        <v>108754980.88787888</v>
      </c>
      <c r="L21" s="235">
        <v>12487724.672727272</v>
      </c>
      <c r="V21" s="29" t="s">
        <v>61</v>
      </c>
    </row>
    <row r="22" spans="1:22" ht="15.75" thickBot="1">
      <c r="A22" s="458">
        <v>2017</v>
      </c>
      <c r="B22" s="460">
        <v>143414.07272727272</v>
      </c>
      <c r="C22" s="460">
        <v>427354.68484848482</v>
      </c>
      <c r="D22" s="460">
        <v>135286.09090909091</v>
      </c>
      <c r="E22" s="460">
        <v>8562956.1090909094</v>
      </c>
      <c r="F22" s="460">
        <v>2343581.0363636361</v>
      </c>
      <c r="G22" s="460">
        <v>16804.533333333333</v>
      </c>
      <c r="H22" s="460">
        <v>3620.1622604759486</v>
      </c>
      <c r="I22" s="235">
        <v>27569758.364742592</v>
      </c>
      <c r="J22" s="235">
        <v>14673632.666666666</v>
      </c>
      <c r="K22" s="235">
        <v>113714706.51212132</v>
      </c>
      <c r="L22" s="235">
        <v>13092308.860606059</v>
      </c>
      <c r="V22" s="29" t="s">
        <v>20</v>
      </c>
    </row>
    <row r="23" spans="1:22" ht="15.75" thickBot="1">
      <c r="A23" s="458">
        <v>2018</v>
      </c>
      <c r="B23" s="460">
        <v>147069.21818181817</v>
      </c>
      <c r="C23" s="460">
        <v>442360.58787878783</v>
      </c>
      <c r="D23" s="460">
        <v>134245.07272727272</v>
      </c>
      <c r="E23" s="460">
        <v>8933320.9272727277</v>
      </c>
      <c r="F23" s="460">
        <v>2441592.9090909092</v>
      </c>
      <c r="G23" s="460">
        <v>17087.866666666669</v>
      </c>
      <c r="H23" s="460">
        <v>3142.1698083807587</v>
      </c>
      <c r="I23" s="235">
        <v>27561937.741117943</v>
      </c>
      <c r="J23" s="235">
        <v>15101288</v>
      </c>
      <c r="K23" s="235">
        <v>118674432.13636374</v>
      </c>
      <c r="L23" s="235">
        <v>13696893.048484847</v>
      </c>
      <c r="V23" s="29" t="s">
        <v>21</v>
      </c>
    </row>
    <row r="24" spans="1:22" ht="15.75" thickBot="1">
      <c r="A24" s="458">
        <v>2019</v>
      </c>
      <c r="B24" s="460">
        <v>150724.36363636365</v>
      </c>
      <c r="C24" s="460">
        <v>457366.49090909091</v>
      </c>
      <c r="D24" s="460">
        <v>133204.05454545454</v>
      </c>
      <c r="E24" s="460">
        <v>9303685.7454545461</v>
      </c>
      <c r="F24" s="460">
        <v>2539604.7818181817</v>
      </c>
      <c r="G24" s="460">
        <v>17371.2</v>
      </c>
      <c r="H24" s="460">
        <v>2664.1773562855687</v>
      </c>
      <c r="I24" s="235">
        <v>27554119.335944142</v>
      </c>
      <c r="J24" s="235">
        <v>15528943.333333332</v>
      </c>
      <c r="K24" s="235">
        <v>123634157.76060618</v>
      </c>
      <c r="L24" s="235">
        <v>14301477.236363638</v>
      </c>
      <c r="V24" s="29" t="s">
        <v>70</v>
      </c>
    </row>
    <row r="25" spans="1:22" ht="15.75" thickBot="1">
      <c r="A25" s="458">
        <v>2020</v>
      </c>
      <c r="B25" s="460">
        <v>154379.50909090909</v>
      </c>
      <c r="C25" s="460">
        <v>472372.39393939392</v>
      </c>
      <c r="D25" s="460">
        <v>132163.03636363635</v>
      </c>
      <c r="E25" s="460">
        <v>9674050.5636363626</v>
      </c>
      <c r="F25" s="460">
        <v>2637616.6545454543</v>
      </c>
      <c r="G25" s="460">
        <v>17654.533333333333</v>
      </c>
      <c r="H25" s="463">
        <v>2186.184904190377</v>
      </c>
      <c r="I25" s="235">
        <v>27546303.148591895</v>
      </c>
      <c r="J25" s="235">
        <v>15956598.666666666</v>
      </c>
      <c r="K25" s="235">
        <v>128593883.38484861</v>
      </c>
      <c r="L25" s="235">
        <v>14906061.424242426</v>
      </c>
      <c r="V25" s="29" t="s">
        <v>71</v>
      </c>
    </row>
    <row r="26" spans="1:22" ht="15.75" thickBot="1">
      <c r="A26" s="458">
        <v>2021</v>
      </c>
      <c r="B26" s="459">
        <v>158034.65454545454</v>
      </c>
      <c r="C26" s="459">
        <v>487378.29696969694</v>
      </c>
      <c r="D26" s="459">
        <v>131122.01818181819</v>
      </c>
      <c r="E26" s="459">
        <v>10044415.381818183</v>
      </c>
      <c r="F26" s="459">
        <v>2735628.5272727273</v>
      </c>
      <c r="G26" s="459">
        <v>17937.866666666669</v>
      </c>
      <c r="H26" s="459">
        <v>1708.192452095187</v>
      </c>
      <c r="I26" s="235">
        <v>27538489.17843207</v>
      </c>
      <c r="J26" s="234">
        <v>16384254</v>
      </c>
      <c r="K26" s="234">
        <v>133553609.00909105</v>
      </c>
      <c r="L26" s="234">
        <v>15510645.612121213</v>
      </c>
      <c r="V26" s="29" t="s">
        <v>72</v>
      </c>
    </row>
    <row r="27" spans="1:22" ht="15.75" thickBot="1">
      <c r="A27" s="458">
        <v>2022</v>
      </c>
      <c r="B27" s="459">
        <v>161689.79999999999</v>
      </c>
      <c r="C27" s="459">
        <v>502384.2</v>
      </c>
      <c r="D27" s="459">
        <v>130081</v>
      </c>
      <c r="E27" s="459">
        <v>10414780.199999999</v>
      </c>
      <c r="F27" s="459">
        <v>2833640.4000000004</v>
      </c>
      <c r="G27" s="459">
        <v>18221.2</v>
      </c>
      <c r="H27" s="459">
        <v>1230.1999999999971</v>
      </c>
      <c r="I27" s="234">
        <v>27530677.424835734</v>
      </c>
      <c r="J27" s="234">
        <v>16811909.333333332</v>
      </c>
      <c r="K27" s="234">
        <v>138513334.63333347</v>
      </c>
      <c r="L27" s="234">
        <v>16115229.800000001</v>
      </c>
      <c r="V27" s="29" t="s">
        <v>73</v>
      </c>
    </row>
    <row r="28" spans="1:22" ht="15.75" thickBot="1">
      <c r="A28" s="458">
        <v>2023</v>
      </c>
      <c r="B28" s="459">
        <v>165344.94545454544</v>
      </c>
      <c r="C28" s="459">
        <v>517390.10303030303</v>
      </c>
      <c r="D28" s="459">
        <v>129039.98181818181</v>
      </c>
      <c r="E28" s="459">
        <v>10785145.018181819</v>
      </c>
      <c r="F28" s="459">
        <v>2931652.2727272725</v>
      </c>
      <c r="G28" s="459">
        <v>18504.533333333333</v>
      </c>
      <c r="H28" s="459">
        <v>752.20754790480714</v>
      </c>
      <c r="I28" s="234">
        <v>27522867.887174107</v>
      </c>
      <c r="J28" s="234">
        <v>17239564.666666664</v>
      </c>
      <c r="K28" s="234">
        <v>143473060.25757593</v>
      </c>
      <c r="L28" s="234">
        <v>16719813.987878788</v>
      </c>
      <c r="V28" s="29"/>
    </row>
    <row r="29" spans="1:22" ht="15.75" thickBot="1">
      <c r="A29" s="458">
        <v>2024</v>
      </c>
      <c r="B29" s="459">
        <v>169000.09090909088</v>
      </c>
      <c r="C29" s="459">
        <v>532396.0060606061</v>
      </c>
      <c r="D29" s="459">
        <v>127998.96363636362</v>
      </c>
      <c r="E29" s="459">
        <v>11155509.836363636</v>
      </c>
      <c r="F29" s="459">
        <v>3029664.1454545455</v>
      </c>
      <c r="G29" s="459">
        <v>18787.866666666669</v>
      </c>
      <c r="H29" s="459">
        <v>274.21509580961538</v>
      </c>
      <c r="I29" s="234">
        <v>27515060.564818621</v>
      </c>
      <c r="J29" s="234">
        <v>17667220</v>
      </c>
      <c r="K29" s="234">
        <v>148432785.88181835</v>
      </c>
      <c r="L29" s="234">
        <v>17324398.175757576</v>
      </c>
      <c r="V29" s="29"/>
    </row>
    <row r="30" spans="1:22" ht="15.75" thickBot="1">
      <c r="A30" s="458">
        <v>2025</v>
      </c>
      <c r="B30" s="459">
        <v>172655.23636363633</v>
      </c>
      <c r="C30" s="459">
        <v>547401.90909090906</v>
      </c>
      <c r="D30" s="459">
        <v>126957.94545454545</v>
      </c>
      <c r="E30" s="459">
        <v>11525874.654545456</v>
      </c>
      <c r="F30" s="459">
        <v>3127676.0181818185</v>
      </c>
      <c r="G30" s="459">
        <v>19071.2</v>
      </c>
      <c r="H30" s="464">
        <v>0</v>
      </c>
      <c r="I30" s="234">
        <v>27507255.457140852</v>
      </c>
      <c r="J30" s="234">
        <v>18094875.333333332</v>
      </c>
      <c r="K30" s="234">
        <v>153392511.50606078</v>
      </c>
      <c r="L30" s="234">
        <v>17928982.363636363</v>
      </c>
      <c r="V30" s="29"/>
    </row>
    <row r="31" spans="1:22" ht="15.75" thickBot="1">
      <c r="A31" s="458">
        <v>2026</v>
      </c>
      <c r="B31" s="459">
        <v>176310.38181818181</v>
      </c>
      <c r="C31" s="459">
        <v>562407.81212121202</v>
      </c>
      <c r="D31" s="459">
        <v>125916.92727272728</v>
      </c>
      <c r="E31" s="459">
        <v>11896239.472727273</v>
      </c>
      <c r="F31" s="459">
        <v>3225687.8909090906</v>
      </c>
      <c r="G31" s="459">
        <v>19354.533333333333</v>
      </c>
      <c r="H31" s="464">
        <v>0</v>
      </c>
      <c r="I31" s="234">
        <v>27499452.563512575</v>
      </c>
      <c r="J31" s="234">
        <v>18522530.666666664</v>
      </c>
      <c r="K31" s="234">
        <v>158352237.1303032</v>
      </c>
      <c r="L31" s="234">
        <v>18533566.551515151</v>
      </c>
      <c r="V31" s="29"/>
    </row>
    <row r="32" spans="1:22" ht="15.75" thickBot="1">
      <c r="A32" s="458">
        <v>2027</v>
      </c>
      <c r="B32" s="459">
        <v>179965.52727272728</v>
      </c>
      <c r="C32" s="459">
        <v>577413.71515151509</v>
      </c>
      <c r="D32" s="459">
        <v>124875.90909090909</v>
      </c>
      <c r="E32" s="459">
        <v>12266604.290909089</v>
      </c>
      <c r="F32" s="459">
        <v>3323699.7636363637</v>
      </c>
      <c r="G32" s="459">
        <v>19637.866666666665</v>
      </c>
      <c r="H32" s="464">
        <v>0</v>
      </c>
      <c r="I32" s="234">
        <v>27491651.883305736</v>
      </c>
      <c r="J32" s="234">
        <v>18950186</v>
      </c>
      <c r="K32" s="234">
        <v>163311962.75454563</v>
      </c>
      <c r="L32" s="234">
        <v>19138150.739393938</v>
      </c>
      <c r="V32" s="29"/>
    </row>
    <row r="33" spans="1:33" ht="15.75" thickBot="1">
      <c r="A33" s="458">
        <v>2028</v>
      </c>
      <c r="B33" s="459">
        <v>183620.67272727273</v>
      </c>
      <c r="C33" s="459">
        <v>592419.61818181816</v>
      </c>
      <c r="D33" s="459">
        <v>123834.8909090909</v>
      </c>
      <c r="E33" s="459">
        <v>12636969.109090909</v>
      </c>
      <c r="F33" s="459">
        <v>3421711.6363636367</v>
      </c>
      <c r="G33" s="459">
        <v>19921.2</v>
      </c>
      <c r="H33" s="464">
        <v>0</v>
      </c>
      <c r="I33" s="234">
        <v>27483853.415892471</v>
      </c>
      <c r="J33" s="234">
        <v>19377841.333333332</v>
      </c>
      <c r="K33" s="234">
        <v>168271688.37878808</v>
      </c>
      <c r="L33" s="234">
        <v>19742734.92727273</v>
      </c>
    </row>
    <row r="34" spans="1:33" ht="15.75" thickBot="1">
      <c r="A34" s="458">
        <v>2029</v>
      </c>
      <c r="B34" s="459">
        <v>187275.81818181818</v>
      </c>
      <c r="C34" s="459">
        <v>607425.52121212124</v>
      </c>
      <c r="D34" s="459">
        <v>122793.87272727273</v>
      </c>
      <c r="E34" s="459">
        <v>13007333.927272726</v>
      </c>
      <c r="F34" s="459">
        <v>3519723.5090909088</v>
      </c>
      <c r="G34" s="459">
        <v>20204.533333333333</v>
      </c>
      <c r="H34" s="464">
        <v>0</v>
      </c>
      <c r="I34" s="234">
        <v>27476057.160645064</v>
      </c>
      <c r="J34" s="234">
        <v>19805496.666666664</v>
      </c>
      <c r="K34" s="234">
        <v>173231414.00303051</v>
      </c>
      <c r="L34" s="234">
        <v>20347319.115151517</v>
      </c>
    </row>
    <row r="35" spans="1:33" ht="15.75" thickBot="1">
      <c r="A35" s="458">
        <v>2030</v>
      </c>
      <c r="B35" s="459">
        <v>190930.96363636362</v>
      </c>
      <c r="C35" s="460">
        <v>622431.42424242431</v>
      </c>
      <c r="D35" s="459">
        <v>121752.85454545454</v>
      </c>
      <c r="E35" s="459">
        <v>13377698.745454546</v>
      </c>
      <c r="F35" s="459">
        <v>3617735.3818181818</v>
      </c>
      <c r="G35" s="459">
        <v>20487.866666666669</v>
      </c>
      <c r="H35" s="464">
        <v>0</v>
      </c>
      <c r="I35" s="234">
        <v>27468263.116936017</v>
      </c>
      <c r="J35" s="234">
        <v>20233152</v>
      </c>
      <c r="K35" s="234">
        <v>178191139.62727293</v>
      </c>
      <c r="L35" s="234">
        <v>20951903.303030305</v>
      </c>
    </row>
    <row r="36" spans="1:33" ht="25.5" thickBot="1">
      <c r="B36" s="234"/>
      <c r="C36" s="235"/>
      <c r="D36" s="234"/>
      <c r="E36" s="234"/>
      <c r="F36" s="234"/>
      <c r="G36" s="234"/>
      <c r="H36" s="395" t="s">
        <v>534</v>
      </c>
      <c r="I36" s="234"/>
      <c r="J36" s="234"/>
      <c r="K36" s="234"/>
      <c r="L36" s="234"/>
    </row>
    <row r="37" spans="1:33">
      <c r="V37" s="29" t="s">
        <v>60</v>
      </c>
    </row>
    <row r="40" spans="1:33">
      <c r="A40" s="239" t="s">
        <v>404</v>
      </c>
      <c r="B40" s="239"/>
      <c r="C40" s="240">
        <v>2000</v>
      </c>
      <c r="D40" s="240">
        <v>2001</v>
      </c>
      <c r="E40" s="240">
        <v>2002</v>
      </c>
      <c r="F40" s="240">
        <v>2003</v>
      </c>
      <c r="G40" s="240">
        <v>2004</v>
      </c>
      <c r="H40" s="240">
        <v>2005</v>
      </c>
      <c r="I40" s="240">
        <v>2006</v>
      </c>
      <c r="J40" s="240">
        <v>2007</v>
      </c>
      <c r="K40" s="240">
        <v>2008</v>
      </c>
      <c r="L40" s="240">
        <v>2009</v>
      </c>
      <c r="M40" s="240">
        <v>2010</v>
      </c>
      <c r="N40" s="240">
        <v>2011</v>
      </c>
      <c r="O40" s="240">
        <v>2012</v>
      </c>
      <c r="P40" s="240">
        <v>2013</v>
      </c>
      <c r="Q40" s="240">
        <v>2014</v>
      </c>
      <c r="R40" s="240">
        <v>2015</v>
      </c>
      <c r="S40" s="240">
        <v>2016</v>
      </c>
      <c r="T40" s="240">
        <v>2017</v>
      </c>
      <c r="U40" s="240">
        <v>2018</v>
      </c>
      <c r="V40" s="240">
        <v>2019</v>
      </c>
      <c r="W40" s="240">
        <v>2020</v>
      </c>
      <c r="X40" s="240">
        <v>2021</v>
      </c>
      <c r="Y40" s="240">
        <v>2022</v>
      </c>
      <c r="Z40" s="240">
        <v>2023</v>
      </c>
      <c r="AA40" s="240">
        <v>2024</v>
      </c>
      <c r="AB40" s="240">
        <v>2025</v>
      </c>
      <c r="AC40" s="240">
        <v>2026</v>
      </c>
      <c r="AD40" s="240">
        <v>2027</v>
      </c>
      <c r="AE40" s="240">
        <v>2028</v>
      </c>
      <c r="AF40" s="240">
        <v>2029</v>
      </c>
      <c r="AG40" s="240">
        <v>2030</v>
      </c>
    </row>
    <row r="41" spans="1:33" ht="15.75" thickBot="1">
      <c r="A41" s="239" t="s">
        <v>414</v>
      </c>
      <c r="B41" s="239" t="s">
        <v>67</v>
      </c>
      <c r="C41" s="397">
        <v>84756</v>
      </c>
      <c r="D41" s="397">
        <v>84934</v>
      </c>
      <c r="E41" s="397">
        <v>91219</v>
      </c>
      <c r="F41" s="397">
        <v>95513</v>
      </c>
      <c r="G41" s="397">
        <v>98958</v>
      </c>
      <c r="H41" s="397">
        <v>92755</v>
      </c>
      <c r="I41" s="397">
        <v>97367</v>
      </c>
      <c r="J41" s="397">
        <v>103489</v>
      </c>
      <c r="K41" s="397">
        <v>111250</v>
      </c>
      <c r="L41" s="397">
        <v>117839</v>
      </c>
      <c r="M41" s="397">
        <v>120475</v>
      </c>
      <c r="N41" s="398">
        <v>121483.19999999998</v>
      </c>
      <c r="O41" s="398">
        <v>125138.34545454544</v>
      </c>
      <c r="P41" s="235">
        <v>128793.49090909091</v>
      </c>
      <c r="Q41" s="235">
        <v>132448.63636363635</v>
      </c>
      <c r="R41" s="235">
        <v>136103.7818181818</v>
      </c>
      <c r="S41" s="235">
        <v>139758.92727272725</v>
      </c>
      <c r="T41" s="235">
        <v>143414.07272727272</v>
      </c>
      <c r="U41" s="235">
        <v>147069.21818181817</v>
      </c>
      <c r="V41" s="235">
        <v>150724.36363636365</v>
      </c>
      <c r="W41" s="235">
        <v>154379.50909090909</v>
      </c>
      <c r="X41" s="234">
        <v>158034.65454545454</v>
      </c>
      <c r="Y41" s="234">
        <v>161689.79999999999</v>
      </c>
      <c r="Z41" s="234">
        <v>165344.94545454544</v>
      </c>
      <c r="AA41" s="234">
        <v>169000.09090909088</v>
      </c>
      <c r="AB41" s="234">
        <v>172655.23636363633</v>
      </c>
      <c r="AC41" s="234">
        <v>176310.38181818181</v>
      </c>
      <c r="AD41" s="234">
        <v>179965.52727272728</v>
      </c>
      <c r="AE41" s="234">
        <v>183620.67272727273</v>
      </c>
      <c r="AF41" s="234">
        <v>187275.81818181818</v>
      </c>
      <c r="AG41" s="234">
        <v>190930.96363636362</v>
      </c>
    </row>
    <row r="42" spans="1:33" ht="15.75" thickBot="1">
      <c r="A42" s="239" t="s">
        <v>413</v>
      </c>
      <c r="B42" s="239" t="s">
        <v>67</v>
      </c>
      <c r="C42" s="379">
        <v>165686</v>
      </c>
      <c r="D42" s="379">
        <v>189518</v>
      </c>
      <c r="E42" s="379">
        <v>205843</v>
      </c>
      <c r="F42" s="379">
        <v>223818</v>
      </c>
      <c r="G42" s="379">
        <v>232949</v>
      </c>
      <c r="H42" s="379">
        <v>234948</v>
      </c>
      <c r="I42" s="379">
        <v>254243</v>
      </c>
      <c r="J42" s="379">
        <v>272264</v>
      </c>
      <c r="K42" s="379">
        <v>295554</v>
      </c>
      <c r="L42" s="379">
        <v>310981</v>
      </c>
      <c r="M42" s="379">
        <v>327750</v>
      </c>
      <c r="N42" s="380">
        <v>337319.26666666666</v>
      </c>
      <c r="O42" s="380">
        <v>352325.16969696968</v>
      </c>
      <c r="P42" s="236">
        <v>367331.07272727269</v>
      </c>
      <c r="Q42" s="235">
        <v>382336.97575757571</v>
      </c>
      <c r="R42" s="235">
        <v>397342.87878787878</v>
      </c>
      <c r="S42" s="235">
        <v>412348.7818181818</v>
      </c>
      <c r="T42" s="235">
        <v>427354.68484848482</v>
      </c>
      <c r="U42" s="235">
        <v>442360.58787878783</v>
      </c>
      <c r="V42" s="235">
        <v>457366.49090909091</v>
      </c>
      <c r="W42" s="235">
        <v>472372.39393939392</v>
      </c>
      <c r="X42" s="234">
        <v>487378.29696969694</v>
      </c>
      <c r="Y42" s="234">
        <v>502384.2</v>
      </c>
      <c r="Z42" s="234">
        <v>517390.10303030303</v>
      </c>
      <c r="AA42" s="234">
        <v>532396.0060606061</v>
      </c>
      <c r="AB42" s="234">
        <v>547401.90909090906</v>
      </c>
      <c r="AC42" s="234">
        <v>562407.81212121202</v>
      </c>
      <c r="AD42" s="234">
        <v>577413.71515151509</v>
      </c>
      <c r="AE42" s="234">
        <v>592419.61818181816</v>
      </c>
      <c r="AF42" s="234">
        <v>607425.52121212124</v>
      </c>
      <c r="AG42" s="235">
        <v>622431.42424242431</v>
      </c>
    </row>
    <row r="43" spans="1:33" ht="15.75" thickBot="1">
      <c r="A43" s="239" t="s">
        <v>19</v>
      </c>
      <c r="B43" s="239" t="s">
        <v>67</v>
      </c>
      <c r="C43" s="379">
        <v>166898</v>
      </c>
      <c r="D43" s="379">
        <v>153372</v>
      </c>
      <c r="E43" s="379">
        <v>148778</v>
      </c>
      <c r="F43" s="379">
        <v>146758</v>
      </c>
      <c r="G43" s="379">
        <v>149960</v>
      </c>
      <c r="H43" s="379">
        <v>147157</v>
      </c>
      <c r="I43" s="379">
        <v>149444</v>
      </c>
      <c r="J43" s="379">
        <v>149030</v>
      </c>
      <c r="K43" s="379">
        <v>145847</v>
      </c>
      <c r="L43" s="379">
        <v>142502</v>
      </c>
      <c r="M43" s="379">
        <v>139730</v>
      </c>
      <c r="N43" s="400">
        <v>141532.19999999998</v>
      </c>
      <c r="O43" s="400">
        <v>140491.18181818182</v>
      </c>
      <c r="P43" s="235">
        <v>139450.16363636364</v>
      </c>
      <c r="Q43" s="235">
        <v>138409.14545454545</v>
      </c>
      <c r="R43" s="235">
        <v>137368.12727272726</v>
      </c>
      <c r="S43" s="235">
        <v>136327.10909090907</v>
      </c>
      <c r="T43" s="235">
        <v>135286.09090909091</v>
      </c>
      <c r="U43" s="235">
        <v>134245.07272727272</v>
      </c>
      <c r="V43" s="235">
        <v>133204.05454545454</v>
      </c>
      <c r="W43" s="235">
        <v>132163.03636363635</v>
      </c>
      <c r="X43" s="234">
        <v>131122.01818181819</v>
      </c>
      <c r="Y43" s="234">
        <v>130081</v>
      </c>
      <c r="Z43" s="234">
        <v>129039.98181818181</v>
      </c>
      <c r="AA43" s="234">
        <v>127998.96363636362</v>
      </c>
      <c r="AB43" s="234">
        <v>126957.94545454545</v>
      </c>
      <c r="AC43" s="234">
        <v>125916.92727272728</v>
      </c>
      <c r="AD43" s="234">
        <v>124875.90909090909</v>
      </c>
      <c r="AE43" s="234">
        <v>123834.8909090909</v>
      </c>
      <c r="AF43" s="234">
        <v>122793.87272727273</v>
      </c>
      <c r="AG43" s="234">
        <v>121752.85454545454</v>
      </c>
    </row>
    <row r="44" spans="1:33" ht="15.75" thickBot="1">
      <c r="A44" s="239" t="s">
        <v>61</v>
      </c>
      <c r="B44" s="239" t="s">
        <v>67</v>
      </c>
      <c r="C44" s="379">
        <v>3036812</v>
      </c>
      <c r="D44" s="379">
        <v>3087038</v>
      </c>
      <c r="E44" s="379">
        <v>3162234</v>
      </c>
      <c r="F44" s="379">
        <v>3288884</v>
      </c>
      <c r="G44" s="379">
        <v>3529456</v>
      </c>
      <c r="H44" s="379">
        <v>3737803</v>
      </c>
      <c r="I44" s="379">
        <v>4221806</v>
      </c>
      <c r="J44" s="379">
        <v>4605417</v>
      </c>
      <c r="K44" s="379">
        <v>5311836</v>
      </c>
      <c r="L44" s="379">
        <v>5817834</v>
      </c>
      <c r="M44" s="379">
        <v>6275299</v>
      </c>
      <c r="N44" s="400">
        <v>6340767.2000000002</v>
      </c>
      <c r="O44" s="400">
        <v>6711132.0181818185</v>
      </c>
      <c r="P44" s="234">
        <v>7081496.8363636369</v>
      </c>
      <c r="Q44" s="235">
        <v>7451861.6545454543</v>
      </c>
      <c r="R44" s="235">
        <v>7822226.4727272727</v>
      </c>
      <c r="S44" s="235">
        <v>8192591.290909091</v>
      </c>
      <c r="T44" s="235">
        <v>8562956.1090909094</v>
      </c>
      <c r="U44" s="235">
        <v>8933320.9272727277</v>
      </c>
      <c r="V44" s="235">
        <v>9303685.7454545461</v>
      </c>
      <c r="W44" s="235">
        <v>9674050.5636363626</v>
      </c>
      <c r="X44" s="234">
        <v>10044415.381818183</v>
      </c>
      <c r="Y44" s="234">
        <v>10414780.199999999</v>
      </c>
      <c r="Z44" s="234">
        <v>10785145.018181819</v>
      </c>
      <c r="AA44" s="234">
        <v>11155509.836363636</v>
      </c>
      <c r="AB44" s="234">
        <v>11525874.654545456</v>
      </c>
      <c r="AC44" s="234">
        <v>11896239.472727273</v>
      </c>
      <c r="AD44" s="234">
        <v>12266604.290909089</v>
      </c>
      <c r="AE44" s="234">
        <v>12636969.109090909</v>
      </c>
      <c r="AF44" s="234">
        <v>13007333.927272726</v>
      </c>
      <c r="AG44" s="234">
        <v>13377698.745454546</v>
      </c>
    </row>
    <row r="45" spans="1:33" ht="15.75" thickBot="1">
      <c r="A45" s="239" t="s">
        <v>20</v>
      </c>
      <c r="B45" s="239" t="s">
        <v>67</v>
      </c>
      <c r="C45" s="379">
        <v>1160462</v>
      </c>
      <c r="D45" s="379">
        <v>922633</v>
      </c>
      <c r="E45" s="379">
        <v>878043</v>
      </c>
      <c r="F45" s="379">
        <v>930066</v>
      </c>
      <c r="G45" s="379">
        <v>1144102</v>
      </c>
      <c r="H45" s="379">
        <v>999267</v>
      </c>
      <c r="I45" s="379">
        <v>1148547</v>
      </c>
      <c r="J45" s="379">
        <v>1294453</v>
      </c>
      <c r="K45" s="379">
        <v>1431012</v>
      </c>
      <c r="L45" s="379">
        <v>1615002</v>
      </c>
      <c r="M45" s="379">
        <v>1801320</v>
      </c>
      <c r="N45" s="63">
        <v>1755509.8</v>
      </c>
      <c r="O45" s="400">
        <v>1853521.6727272726</v>
      </c>
      <c r="P45" s="235">
        <v>1951533.5454545454</v>
      </c>
      <c r="Q45" s="235">
        <v>2049545.4181818182</v>
      </c>
      <c r="R45" s="235">
        <v>2147557.290909091</v>
      </c>
      <c r="S45" s="235">
        <v>2245569.1636363636</v>
      </c>
      <c r="T45" s="235">
        <v>2343581.0363636361</v>
      </c>
      <c r="U45" s="235">
        <v>2441592.9090909092</v>
      </c>
      <c r="V45" s="235">
        <v>2539604.7818181817</v>
      </c>
      <c r="W45" s="235">
        <v>2637616.6545454543</v>
      </c>
      <c r="X45" s="234">
        <v>2735628.5272727273</v>
      </c>
      <c r="Y45" s="234">
        <v>2833640.4000000004</v>
      </c>
      <c r="Z45" s="234">
        <v>2931652.2727272725</v>
      </c>
      <c r="AA45" s="234">
        <v>3029664.1454545455</v>
      </c>
      <c r="AB45" s="234">
        <v>3127676.0181818185</v>
      </c>
      <c r="AC45" s="234">
        <v>3225687.8909090906</v>
      </c>
      <c r="AD45" s="234">
        <v>3323699.7636363637</v>
      </c>
      <c r="AE45" s="234">
        <v>3421711.6363636367</v>
      </c>
      <c r="AF45" s="234">
        <v>3519723.5090909088</v>
      </c>
      <c r="AG45" s="234">
        <v>3617735.3818181818</v>
      </c>
    </row>
    <row r="46" spans="1:33" ht="15.75" thickBot="1">
      <c r="A46" s="239" t="s">
        <v>21</v>
      </c>
      <c r="B46" s="239" t="s">
        <v>67</v>
      </c>
      <c r="C46" s="379">
        <v>10763</v>
      </c>
      <c r="D46" s="379">
        <v>11851</v>
      </c>
      <c r="E46" s="379">
        <v>11963</v>
      </c>
      <c r="F46" s="379">
        <v>12124</v>
      </c>
      <c r="G46" s="379">
        <v>14242</v>
      </c>
      <c r="H46" s="379">
        <v>12569</v>
      </c>
      <c r="I46" s="379">
        <v>15555</v>
      </c>
      <c r="J46" s="379">
        <v>15755</v>
      </c>
      <c r="K46" s="379">
        <v>13717</v>
      </c>
      <c r="L46" s="379">
        <v>13757</v>
      </c>
      <c r="M46" s="379">
        <v>13929</v>
      </c>
      <c r="N46" s="400">
        <v>15104.533333333333</v>
      </c>
      <c r="O46" s="400">
        <v>15387.866666666667</v>
      </c>
      <c r="P46" s="235">
        <v>15671.2</v>
      </c>
      <c r="Q46" s="235">
        <v>15954.533333333333</v>
      </c>
      <c r="R46" s="235">
        <v>16237.866666666667</v>
      </c>
      <c r="S46" s="235">
        <v>16521.2</v>
      </c>
      <c r="T46" s="235">
        <v>16804.533333333333</v>
      </c>
      <c r="U46" s="235">
        <v>17087.866666666669</v>
      </c>
      <c r="V46" s="235">
        <v>17371.2</v>
      </c>
      <c r="W46" s="235">
        <v>17654.533333333333</v>
      </c>
      <c r="X46" s="234">
        <v>17937.866666666669</v>
      </c>
      <c r="Y46" s="234">
        <v>18221.2</v>
      </c>
      <c r="Z46" s="234">
        <v>18504.533333333333</v>
      </c>
      <c r="AA46" s="234">
        <v>18787.866666666669</v>
      </c>
      <c r="AB46" s="234">
        <v>19071.2</v>
      </c>
      <c r="AC46" s="234">
        <v>19354.533333333333</v>
      </c>
      <c r="AD46" s="234">
        <v>19637.866666666665</v>
      </c>
      <c r="AE46" s="234">
        <v>19921.2</v>
      </c>
      <c r="AF46" s="234">
        <v>20204.533333333333</v>
      </c>
      <c r="AG46" s="234">
        <v>20487.866666666669</v>
      </c>
    </row>
    <row r="47" spans="1:33" ht="15.75" thickBot="1">
      <c r="A47" s="239" t="s">
        <v>62</v>
      </c>
      <c r="B47" s="239" t="s">
        <v>67</v>
      </c>
      <c r="C47" s="379">
        <v>9253</v>
      </c>
      <c r="D47" s="379">
        <v>12337</v>
      </c>
      <c r="E47" s="379">
        <v>9702</v>
      </c>
      <c r="F47" s="379">
        <v>11207</v>
      </c>
      <c r="G47" s="379">
        <v>8092</v>
      </c>
      <c r="H47" s="379">
        <v>9056.7545957063885</v>
      </c>
      <c r="I47" s="379">
        <v>12487</v>
      </c>
      <c r="J47" s="379">
        <v>7043</v>
      </c>
      <c r="K47" s="379">
        <v>4773</v>
      </c>
      <c r="L47" s="379">
        <v>8146</v>
      </c>
      <c r="M47" s="379">
        <v>8327</v>
      </c>
      <c r="N47" s="400">
        <v>6488.116973047092</v>
      </c>
      <c r="O47" s="400">
        <v>6010.1245209519011</v>
      </c>
      <c r="P47" s="235">
        <v>5532.1320688567112</v>
      </c>
      <c r="Q47" s="235">
        <v>5054.1396167615203</v>
      </c>
      <c r="R47" s="235">
        <v>4576.1471646663304</v>
      </c>
      <c r="S47" s="235">
        <v>4098.1547125711395</v>
      </c>
      <c r="T47" s="235">
        <v>3620.1622604759486</v>
      </c>
      <c r="U47" s="235">
        <v>3142.1698083807587</v>
      </c>
      <c r="V47" s="235">
        <v>2664.1773562855687</v>
      </c>
      <c r="W47" s="394">
        <v>2186.184904190377</v>
      </c>
      <c r="X47" s="234">
        <v>1708.192452095187</v>
      </c>
      <c r="Y47" s="234">
        <v>1230.1999999999971</v>
      </c>
      <c r="Z47" s="234">
        <v>752.20754790480714</v>
      </c>
      <c r="AA47" s="234">
        <v>274.21509580961538</v>
      </c>
      <c r="AB47" s="395">
        <v>-203.77735628557457</v>
      </c>
      <c r="AC47" s="395">
        <v>-681.76980838076452</v>
      </c>
      <c r="AD47" s="395">
        <v>-1159.7622604759563</v>
      </c>
      <c r="AE47" s="395">
        <v>-1637.7547125711462</v>
      </c>
      <c r="AF47" s="395">
        <v>-2115.7471646663362</v>
      </c>
      <c r="AG47" s="395">
        <v>-2593.7396167615261</v>
      </c>
    </row>
    <row r="48" spans="1:33" ht="15.75" thickBot="1">
      <c r="A48" s="239" t="s">
        <v>415</v>
      </c>
      <c r="B48" s="239" t="s">
        <v>67</v>
      </c>
      <c r="C48" s="399">
        <v>26939832</v>
      </c>
      <c r="D48" s="399">
        <v>27703049</v>
      </c>
      <c r="E48" s="399">
        <v>30273580</v>
      </c>
      <c r="F48" s="399">
        <v>31294784</v>
      </c>
      <c r="G48" s="399">
        <v>30779120</v>
      </c>
      <c r="H48" s="399">
        <v>31043932</v>
      </c>
      <c r="I48" s="399">
        <v>29319161</v>
      </c>
      <c r="J48" s="399">
        <v>27789274</v>
      </c>
      <c r="K48" s="399">
        <v>27761015</v>
      </c>
      <c r="L48" s="399">
        <v>28371910</v>
      </c>
      <c r="M48" s="399">
        <v>27394516</v>
      </c>
      <c r="N48" s="235">
        <v>27616728.729221676</v>
      </c>
      <c r="O48" s="235">
        <v>27608894.78166661</v>
      </c>
      <c r="P48" s="236">
        <v>27601063.05634195</v>
      </c>
      <c r="Q48" s="235">
        <v>27593233.552617323</v>
      </c>
      <c r="R48" s="235">
        <v>27585406.269862529</v>
      </c>
      <c r="S48" s="235">
        <v>27577581.20744757</v>
      </c>
      <c r="T48" s="235">
        <v>27569758.364742592</v>
      </c>
      <c r="U48" s="235">
        <v>27561937.741117943</v>
      </c>
      <c r="V48" s="235">
        <v>27554119.335944142</v>
      </c>
      <c r="W48" s="235">
        <v>27546303.148591895</v>
      </c>
      <c r="X48" s="235">
        <v>27538489.17843207</v>
      </c>
      <c r="Y48" s="234">
        <v>27530677.424835734</v>
      </c>
      <c r="Z48" s="234">
        <v>27522867.887174107</v>
      </c>
      <c r="AA48" s="234">
        <v>27515060.564818621</v>
      </c>
      <c r="AB48" s="234">
        <v>27507255.457140852</v>
      </c>
      <c r="AC48" s="234">
        <v>27499452.563512575</v>
      </c>
      <c r="AD48" s="234">
        <v>27491651.883305736</v>
      </c>
      <c r="AE48" s="234">
        <v>27483853.415892471</v>
      </c>
      <c r="AF48" s="234">
        <v>27476057.160645064</v>
      </c>
      <c r="AG48" s="234">
        <v>27468263.116936017</v>
      </c>
    </row>
    <row r="49" spans="1:33" ht="15.75" thickBot="1">
      <c r="A49" s="239" t="s">
        <v>416</v>
      </c>
      <c r="B49" s="239" t="s">
        <v>67</v>
      </c>
      <c r="C49" s="379">
        <v>5962619</v>
      </c>
      <c r="D49" s="379">
        <v>7403492</v>
      </c>
      <c r="E49" s="379">
        <v>8588803</v>
      </c>
      <c r="F49" s="379">
        <v>8446127</v>
      </c>
      <c r="G49" s="379">
        <v>9720685</v>
      </c>
      <c r="H49" s="379">
        <v>10171904</v>
      </c>
      <c r="I49" s="379">
        <v>10351105</v>
      </c>
      <c r="J49" s="379">
        <v>11462744</v>
      </c>
      <c r="K49" s="379">
        <v>10303478</v>
      </c>
      <c r="L49" s="379">
        <v>10501767</v>
      </c>
      <c r="M49" s="379">
        <v>11252390</v>
      </c>
      <c r="N49" s="235">
        <v>12107700.666666666</v>
      </c>
      <c r="O49" s="235">
        <v>12535356</v>
      </c>
      <c r="P49" s="235">
        <v>12963011.333333332</v>
      </c>
      <c r="Q49" s="235">
        <v>13390666.666666666</v>
      </c>
      <c r="R49" s="235">
        <v>13818322</v>
      </c>
      <c r="S49" s="235">
        <v>14245977.333333332</v>
      </c>
      <c r="T49" s="235">
        <v>14673632.666666666</v>
      </c>
      <c r="U49" s="235">
        <v>15101288</v>
      </c>
      <c r="V49" s="235">
        <v>15528943.333333332</v>
      </c>
      <c r="W49" s="235">
        <v>15956598.666666666</v>
      </c>
      <c r="X49" s="234">
        <v>16384254</v>
      </c>
      <c r="Y49" s="234">
        <v>16811909.333333332</v>
      </c>
      <c r="Z49" s="234">
        <v>17239564.666666664</v>
      </c>
      <c r="AA49" s="234">
        <v>17667220</v>
      </c>
      <c r="AB49" s="234">
        <v>18094875.333333332</v>
      </c>
      <c r="AC49" s="234">
        <v>18522530.666666664</v>
      </c>
      <c r="AD49" s="234">
        <v>18950186</v>
      </c>
      <c r="AE49" s="234">
        <v>19377841.333333332</v>
      </c>
      <c r="AF49" s="234">
        <v>19805496.666666664</v>
      </c>
      <c r="AG49" s="234">
        <v>20233152</v>
      </c>
    </row>
    <row r="50" spans="1:33" ht="15.75" thickBot="1">
      <c r="A50" s="239" t="s">
        <v>417</v>
      </c>
      <c r="B50" s="239" t="s">
        <v>67</v>
      </c>
      <c r="C50" s="379">
        <v>27674161</v>
      </c>
      <c r="D50" s="379">
        <v>31490528.333333332</v>
      </c>
      <c r="E50" s="379">
        <v>42146199.5</v>
      </c>
      <c r="F50" s="379">
        <v>46245137</v>
      </c>
      <c r="G50" s="379">
        <v>51922827.666666664</v>
      </c>
      <c r="H50" s="379">
        <v>53943997.833333336</v>
      </c>
      <c r="I50" s="379">
        <v>57325681.666666664</v>
      </c>
      <c r="J50" s="379">
        <v>58084469.833333336</v>
      </c>
      <c r="K50" s="379">
        <v>69562266.333333343</v>
      </c>
      <c r="L50" s="379">
        <v>73088484.5</v>
      </c>
      <c r="M50" s="379">
        <v>82969025.666666657</v>
      </c>
      <c r="N50" s="235">
        <v>83956352.76666671</v>
      </c>
      <c r="O50" s="235">
        <v>88916078.39090915</v>
      </c>
      <c r="P50" s="235">
        <v>93875804.01515159</v>
      </c>
      <c r="Q50" s="235">
        <v>98835529.639394015</v>
      </c>
      <c r="R50" s="235">
        <v>103795255.26363644</v>
      </c>
      <c r="S50" s="235">
        <v>108754980.88787888</v>
      </c>
      <c r="T50" s="235">
        <v>113714706.51212132</v>
      </c>
      <c r="U50" s="235">
        <v>118674432.13636374</v>
      </c>
      <c r="V50" s="235">
        <v>123634157.76060618</v>
      </c>
      <c r="W50" s="235">
        <v>128593883.38484861</v>
      </c>
      <c r="X50" s="234">
        <v>133553609.00909105</v>
      </c>
      <c r="Y50" s="234">
        <v>138513334.63333347</v>
      </c>
      <c r="Z50" s="234">
        <v>143473060.25757593</v>
      </c>
      <c r="AA50" s="234">
        <v>148432785.88181835</v>
      </c>
      <c r="AB50" s="234">
        <v>153392511.50606078</v>
      </c>
      <c r="AC50" s="234">
        <v>158352237.1303032</v>
      </c>
      <c r="AD50" s="234">
        <v>163311962.75454563</v>
      </c>
      <c r="AE50" s="234">
        <v>168271688.37878808</v>
      </c>
      <c r="AF50" s="234">
        <v>173231414.00303051</v>
      </c>
      <c r="AG50" s="234">
        <v>178191139.62727293</v>
      </c>
    </row>
    <row r="51" spans="1:33" ht="15.75" thickBot="1">
      <c r="A51" s="239" t="s">
        <v>73</v>
      </c>
      <c r="B51" s="239" t="s">
        <v>67</v>
      </c>
      <c r="C51" s="379">
        <v>3481702</v>
      </c>
      <c r="D51" s="379">
        <v>4055539</v>
      </c>
      <c r="E51" s="379">
        <v>4293637</v>
      </c>
      <c r="F51" s="379">
        <v>4952224</v>
      </c>
      <c r="G51" s="379">
        <v>4880019</v>
      </c>
      <c r="H51" s="379">
        <v>5335872</v>
      </c>
      <c r="I51" s="379">
        <v>5296757</v>
      </c>
      <c r="J51" s="379">
        <v>6534753</v>
      </c>
      <c r="K51" s="379">
        <v>7962095</v>
      </c>
      <c r="L51" s="379">
        <v>8213920</v>
      </c>
      <c r="M51" s="379">
        <v>9871091</v>
      </c>
      <c r="N51" s="235">
        <v>9464803.7333333343</v>
      </c>
      <c r="O51" s="235">
        <v>10069387.921212122</v>
      </c>
      <c r="P51" s="235">
        <v>10673972.109090909</v>
      </c>
      <c r="Q51" s="235">
        <v>11278556.296969697</v>
      </c>
      <c r="R51" s="235">
        <v>11883140.484848484</v>
      </c>
      <c r="S51" s="235">
        <v>12487724.672727272</v>
      </c>
      <c r="T51" s="235">
        <v>13092308.860606059</v>
      </c>
      <c r="U51" s="235">
        <v>13696893.048484847</v>
      </c>
      <c r="V51" s="235">
        <v>14301477.236363638</v>
      </c>
      <c r="W51" s="235">
        <v>14906061.424242426</v>
      </c>
      <c r="X51" s="234">
        <v>15510645.612121213</v>
      </c>
      <c r="Y51" s="234">
        <v>16115229.800000001</v>
      </c>
      <c r="Z51" s="234">
        <v>16719813.987878788</v>
      </c>
      <c r="AA51" s="234">
        <v>17324398.175757576</v>
      </c>
      <c r="AB51" s="234">
        <v>17928982.363636363</v>
      </c>
      <c r="AC51" s="234">
        <v>18533566.551515151</v>
      </c>
      <c r="AD51" s="234">
        <v>19138150.739393938</v>
      </c>
      <c r="AE51" s="234">
        <v>19742734.92727273</v>
      </c>
      <c r="AF51" s="234">
        <v>20347319.115151517</v>
      </c>
      <c r="AG51" s="234">
        <v>20951903.303030305</v>
      </c>
    </row>
    <row r="52" spans="1:33">
      <c r="A52" s="238"/>
      <c r="B52" s="238"/>
      <c r="C52" s="238"/>
      <c r="D52" s="238"/>
      <c r="E52" s="238"/>
      <c r="F52" s="238"/>
      <c r="G52" s="238"/>
      <c r="H52" s="238"/>
      <c r="I52" s="238"/>
      <c r="J52" s="238"/>
      <c r="K52" s="238"/>
      <c r="L52" s="238"/>
      <c r="M52" s="238"/>
      <c r="N52" s="238"/>
      <c r="O52" s="238"/>
    </row>
    <row r="54" spans="1:33" ht="21">
      <c r="A54" s="280" t="s">
        <v>432</v>
      </c>
    </row>
    <row r="55" spans="1:33" ht="19.5" customHeight="1">
      <c r="A55" s="302"/>
      <c r="B55" s="302"/>
      <c r="C55" s="302"/>
      <c r="D55" s="302"/>
      <c r="H55" s="304"/>
      <c r="I55" s="304"/>
      <c r="J55" s="487" t="s">
        <v>448</v>
      </c>
    </row>
    <row r="56" spans="1:33" ht="15" customHeight="1">
      <c r="A56" s="302"/>
      <c r="B56" s="493" t="s">
        <v>427</v>
      </c>
      <c r="C56" s="493"/>
      <c r="D56" s="494" t="s">
        <v>446</v>
      </c>
      <c r="E56" s="493" t="s">
        <v>444</v>
      </c>
      <c r="F56" s="493"/>
      <c r="G56" s="493"/>
      <c r="H56" s="496" t="s">
        <v>447</v>
      </c>
      <c r="I56" s="490" t="s">
        <v>445</v>
      </c>
      <c r="J56" s="488"/>
    </row>
    <row r="57" spans="1:33" ht="30">
      <c r="A57" s="302"/>
      <c r="B57" s="303" t="s">
        <v>425</v>
      </c>
      <c r="C57" s="303" t="s">
        <v>426</v>
      </c>
      <c r="D57" s="495"/>
      <c r="E57" s="349" t="s">
        <v>472</v>
      </c>
      <c r="F57" s="350" t="s">
        <v>481</v>
      </c>
      <c r="G57" s="350" t="s">
        <v>482</v>
      </c>
      <c r="H57" s="497"/>
      <c r="I57" s="491"/>
      <c r="J57" s="489"/>
    </row>
    <row r="58" spans="1:33">
      <c r="A58" s="304">
        <v>2006</v>
      </c>
      <c r="B58" s="308">
        <v>750487</v>
      </c>
      <c r="C58" s="308">
        <v>176295</v>
      </c>
      <c r="D58" s="309">
        <f>C58+B58</f>
        <v>926782</v>
      </c>
      <c r="E58" s="367">
        <f>'Horti dominan sayur buah'!S41</f>
        <v>351048</v>
      </c>
      <c r="F58" s="342">
        <f>'Horti dominan sayur buah'!S24</f>
        <v>140374</v>
      </c>
      <c r="G58" s="342">
        <f>'Horti dominan sayur buah'!S9</f>
        <v>94353</v>
      </c>
      <c r="H58" s="309">
        <f>E58+F58+G58</f>
        <v>585775</v>
      </c>
      <c r="I58" s="343">
        <v>11447</v>
      </c>
      <c r="J58" s="310">
        <f>D58+H58</f>
        <v>1512557</v>
      </c>
    </row>
    <row r="59" spans="1:33">
      <c r="A59" s="304">
        <f t="shared" ref="A59:A82" si="0">+A58+1</f>
        <v>2007</v>
      </c>
      <c r="B59" s="308">
        <v>756991</v>
      </c>
      <c r="C59" s="308">
        <v>177854</v>
      </c>
      <c r="D59" s="309">
        <f t="shared" ref="D59:D82" si="1">C59+B59</f>
        <v>934845</v>
      </c>
      <c r="E59" s="367">
        <f>'Horti dominan sayur buah'!S42</f>
        <v>342533</v>
      </c>
      <c r="F59" s="342">
        <f>'Horti dominan sayur buah'!S25</f>
        <v>138407</v>
      </c>
      <c r="G59" s="342">
        <f>'Horti dominan sayur buah'!S10</f>
        <v>96145</v>
      </c>
      <c r="H59" s="309">
        <f>E59+F59+G59</f>
        <v>577085</v>
      </c>
      <c r="I59" s="343">
        <v>32447</v>
      </c>
      <c r="J59" s="310">
        <f t="shared" ref="J59:J82" si="2">D59+H59</f>
        <v>1511930</v>
      </c>
    </row>
    <row r="60" spans="1:33">
      <c r="A60" s="304">
        <f t="shared" si="0"/>
        <v>2008</v>
      </c>
      <c r="B60" s="308">
        <v>762954</v>
      </c>
      <c r="C60" s="308">
        <v>182950</v>
      </c>
      <c r="D60" s="309">
        <f t="shared" si="1"/>
        <v>945904</v>
      </c>
      <c r="E60" s="367">
        <f>'Horti dominan sayur buah'!S43</f>
        <v>348481</v>
      </c>
      <c r="F60" s="342">
        <f>'Horti dominan sayur buah'!S26</f>
        <v>127336</v>
      </c>
      <c r="G60" s="342">
        <f>'Horti dominan sayur buah'!S11</f>
        <v>87566</v>
      </c>
      <c r="H60" s="309">
        <f>E60+F60+G60</f>
        <v>563383</v>
      </c>
      <c r="I60" s="343">
        <v>12487</v>
      </c>
      <c r="J60" s="310">
        <f t="shared" si="2"/>
        <v>1509287</v>
      </c>
    </row>
    <row r="61" spans="1:33">
      <c r="A61" s="304">
        <f t="shared" si="0"/>
        <v>2009</v>
      </c>
      <c r="B61" s="308">
        <v>759552</v>
      </c>
      <c r="C61" s="308">
        <v>177874</v>
      </c>
      <c r="D61" s="309">
        <f t="shared" si="1"/>
        <v>937426</v>
      </c>
      <c r="E61" s="367">
        <f>'Horti dominan sayur buah'!S44</f>
        <v>411202</v>
      </c>
      <c r="F61" s="342">
        <f>'Horti dominan sayur buah'!S27</f>
        <v>133584</v>
      </c>
      <c r="G61" s="342">
        <f>'Horti dominan sayur buah'!S12</f>
        <v>90283</v>
      </c>
      <c r="H61" s="309">
        <f>E61+F61+G61</f>
        <v>635069</v>
      </c>
      <c r="I61" s="343">
        <v>12966</v>
      </c>
      <c r="J61" s="310">
        <f t="shared" si="2"/>
        <v>1572495</v>
      </c>
    </row>
    <row r="62" spans="1:33">
      <c r="A62" s="304">
        <f t="shared" si="0"/>
        <v>2010</v>
      </c>
      <c r="B62" s="308">
        <v>755956</v>
      </c>
      <c r="C62" s="308">
        <v>174312</v>
      </c>
      <c r="D62" s="309">
        <f t="shared" si="1"/>
        <v>930268</v>
      </c>
      <c r="E62" s="367">
        <f>'Horti dominan sayur buah'!S45</f>
        <v>434001</v>
      </c>
      <c r="F62" s="342">
        <f>'Horti dominan sayur buah'!S28</f>
        <v>144865</v>
      </c>
      <c r="G62" s="342">
        <f>'Horti dominan sayur buah'!S13</f>
        <v>70103</v>
      </c>
      <c r="H62" s="309">
        <f>E62+F62+G62</f>
        <v>648969</v>
      </c>
      <c r="I62" s="343">
        <v>8932</v>
      </c>
      <c r="J62" s="310">
        <f t="shared" si="2"/>
        <v>1579237</v>
      </c>
    </row>
    <row r="63" spans="1:33">
      <c r="A63" s="304">
        <f t="shared" si="0"/>
        <v>2011</v>
      </c>
      <c r="B63" s="381">
        <v>757323.25</v>
      </c>
      <c r="C63" s="384">
        <v>173816.25</v>
      </c>
      <c r="D63" s="309">
        <f t="shared" si="1"/>
        <v>931139.5</v>
      </c>
      <c r="E63" s="388">
        <v>454739.25</v>
      </c>
      <c r="F63" s="396">
        <v>145987.75</v>
      </c>
      <c r="G63" s="389">
        <v>99814</v>
      </c>
      <c r="H63" s="309">
        <f t="shared" ref="H63:H82" si="3">E63+F63+G63</f>
        <v>700541</v>
      </c>
      <c r="I63" s="343"/>
      <c r="J63" s="310">
        <f t="shared" si="2"/>
        <v>1631680.5</v>
      </c>
    </row>
    <row r="64" spans="1:33">
      <c r="A64" s="304">
        <f t="shared" si="0"/>
        <v>2012</v>
      </c>
      <c r="B64" s="381">
        <v>758690.5</v>
      </c>
      <c r="C64" s="384">
        <v>173320.5</v>
      </c>
      <c r="D64" s="309">
        <f t="shared" si="1"/>
        <v>932011</v>
      </c>
      <c r="E64" s="388">
        <v>475477.5</v>
      </c>
      <c r="F64" s="389">
        <v>147110.5</v>
      </c>
      <c r="G64" s="389">
        <v>91151</v>
      </c>
      <c r="H64" s="309">
        <f t="shared" si="3"/>
        <v>713739</v>
      </c>
      <c r="I64" s="343"/>
      <c r="J64" s="310">
        <f t="shared" si="2"/>
        <v>1645750</v>
      </c>
    </row>
    <row r="65" spans="1:10">
      <c r="A65" s="304">
        <f t="shared" si="0"/>
        <v>2013</v>
      </c>
      <c r="B65" s="381">
        <v>760057.75</v>
      </c>
      <c r="C65" s="384">
        <v>172824.75</v>
      </c>
      <c r="D65" s="309">
        <f t="shared" si="1"/>
        <v>932882.5</v>
      </c>
      <c r="E65" s="388">
        <v>496215.75</v>
      </c>
      <c r="F65" s="389">
        <v>148233.25</v>
      </c>
      <c r="G65" s="389">
        <v>90617.333333333328</v>
      </c>
      <c r="H65" s="309">
        <f t="shared" si="3"/>
        <v>735066.33333333337</v>
      </c>
      <c r="I65" s="343"/>
      <c r="J65" s="310">
        <f t="shared" si="2"/>
        <v>1667948.8333333335</v>
      </c>
    </row>
    <row r="66" spans="1:10">
      <c r="A66" s="304">
        <f t="shared" si="0"/>
        <v>2014</v>
      </c>
      <c r="B66" s="381">
        <v>761425</v>
      </c>
      <c r="C66" s="384">
        <v>172329</v>
      </c>
      <c r="D66" s="309">
        <f t="shared" si="1"/>
        <v>933754</v>
      </c>
      <c r="E66" s="388">
        <v>516954</v>
      </c>
      <c r="F66" s="389">
        <v>149356</v>
      </c>
      <c r="G66" s="389">
        <v>90083.666666666672</v>
      </c>
      <c r="H66" s="309">
        <f t="shared" si="3"/>
        <v>756393.66666666663</v>
      </c>
      <c r="I66" s="343"/>
      <c r="J66" s="310">
        <f t="shared" si="2"/>
        <v>1690147.6666666665</v>
      </c>
    </row>
    <row r="67" spans="1:10">
      <c r="A67" s="304">
        <f t="shared" si="0"/>
        <v>2015</v>
      </c>
      <c r="B67" s="381">
        <v>762792.25</v>
      </c>
      <c r="C67" s="384">
        <v>171833.25</v>
      </c>
      <c r="D67" s="309">
        <f t="shared" si="1"/>
        <v>934625.5</v>
      </c>
      <c r="E67" s="388">
        <v>537692.25</v>
      </c>
      <c r="F67" s="389">
        <v>150478.75</v>
      </c>
      <c r="G67" s="389">
        <v>89550</v>
      </c>
      <c r="H67" s="309">
        <f t="shared" si="3"/>
        <v>777721</v>
      </c>
      <c r="I67" s="343"/>
      <c r="J67" s="310">
        <f t="shared" si="2"/>
        <v>1712346.5</v>
      </c>
    </row>
    <row r="68" spans="1:10">
      <c r="A68" s="304">
        <f t="shared" si="0"/>
        <v>2016</v>
      </c>
      <c r="B68" s="381">
        <v>764159.5</v>
      </c>
      <c r="C68" s="384">
        <v>171337.5</v>
      </c>
      <c r="D68" s="309">
        <f t="shared" si="1"/>
        <v>935497</v>
      </c>
      <c r="E68" s="388">
        <v>558430.5</v>
      </c>
      <c r="F68" s="389">
        <v>151601.5</v>
      </c>
      <c r="G68" s="389">
        <v>89016.333333333328</v>
      </c>
      <c r="H68" s="309">
        <f t="shared" si="3"/>
        <v>799048.33333333337</v>
      </c>
      <c r="I68" s="343"/>
      <c r="J68" s="310">
        <f t="shared" si="2"/>
        <v>1734545.3333333335</v>
      </c>
    </row>
    <row r="69" spans="1:10">
      <c r="A69" s="304">
        <f t="shared" si="0"/>
        <v>2017</v>
      </c>
      <c r="B69" s="381">
        <v>765526.75</v>
      </c>
      <c r="C69" s="384">
        <v>170841.75</v>
      </c>
      <c r="D69" s="309">
        <f t="shared" si="1"/>
        <v>936368.5</v>
      </c>
      <c r="E69" s="388">
        <v>579168.75</v>
      </c>
      <c r="F69" s="389">
        <v>152724.25</v>
      </c>
      <c r="G69" s="389">
        <v>88482.666666666672</v>
      </c>
      <c r="H69" s="309">
        <f t="shared" si="3"/>
        <v>820375.66666666663</v>
      </c>
      <c r="I69" s="343"/>
      <c r="J69" s="310">
        <f t="shared" si="2"/>
        <v>1756744.1666666665</v>
      </c>
    </row>
    <row r="70" spans="1:10">
      <c r="A70" s="304">
        <f t="shared" si="0"/>
        <v>2018</v>
      </c>
      <c r="B70" s="381">
        <v>766894</v>
      </c>
      <c r="C70" s="384">
        <v>170346</v>
      </c>
      <c r="D70" s="309">
        <f t="shared" si="1"/>
        <v>937240</v>
      </c>
      <c r="E70" s="388">
        <v>599907</v>
      </c>
      <c r="F70" s="389">
        <v>153847</v>
      </c>
      <c r="G70" s="389">
        <v>87949</v>
      </c>
      <c r="H70" s="309">
        <f t="shared" si="3"/>
        <v>841703</v>
      </c>
      <c r="I70" s="343"/>
      <c r="J70" s="310">
        <f t="shared" si="2"/>
        <v>1778943</v>
      </c>
    </row>
    <row r="71" spans="1:10">
      <c r="A71" s="304">
        <f t="shared" si="0"/>
        <v>2019</v>
      </c>
      <c r="B71" s="381">
        <v>768261.25</v>
      </c>
      <c r="C71" s="384">
        <v>169850.25</v>
      </c>
      <c r="D71" s="309">
        <f t="shared" si="1"/>
        <v>938111.5</v>
      </c>
      <c r="E71" s="388">
        <v>620645.25</v>
      </c>
      <c r="F71" s="389">
        <v>154969.75</v>
      </c>
      <c r="G71" s="389">
        <v>87415.333333333328</v>
      </c>
      <c r="H71" s="309">
        <f t="shared" si="3"/>
        <v>863030.33333333337</v>
      </c>
      <c r="I71" s="343"/>
      <c r="J71" s="310">
        <f t="shared" si="2"/>
        <v>1801141.8333333335</v>
      </c>
    </row>
    <row r="72" spans="1:10">
      <c r="A72" s="304">
        <f t="shared" si="0"/>
        <v>2020</v>
      </c>
      <c r="B72" s="381">
        <v>769628.5</v>
      </c>
      <c r="C72" s="384">
        <v>169354.5</v>
      </c>
      <c r="D72" s="309">
        <f t="shared" si="1"/>
        <v>938983</v>
      </c>
      <c r="E72" s="388">
        <v>641383.5</v>
      </c>
      <c r="F72" s="389">
        <v>156092.5</v>
      </c>
      <c r="G72" s="389">
        <v>86881.666666666672</v>
      </c>
      <c r="H72" s="309">
        <f t="shared" si="3"/>
        <v>884357.66666666663</v>
      </c>
      <c r="I72" s="343"/>
      <c r="J72" s="310">
        <f t="shared" si="2"/>
        <v>1823340.6666666665</v>
      </c>
    </row>
    <row r="73" spans="1:10">
      <c r="A73" s="337">
        <f t="shared" si="0"/>
        <v>2021</v>
      </c>
      <c r="B73" s="382">
        <v>770995.75</v>
      </c>
      <c r="C73" s="385">
        <v>168858.75</v>
      </c>
      <c r="D73" s="309">
        <f t="shared" si="1"/>
        <v>939854.5</v>
      </c>
      <c r="E73" s="390">
        <v>662121.75</v>
      </c>
      <c r="F73" s="391">
        <v>157215.25</v>
      </c>
      <c r="G73" s="391">
        <v>86348</v>
      </c>
      <c r="H73" s="309">
        <f t="shared" si="3"/>
        <v>905685</v>
      </c>
      <c r="I73" s="371"/>
      <c r="J73" s="310">
        <f t="shared" si="2"/>
        <v>1845539.5</v>
      </c>
    </row>
    <row r="74" spans="1:10">
      <c r="A74" s="337">
        <f t="shared" si="0"/>
        <v>2022</v>
      </c>
      <c r="B74" s="382">
        <v>772363</v>
      </c>
      <c r="C74" s="385">
        <v>168363</v>
      </c>
      <c r="D74" s="309">
        <f t="shared" si="1"/>
        <v>940726</v>
      </c>
      <c r="E74" s="390">
        <v>682860</v>
      </c>
      <c r="F74" s="391">
        <v>158338</v>
      </c>
      <c r="G74" s="391">
        <v>85814.333333333328</v>
      </c>
      <c r="H74" s="309">
        <f t="shared" si="3"/>
        <v>927012.33333333337</v>
      </c>
      <c r="I74" s="371"/>
      <c r="J74" s="310">
        <f t="shared" si="2"/>
        <v>1867738.3333333335</v>
      </c>
    </row>
    <row r="75" spans="1:10">
      <c r="A75" s="337">
        <f t="shared" si="0"/>
        <v>2023</v>
      </c>
      <c r="B75" s="382">
        <v>773730.25</v>
      </c>
      <c r="C75" s="385">
        <v>167867.25</v>
      </c>
      <c r="D75" s="309">
        <f t="shared" si="1"/>
        <v>941597.5</v>
      </c>
      <c r="E75" s="390">
        <v>703598.25</v>
      </c>
      <c r="F75" s="391">
        <v>159460.75</v>
      </c>
      <c r="G75" s="391">
        <v>85280.666666666672</v>
      </c>
      <c r="H75" s="309">
        <f t="shared" si="3"/>
        <v>948339.66666666663</v>
      </c>
      <c r="I75" s="371"/>
      <c r="J75" s="310">
        <f t="shared" si="2"/>
        <v>1889937.1666666665</v>
      </c>
    </row>
    <row r="76" spans="1:10">
      <c r="A76" s="337">
        <f t="shared" si="0"/>
        <v>2024</v>
      </c>
      <c r="B76" s="382">
        <v>775097.5</v>
      </c>
      <c r="C76" s="385">
        <v>167371.5</v>
      </c>
      <c r="D76" s="309">
        <f t="shared" si="1"/>
        <v>942469</v>
      </c>
      <c r="E76" s="390">
        <v>724336.5</v>
      </c>
      <c r="F76" s="391">
        <v>160583.5</v>
      </c>
      <c r="G76" s="391">
        <v>84747</v>
      </c>
      <c r="H76" s="309">
        <f t="shared" si="3"/>
        <v>969667</v>
      </c>
      <c r="I76" s="371"/>
      <c r="J76" s="310">
        <f t="shared" si="2"/>
        <v>1912136</v>
      </c>
    </row>
    <row r="77" spans="1:10">
      <c r="A77" s="337">
        <f t="shared" si="0"/>
        <v>2025</v>
      </c>
      <c r="B77" s="382">
        <v>776464.75</v>
      </c>
      <c r="C77" s="385">
        <v>166875.75</v>
      </c>
      <c r="D77" s="309">
        <f t="shared" si="1"/>
        <v>943340.5</v>
      </c>
      <c r="E77" s="390">
        <v>745074.75</v>
      </c>
      <c r="F77" s="391">
        <v>161706.25</v>
      </c>
      <c r="G77" s="391">
        <v>84213.333333333328</v>
      </c>
      <c r="H77" s="309">
        <f t="shared" si="3"/>
        <v>990994.33333333337</v>
      </c>
      <c r="I77" s="371"/>
      <c r="J77" s="310">
        <f t="shared" si="2"/>
        <v>1934334.8333333335</v>
      </c>
    </row>
    <row r="78" spans="1:10">
      <c r="A78" s="337">
        <f t="shared" si="0"/>
        <v>2026</v>
      </c>
      <c r="B78" s="382">
        <v>777832</v>
      </c>
      <c r="C78" s="385">
        <v>166380</v>
      </c>
      <c r="D78" s="309">
        <f t="shared" si="1"/>
        <v>944212</v>
      </c>
      <c r="E78" s="390">
        <v>765813</v>
      </c>
      <c r="F78" s="391">
        <v>162829</v>
      </c>
      <c r="G78" s="391">
        <v>83679.666666666672</v>
      </c>
      <c r="H78" s="309">
        <f t="shared" si="3"/>
        <v>1012321.6666666666</v>
      </c>
      <c r="I78" s="371"/>
      <c r="J78" s="310">
        <f t="shared" si="2"/>
        <v>1956533.6666666665</v>
      </c>
    </row>
    <row r="79" spans="1:10">
      <c r="A79" s="337">
        <f t="shared" si="0"/>
        <v>2027</v>
      </c>
      <c r="B79" s="387">
        <v>779199.25</v>
      </c>
      <c r="C79" s="383">
        <v>165884.25</v>
      </c>
      <c r="D79" s="309">
        <f t="shared" si="1"/>
        <v>945083.5</v>
      </c>
      <c r="E79" s="386">
        <v>786551.25</v>
      </c>
      <c r="F79" s="386">
        <v>163951.75</v>
      </c>
      <c r="G79" s="386">
        <v>83146</v>
      </c>
      <c r="H79" s="309">
        <f t="shared" si="3"/>
        <v>1033649</v>
      </c>
      <c r="J79" s="310">
        <f t="shared" si="2"/>
        <v>1978732.5</v>
      </c>
    </row>
    <row r="80" spans="1:10">
      <c r="A80" s="337">
        <f t="shared" si="0"/>
        <v>2028</v>
      </c>
      <c r="B80" s="387">
        <v>780566.5</v>
      </c>
      <c r="C80" s="383">
        <v>165388.5</v>
      </c>
      <c r="D80" s="309">
        <f t="shared" si="1"/>
        <v>945955</v>
      </c>
      <c r="E80" s="386">
        <v>807289.5</v>
      </c>
      <c r="F80" s="386">
        <v>165074.5</v>
      </c>
      <c r="G80" s="386">
        <v>82612.333333333328</v>
      </c>
      <c r="H80" s="309">
        <f t="shared" si="3"/>
        <v>1054976.3333333333</v>
      </c>
      <c r="J80" s="310">
        <f t="shared" si="2"/>
        <v>2000931.3333333333</v>
      </c>
    </row>
    <row r="81" spans="1:10">
      <c r="A81" s="337">
        <f t="shared" si="0"/>
        <v>2029</v>
      </c>
      <c r="B81" s="387">
        <v>781933.75</v>
      </c>
      <c r="C81" s="383">
        <v>164892.75</v>
      </c>
      <c r="D81" s="309">
        <f t="shared" si="1"/>
        <v>946826.5</v>
      </c>
      <c r="E81" s="386">
        <v>828027.75</v>
      </c>
      <c r="F81" s="386">
        <v>166197.25</v>
      </c>
      <c r="G81" s="386">
        <v>82078.666666666672</v>
      </c>
      <c r="H81" s="309">
        <f t="shared" si="3"/>
        <v>1076303.6666666667</v>
      </c>
      <c r="J81" s="310">
        <f t="shared" si="2"/>
        <v>2023130.1666666667</v>
      </c>
    </row>
    <row r="82" spans="1:10">
      <c r="A82" s="337">
        <f t="shared" si="0"/>
        <v>2030</v>
      </c>
      <c r="B82" s="387">
        <v>783301</v>
      </c>
      <c r="C82" s="383">
        <v>164397</v>
      </c>
      <c r="D82" s="309">
        <f t="shared" si="1"/>
        <v>947698</v>
      </c>
      <c r="E82" s="386">
        <v>848766</v>
      </c>
      <c r="F82" s="386">
        <v>167320</v>
      </c>
      <c r="G82" s="386">
        <v>81545</v>
      </c>
      <c r="H82" s="309">
        <f t="shared" si="3"/>
        <v>1097631</v>
      </c>
      <c r="J82" s="310">
        <f t="shared" si="2"/>
        <v>2045329</v>
      </c>
    </row>
    <row r="84" spans="1:10">
      <c r="A84" t="s">
        <v>449</v>
      </c>
    </row>
    <row r="85" spans="1:10" ht="45">
      <c r="A85" s="306" t="s">
        <v>450</v>
      </c>
      <c r="B85" s="306" t="s">
        <v>473</v>
      </c>
      <c r="C85" s="306" t="s">
        <v>474</v>
      </c>
    </row>
    <row r="86" spans="1:10">
      <c r="A86" s="304">
        <f t="shared" ref="A86:A100" si="4">A58</f>
        <v>2006</v>
      </c>
      <c r="B86" s="307">
        <f t="shared" ref="B86:B110" si="5">D58/J58</f>
        <v>0.61272533861533818</v>
      </c>
      <c r="C86" s="307">
        <f>H58/J58</f>
        <v>0.38727466138466188</v>
      </c>
    </row>
    <row r="87" spans="1:10">
      <c r="A87" s="304">
        <f t="shared" si="4"/>
        <v>2007</v>
      </c>
      <c r="B87" s="307">
        <f t="shared" si="5"/>
        <v>0.61831235573075471</v>
      </c>
      <c r="C87" s="307">
        <f t="shared" ref="C87:C110" si="6">H59/J59</f>
        <v>0.38168764426924529</v>
      </c>
    </row>
    <row r="88" spans="1:10">
      <c r="A88" s="304">
        <f t="shared" si="4"/>
        <v>2008</v>
      </c>
      <c r="B88" s="307">
        <f t="shared" si="5"/>
        <v>0.62672241926154537</v>
      </c>
      <c r="C88" s="307">
        <f t="shared" si="6"/>
        <v>0.37327758073845463</v>
      </c>
    </row>
    <row r="89" spans="1:10">
      <c r="A89" s="304">
        <f t="shared" si="4"/>
        <v>2009</v>
      </c>
      <c r="B89" s="307">
        <f t="shared" si="5"/>
        <v>0.59613925640463084</v>
      </c>
      <c r="C89" s="307">
        <f t="shared" si="6"/>
        <v>0.40386074359536916</v>
      </c>
    </row>
    <row r="90" spans="1:10">
      <c r="A90" s="304">
        <f t="shared" si="4"/>
        <v>2010</v>
      </c>
      <c r="B90" s="307">
        <f t="shared" si="5"/>
        <v>0.58906167978587132</v>
      </c>
      <c r="C90" s="307">
        <f t="shared" si="6"/>
        <v>0.41093832021412874</v>
      </c>
    </row>
    <row r="91" spans="1:10">
      <c r="A91" s="304">
        <f t="shared" si="4"/>
        <v>2011</v>
      </c>
      <c r="B91" s="307">
        <f t="shared" si="5"/>
        <v>0.57066288406339349</v>
      </c>
      <c r="C91" s="307">
        <f t="shared" si="6"/>
        <v>0.42933711593660645</v>
      </c>
    </row>
    <row r="92" spans="1:10">
      <c r="A92" s="304">
        <f t="shared" si="4"/>
        <v>2012</v>
      </c>
      <c r="B92" s="307">
        <f t="shared" si="5"/>
        <v>0.56631383867537599</v>
      </c>
      <c r="C92" s="307">
        <f t="shared" si="6"/>
        <v>0.43368616132462401</v>
      </c>
    </row>
    <row r="93" spans="1:10">
      <c r="A93" s="304">
        <f t="shared" si="4"/>
        <v>2013</v>
      </c>
      <c r="B93" s="307">
        <f t="shared" si="5"/>
        <v>0.55929923110151358</v>
      </c>
      <c r="C93" s="307">
        <f t="shared" si="6"/>
        <v>0.44070076889848636</v>
      </c>
    </row>
    <row r="94" spans="1:10">
      <c r="A94" s="304">
        <f t="shared" si="4"/>
        <v>2014</v>
      </c>
      <c r="B94" s="307">
        <f t="shared" si="5"/>
        <v>0.55246888684085405</v>
      </c>
      <c r="C94" s="307">
        <f t="shared" si="6"/>
        <v>0.44753111315914607</v>
      </c>
    </row>
    <row r="95" spans="1:10">
      <c r="A95" s="304">
        <f t="shared" si="4"/>
        <v>2015</v>
      </c>
      <c r="B95" s="307">
        <f t="shared" si="5"/>
        <v>0.54581563953323697</v>
      </c>
      <c r="C95" s="307">
        <f t="shared" si="6"/>
        <v>0.45418436046676303</v>
      </c>
    </row>
    <row r="96" spans="1:10">
      <c r="A96" s="304">
        <f t="shared" si="4"/>
        <v>2016</v>
      </c>
      <c r="B96" s="307">
        <f t="shared" si="5"/>
        <v>0.53933268968083081</v>
      </c>
      <c r="C96" s="307">
        <f t="shared" si="6"/>
        <v>0.46066731031916913</v>
      </c>
    </row>
    <row r="97" spans="1:3">
      <c r="A97" s="304">
        <f t="shared" si="4"/>
        <v>2017</v>
      </c>
      <c r="B97" s="307">
        <f t="shared" si="5"/>
        <v>0.53301358146912881</v>
      </c>
      <c r="C97" s="307">
        <f t="shared" si="6"/>
        <v>0.46698641853087131</v>
      </c>
    </row>
    <row r="98" spans="1:3">
      <c r="A98" s="304">
        <f t="shared" si="4"/>
        <v>2018</v>
      </c>
      <c r="B98" s="307">
        <f t="shared" si="5"/>
        <v>0.52685218132340383</v>
      </c>
      <c r="C98" s="307">
        <f t="shared" si="6"/>
        <v>0.47314781867659617</v>
      </c>
    </row>
    <row r="99" spans="1:3">
      <c r="A99" s="304">
        <f t="shared" si="4"/>
        <v>2019</v>
      </c>
      <c r="B99" s="307">
        <f t="shared" si="5"/>
        <v>0.52084265805089747</v>
      </c>
      <c r="C99" s="307">
        <f t="shared" si="6"/>
        <v>0.47915734194910248</v>
      </c>
    </row>
    <row r="100" spans="1:3">
      <c r="A100" s="304">
        <f t="shared" si="4"/>
        <v>2020</v>
      </c>
      <c r="B100" s="307">
        <f t="shared" si="5"/>
        <v>0.51497946443359832</v>
      </c>
      <c r="C100" s="307">
        <f t="shared" si="6"/>
        <v>0.48502053556640179</v>
      </c>
    </row>
    <row r="101" spans="1:3">
      <c r="A101" s="337">
        <f t="shared" ref="A101:A110" si="7">A73</f>
        <v>2021</v>
      </c>
      <c r="B101" s="307">
        <f t="shared" si="5"/>
        <v>0.50925732014947389</v>
      </c>
      <c r="C101" s="307">
        <f t="shared" si="6"/>
        <v>0.49074267985052611</v>
      </c>
    </row>
    <row r="102" spans="1:3">
      <c r="A102" s="337">
        <f t="shared" si="7"/>
        <v>2022</v>
      </c>
      <c r="B102" s="307">
        <f t="shared" si="5"/>
        <v>0.50367119591163279</v>
      </c>
      <c r="C102" s="307">
        <f t="shared" si="6"/>
        <v>0.4963288040883671</v>
      </c>
    </row>
    <row r="103" spans="1:3">
      <c r="A103" s="337">
        <f t="shared" si="7"/>
        <v>2023</v>
      </c>
      <c r="B103" s="307">
        <f t="shared" si="5"/>
        <v>0.49821629872527512</v>
      </c>
      <c r="C103" s="307">
        <f t="shared" si="6"/>
        <v>0.50178370127472494</v>
      </c>
    </row>
    <row r="104" spans="1:3">
      <c r="A104" s="337">
        <f t="shared" si="7"/>
        <v>2024</v>
      </c>
      <c r="B104" s="307">
        <f t="shared" si="5"/>
        <v>0.49288805817159448</v>
      </c>
      <c r="C104" s="307">
        <f t="shared" si="6"/>
        <v>0.50711194182840547</v>
      </c>
    </row>
    <row r="105" spans="1:3">
      <c r="A105" s="337">
        <f t="shared" si="7"/>
        <v>2025</v>
      </c>
      <c r="B105" s="307">
        <f t="shared" si="5"/>
        <v>0.48768211363613451</v>
      </c>
      <c r="C105" s="307">
        <f t="shared" si="6"/>
        <v>0.51231788636386544</v>
      </c>
    </row>
    <row r="106" spans="1:3">
      <c r="A106" s="337">
        <f t="shared" si="7"/>
        <v>2026</v>
      </c>
      <c r="B106" s="307">
        <f t="shared" si="5"/>
        <v>0.48259430240658613</v>
      </c>
      <c r="C106" s="307">
        <f t="shared" si="6"/>
        <v>0.51740569759341393</v>
      </c>
    </row>
    <row r="107" spans="1:3">
      <c r="A107" s="337">
        <f t="shared" si="7"/>
        <v>2027</v>
      </c>
      <c r="B107" s="307">
        <f t="shared" si="5"/>
        <v>0.47762064857174985</v>
      </c>
      <c r="C107" s="307">
        <f t="shared" si="6"/>
        <v>0.5223793514282502</v>
      </c>
    </row>
    <row r="108" spans="1:3">
      <c r="A108" s="337">
        <f t="shared" si="7"/>
        <v>2028</v>
      </c>
      <c r="B108" s="307">
        <f t="shared" si="5"/>
        <v>0.47275735265944496</v>
      </c>
      <c r="C108" s="307">
        <f t="shared" si="6"/>
        <v>0.52724264734055504</v>
      </c>
    </row>
    <row r="109" spans="1:3">
      <c r="A109" s="337">
        <f>A81</f>
        <v>2029</v>
      </c>
      <c r="B109" s="307">
        <f t="shared" si="5"/>
        <v>0.46800078195660666</v>
      </c>
      <c r="C109" s="307">
        <f t="shared" si="6"/>
        <v>0.53199921804339334</v>
      </c>
    </row>
    <row r="110" spans="1:3">
      <c r="A110" s="337">
        <f t="shared" si="7"/>
        <v>2030</v>
      </c>
      <c r="B110" s="307">
        <f t="shared" si="5"/>
        <v>0.46334746145974559</v>
      </c>
      <c r="C110" s="307">
        <f t="shared" si="6"/>
        <v>0.53665253854025441</v>
      </c>
    </row>
    <row r="112" spans="1:3">
      <c r="A112" t="s">
        <v>451</v>
      </c>
    </row>
    <row r="113" spans="1:18">
      <c r="A113" s="314" t="s">
        <v>420</v>
      </c>
      <c r="G113" t="s">
        <v>475</v>
      </c>
      <c r="M113" t="s">
        <v>476</v>
      </c>
    </row>
    <row r="114" spans="1:18" ht="15.75">
      <c r="A114" s="306" t="str">
        <f>A85</f>
        <v>tahun</v>
      </c>
      <c r="B114" s="312" t="s">
        <v>455</v>
      </c>
      <c r="C114" s="306" t="s">
        <v>331</v>
      </c>
      <c r="D114" s="306" t="s">
        <v>453</v>
      </c>
      <c r="E114" s="306" t="s">
        <v>454</v>
      </c>
      <c r="F114" s="16" t="s">
        <v>533</v>
      </c>
      <c r="G114" s="306" t="str">
        <f>A114</f>
        <v>tahun</v>
      </c>
      <c r="H114" s="306" t="str">
        <f>B114</f>
        <v xml:space="preserve"> ZA</v>
      </c>
      <c r="I114" s="306" t="str">
        <f>C114</f>
        <v>NPK</v>
      </c>
      <c r="J114" s="306" t="str">
        <f>D114</f>
        <v>sp36</v>
      </c>
      <c r="K114" s="306" t="str">
        <f>E114</f>
        <v>UREA</v>
      </c>
      <c r="L114" s="16"/>
      <c r="M114" s="306" t="str">
        <f>A114</f>
        <v>tahun</v>
      </c>
      <c r="N114" s="306" t="str">
        <f>B114</f>
        <v xml:space="preserve"> ZA</v>
      </c>
      <c r="O114" s="306" t="str">
        <f>C114</f>
        <v>NPK</v>
      </c>
      <c r="P114" s="306" t="str">
        <f>D114</f>
        <v>sp36</v>
      </c>
      <c r="Q114" s="306" t="str">
        <f>E114</f>
        <v>UREA</v>
      </c>
      <c r="R114" t="s">
        <v>532</v>
      </c>
    </row>
    <row r="115" spans="1:18">
      <c r="A115" s="311">
        <v>2003</v>
      </c>
      <c r="B115" s="313">
        <v>10691.0744735881</v>
      </c>
      <c r="C115" s="298">
        <v>1472.01459854015</v>
      </c>
      <c r="D115" s="313">
        <v>12079.130192115501</v>
      </c>
      <c r="E115" s="298">
        <v>44001</v>
      </c>
      <c r="G115" s="306">
        <f t="shared" ref="G115:G122" si="8">A115</f>
        <v>2003</v>
      </c>
      <c r="H115" s="306"/>
      <c r="I115" s="306"/>
      <c r="J115" s="306"/>
      <c r="K115" s="306"/>
      <c r="L115" s="16"/>
      <c r="M115" s="306">
        <f t="shared" ref="M115:M142" si="9">A115</f>
        <v>2003</v>
      </c>
      <c r="N115" s="306"/>
      <c r="O115" s="306"/>
      <c r="P115" s="306"/>
      <c r="Q115" s="306"/>
    </row>
    <row r="116" spans="1:18">
      <c r="A116" s="311">
        <v>2004</v>
      </c>
      <c r="B116" s="313">
        <v>11069.203944203946</v>
      </c>
      <c r="C116" s="298">
        <v>2516.6666666666665</v>
      </c>
      <c r="D116" s="313">
        <v>11505</v>
      </c>
      <c r="E116" s="298">
        <v>79101</v>
      </c>
      <c r="G116" s="306">
        <f t="shared" si="8"/>
        <v>2004</v>
      </c>
      <c r="H116" s="306"/>
      <c r="I116" s="306"/>
      <c r="J116" s="306"/>
      <c r="K116" s="306"/>
      <c r="L116" s="16"/>
      <c r="M116" s="306">
        <f t="shared" si="9"/>
        <v>2004</v>
      </c>
      <c r="N116" s="306"/>
      <c r="O116" s="306"/>
      <c r="P116" s="306"/>
      <c r="Q116" s="306"/>
    </row>
    <row r="117" spans="1:18">
      <c r="A117" s="311">
        <v>2005</v>
      </c>
      <c r="B117" s="313">
        <v>9753.7000000000007</v>
      </c>
      <c r="C117" s="298">
        <v>3722.26</v>
      </c>
      <c r="D117" s="313">
        <v>9547.1299999999992</v>
      </c>
      <c r="E117" s="298">
        <v>58305</v>
      </c>
      <c r="G117" s="306">
        <f t="shared" si="8"/>
        <v>2005</v>
      </c>
      <c r="H117" s="306"/>
      <c r="I117" s="306"/>
      <c r="J117" s="306"/>
      <c r="K117" s="306"/>
      <c r="L117" s="16"/>
      <c r="M117" s="306">
        <f t="shared" si="9"/>
        <v>2005</v>
      </c>
      <c r="N117" s="306"/>
      <c r="O117" s="306"/>
      <c r="P117" s="306"/>
      <c r="Q117" s="306"/>
    </row>
    <row r="118" spans="1:18">
      <c r="A118" s="311">
        <v>2006</v>
      </c>
      <c r="B118" s="313">
        <v>9490</v>
      </c>
      <c r="C118" s="298">
        <v>6900</v>
      </c>
      <c r="D118" s="313">
        <v>7730</v>
      </c>
      <c r="E118" s="298">
        <v>67180</v>
      </c>
      <c r="G118" s="306">
        <f t="shared" si="8"/>
        <v>2006</v>
      </c>
      <c r="H118" s="305">
        <f>B86*B118</f>
        <v>5814.7634634595597</v>
      </c>
      <c r="I118" s="305">
        <f>C118*B86</f>
        <v>4227.8048364458336</v>
      </c>
      <c r="J118" s="305">
        <f>+B86*D118</f>
        <v>4736.3668674965638</v>
      </c>
      <c r="K118" s="305">
        <f>B86*E118</f>
        <v>41162.888248178417</v>
      </c>
      <c r="L118" s="16"/>
      <c r="M118" s="306">
        <f t="shared" si="9"/>
        <v>2006</v>
      </c>
      <c r="N118" s="305">
        <f>C86*B118</f>
        <v>3675.2365365404412</v>
      </c>
      <c r="O118" s="305">
        <f>C86*C118</f>
        <v>2672.1951635541668</v>
      </c>
      <c r="P118" s="305">
        <f>C86*D118</f>
        <v>2993.6331325034362</v>
      </c>
      <c r="Q118" s="305">
        <f>C86*E118</f>
        <v>26017.111751821583</v>
      </c>
    </row>
    <row r="119" spans="1:18">
      <c r="A119" s="311">
        <v>2007</v>
      </c>
      <c r="B119" s="313">
        <v>63950</v>
      </c>
      <c r="C119" s="298">
        <v>6925</v>
      </c>
      <c r="D119" s="313">
        <v>132825.5</v>
      </c>
      <c r="E119" s="298">
        <v>700348</v>
      </c>
      <c r="G119" s="306">
        <f t="shared" si="8"/>
        <v>2007</v>
      </c>
      <c r="H119" s="305">
        <f t="shared" ref="H119:H141" si="10">B87*B119</f>
        <v>39541.075148981763</v>
      </c>
      <c r="I119" s="305">
        <f t="shared" ref="I119:I142" si="11">C119*B87</f>
        <v>4281.8130634354766</v>
      </c>
      <c r="J119" s="305">
        <f t="shared" ref="J119:J141" si="12">+B87*D119</f>
        <v>82127.647806115361</v>
      </c>
      <c r="K119" s="305">
        <f t="shared" ref="K119:K142" si="13">B87*E119</f>
        <v>433033.82171132258</v>
      </c>
      <c r="L119" s="16"/>
      <c r="M119" s="306">
        <f t="shared" si="9"/>
        <v>2007</v>
      </c>
      <c r="N119" s="305">
        <f t="shared" ref="N119:N142" si="14">C87*B119</f>
        <v>24408.924851018237</v>
      </c>
      <c r="O119" s="305">
        <f t="shared" ref="O119:O142" si="15">C87*C119</f>
        <v>2643.1869365645234</v>
      </c>
      <c r="P119" s="305">
        <f t="shared" ref="P119:P142" si="16">C87*D119</f>
        <v>50697.852193884639</v>
      </c>
      <c r="Q119" s="305">
        <f t="shared" ref="Q119:Q142" si="17">C87*E119</f>
        <v>267314.17828867742</v>
      </c>
    </row>
    <row r="120" spans="1:18">
      <c r="A120" s="311">
        <v>2008</v>
      </c>
      <c r="B120" s="313">
        <v>67848</v>
      </c>
      <c r="C120" s="298">
        <v>154544</v>
      </c>
      <c r="D120" s="313">
        <v>112749</v>
      </c>
      <c r="E120" s="298">
        <v>710169</v>
      </c>
      <c r="F120" s="428">
        <v>5148</v>
      </c>
      <c r="G120" s="306">
        <f t="shared" si="8"/>
        <v>2008</v>
      </c>
      <c r="H120" s="305">
        <f t="shared" si="10"/>
        <v>42521.862702057333</v>
      </c>
      <c r="I120" s="305">
        <f t="shared" si="11"/>
        <v>96856.189562356274</v>
      </c>
      <c r="J120" s="305">
        <f t="shared" si="12"/>
        <v>70662.326049319978</v>
      </c>
      <c r="K120" s="305">
        <f t="shared" si="13"/>
        <v>445078.83376455243</v>
      </c>
      <c r="L120" s="16"/>
      <c r="M120" s="306">
        <f t="shared" si="9"/>
        <v>2008</v>
      </c>
      <c r="N120" s="305">
        <f t="shared" si="14"/>
        <v>25326.137297942671</v>
      </c>
      <c r="O120" s="305">
        <f t="shared" si="15"/>
        <v>57687.810437643733</v>
      </c>
      <c r="P120" s="305">
        <f t="shared" si="16"/>
        <v>42086.673950680022</v>
      </c>
      <c r="Q120" s="305">
        <f t="shared" si="17"/>
        <v>265090.16623544757</v>
      </c>
      <c r="R120" s="377">
        <f>F120*C88</f>
        <v>1921.6329856415643</v>
      </c>
    </row>
    <row r="121" spans="1:18">
      <c r="A121" s="311">
        <v>2009</v>
      </c>
      <c r="B121" s="313">
        <v>71394</v>
      </c>
      <c r="C121" s="298">
        <v>245826.05</v>
      </c>
      <c r="D121" s="313">
        <v>128276</v>
      </c>
      <c r="E121" s="298">
        <v>666921.85</v>
      </c>
      <c r="F121" s="428">
        <v>16385</v>
      </c>
      <c r="G121" s="306">
        <f t="shared" si="8"/>
        <v>2009</v>
      </c>
      <c r="H121" s="305">
        <f t="shared" si="10"/>
        <v>42560.766071752216</v>
      </c>
      <c r="I121" s="305">
        <f t="shared" si="11"/>
        <v>146546.55865188758</v>
      </c>
      <c r="J121" s="305">
        <f t="shared" si="12"/>
        <v>76470.359254560419</v>
      </c>
      <c r="K121" s="305">
        <f t="shared" si="13"/>
        <v>397578.29573900072</v>
      </c>
      <c r="L121" s="16"/>
      <c r="M121" s="306">
        <f t="shared" si="9"/>
        <v>2009</v>
      </c>
      <c r="N121" s="305">
        <f t="shared" si="14"/>
        <v>28833.233928247788</v>
      </c>
      <c r="O121" s="305">
        <f t="shared" si="15"/>
        <v>99279.491348112395</v>
      </c>
      <c r="P121" s="305">
        <f t="shared" si="16"/>
        <v>51805.640745439574</v>
      </c>
      <c r="Q121" s="305">
        <f t="shared" si="17"/>
        <v>269343.55426099926</v>
      </c>
      <c r="R121" s="377">
        <f t="shared" ref="R121:R142" si="18">F121*C89</f>
        <v>6617.2582838101234</v>
      </c>
    </row>
    <row r="122" spans="1:18">
      <c r="A122" s="392">
        <v>2010</v>
      </c>
      <c r="B122" s="393">
        <v>58772</v>
      </c>
      <c r="C122" s="375">
        <v>249609.2</v>
      </c>
      <c r="D122" s="393">
        <v>121888</v>
      </c>
      <c r="E122" s="375">
        <v>676493</v>
      </c>
      <c r="F122" s="428">
        <v>15524.5</v>
      </c>
      <c r="G122" s="306">
        <f t="shared" si="8"/>
        <v>2010</v>
      </c>
      <c r="H122" s="305">
        <f t="shared" si="10"/>
        <v>34620.333044375227</v>
      </c>
      <c r="I122" s="305">
        <f t="shared" si="11"/>
        <v>147035.21464200752</v>
      </c>
      <c r="J122" s="305">
        <f t="shared" si="12"/>
        <v>71799.550025740289</v>
      </c>
      <c r="K122" s="305">
        <f t="shared" si="13"/>
        <v>398496.10294338345</v>
      </c>
      <c r="L122" s="16"/>
      <c r="M122" s="306">
        <f t="shared" si="9"/>
        <v>2010</v>
      </c>
      <c r="N122" s="305">
        <f t="shared" si="14"/>
        <v>24151.666955624773</v>
      </c>
      <c r="O122" s="305">
        <f t="shared" si="15"/>
        <v>102573.98535799251</v>
      </c>
      <c r="P122" s="305">
        <f t="shared" si="16"/>
        <v>50088.449974259725</v>
      </c>
      <c r="Q122" s="305">
        <f t="shared" si="17"/>
        <v>277996.89705661661</v>
      </c>
      <c r="R122" s="377">
        <f t="shared" si="18"/>
        <v>6379.6119521642413</v>
      </c>
    </row>
    <row r="123" spans="1:18">
      <c r="A123" s="316">
        <v>2011</v>
      </c>
      <c r="B123" s="315">
        <v>84276.137236863375</v>
      </c>
      <c r="C123" s="315">
        <v>266213.09804153442</v>
      </c>
      <c r="D123" s="315">
        <v>162739.11451905966</v>
      </c>
      <c r="E123" s="315">
        <v>908201.66443562508</v>
      </c>
      <c r="F123" s="428">
        <v>23894.82</v>
      </c>
      <c r="G123" s="306">
        <f t="shared" ref="G123:G142" si="19">A123</f>
        <v>2011</v>
      </c>
      <c r="H123" s="305">
        <f t="shared" si="10"/>
        <v>48093.263533310805</v>
      </c>
      <c r="I123" s="305">
        <f t="shared" si="11"/>
        <v>151917.93430383297</v>
      </c>
      <c r="J123" s="305">
        <f t="shared" si="12"/>
        <v>92869.172441369461</v>
      </c>
      <c r="K123" s="305">
        <f t="shared" si="13"/>
        <v>518276.98113800812</v>
      </c>
      <c r="L123" s="16"/>
      <c r="M123" s="306">
        <f t="shared" si="9"/>
        <v>2011</v>
      </c>
      <c r="N123" s="305">
        <f t="shared" si="14"/>
        <v>36182.87370355257</v>
      </c>
      <c r="O123" s="305">
        <f t="shared" si="15"/>
        <v>114295.16373770144</v>
      </c>
      <c r="P123" s="305">
        <f t="shared" si="16"/>
        <v>69869.942077690197</v>
      </c>
      <c r="Q123" s="305">
        <f t="shared" si="17"/>
        <v>389924.6832976169</v>
      </c>
      <c r="R123" s="377">
        <f t="shared" si="18"/>
        <v>10258.933104624342</v>
      </c>
    </row>
    <row r="124" spans="1:18">
      <c r="A124" s="316">
        <v>2012</v>
      </c>
      <c r="B124" s="315">
        <v>94571.291793316603</v>
      </c>
      <c r="C124" s="315">
        <v>306651.20267379284</v>
      </c>
      <c r="D124" s="315">
        <v>183962.56421613693</v>
      </c>
      <c r="E124" s="315">
        <v>1026424.6039438248</v>
      </c>
      <c r="F124" s="428">
        <v>50566.100000000006</v>
      </c>
      <c r="G124" s="306">
        <f t="shared" si="19"/>
        <v>2012</v>
      </c>
      <c r="H124" s="305">
        <f t="shared" si="10"/>
        <v>53557.031283962206</v>
      </c>
      <c r="I124" s="305">
        <f t="shared" si="11"/>
        <v>173660.81972061633</v>
      </c>
      <c r="J124" s="305">
        <f t="shared" si="12"/>
        <v>104180.54591380586</v>
      </c>
      <c r="K124" s="305">
        <f t="shared" si="13"/>
        <v>581278.45757027983</v>
      </c>
      <c r="L124" s="16"/>
      <c r="M124" s="306">
        <f t="shared" si="9"/>
        <v>2012</v>
      </c>
      <c r="N124" s="305">
        <f t="shared" si="14"/>
        <v>41014.260509354397</v>
      </c>
      <c r="O124" s="305">
        <f t="shared" si="15"/>
        <v>132990.38295317651</v>
      </c>
      <c r="P124" s="305">
        <f t="shared" si="16"/>
        <v>79782.018302331067</v>
      </c>
      <c r="Q124" s="305">
        <f t="shared" si="17"/>
        <v>445146.14637354488</v>
      </c>
      <c r="R124" s="377">
        <f t="shared" si="18"/>
        <v>21929.817802157071</v>
      </c>
    </row>
    <row r="125" spans="1:18">
      <c r="A125" s="316">
        <v>2013</v>
      </c>
      <c r="B125" s="315">
        <v>104861.33074477315</v>
      </c>
      <c r="C125" s="315">
        <v>347069.21383714676</v>
      </c>
      <c r="D125" s="315">
        <v>205175.46809917688</v>
      </c>
      <c r="E125" s="315">
        <v>1144588.7991316319</v>
      </c>
      <c r="F125" s="428">
        <v>39935</v>
      </c>
      <c r="G125" s="306">
        <f t="shared" si="19"/>
        <v>2013</v>
      </c>
      <c r="H125" s="305">
        <f t="shared" si="10"/>
        <v>58648.861657833128</v>
      </c>
      <c r="I125" s="305">
        <f t="shared" si="11"/>
        <v>194115.54443812298</v>
      </c>
      <c r="J125" s="305">
        <f t="shared" si="12"/>
        <v>114754.48154876276</v>
      </c>
      <c r="K125" s="305">
        <f t="shared" si="13"/>
        <v>640167.63528172649</v>
      </c>
      <c r="L125" s="16"/>
      <c r="M125" s="306">
        <f t="shared" si="9"/>
        <v>2013</v>
      </c>
      <c r="N125" s="305">
        <f t="shared" si="14"/>
        <v>46212.469086940015</v>
      </c>
      <c r="O125" s="305">
        <f t="shared" si="15"/>
        <v>152953.66939902375</v>
      </c>
      <c r="P125" s="305">
        <f t="shared" si="16"/>
        <v>90420.98655041412</v>
      </c>
      <c r="Q125" s="305">
        <f t="shared" si="17"/>
        <v>504421.16384990531</v>
      </c>
      <c r="R125" s="377">
        <f t="shared" si="18"/>
        <v>17599.385205961054</v>
      </c>
    </row>
    <row r="126" spans="1:18">
      <c r="A126" s="316">
        <v>2014</v>
      </c>
      <c r="B126" s="315">
        <v>115146.25917258859</v>
      </c>
      <c r="C126" s="315">
        <v>387467.15149021149</v>
      </c>
      <c r="D126" s="315">
        <v>226377.83664339781</v>
      </c>
      <c r="E126" s="315">
        <v>1262694.3083498478</v>
      </c>
      <c r="F126" s="428">
        <v>32745.23</v>
      </c>
      <c r="G126" s="306">
        <f t="shared" si="19"/>
        <v>2014</v>
      </c>
      <c r="H126" s="305">
        <f t="shared" si="10"/>
        <v>63614.725628968496</v>
      </c>
      <c r="I126" s="305">
        <f t="shared" si="11"/>
        <v>214063.5458711937</v>
      </c>
      <c r="J126" s="305">
        <f t="shared" si="12"/>
        <v>125066.71141581869</v>
      </c>
      <c r="K126" s="305">
        <f t="shared" si="13"/>
        <v>697599.31895432249</v>
      </c>
      <c r="L126" s="16"/>
      <c r="M126" s="306">
        <f t="shared" si="9"/>
        <v>2014</v>
      </c>
      <c r="N126" s="305">
        <f t="shared" si="14"/>
        <v>51531.533543620106</v>
      </c>
      <c r="O126" s="305">
        <f t="shared" si="15"/>
        <v>173403.60561901782</v>
      </c>
      <c r="P126" s="305">
        <f t="shared" si="16"/>
        <v>101311.12522757915</v>
      </c>
      <c r="Q126" s="305">
        <f t="shared" si="17"/>
        <v>565094.98939552542</v>
      </c>
      <c r="R126" s="377">
        <f t="shared" si="18"/>
        <v>14654.509232552264</v>
      </c>
    </row>
    <row r="127" spans="1:18">
      <c r="A127" s="316">
        <v>2015</v>
      </c>
      <c r="B127" s="315">
        <v>125426.08215051889</v>
      </c>
      <c r="C127" s="315">
        <v>427845.03556203842</v>
      </c>
      <c r="D127" s="315">
        <v>247569.68030828238</v>
      </c>
      <c r="E127" s="315">
        <v>1380741.1898617744</v>
      </c>
      <c r="F127" s="377">
        <v>45865.58257142856</v>
      </c>
      <c r="G127" s="306">
        <f t="shared" si="19"/>
        <v>2015</v>
      </c>
      <c r="H127" s="305">
        <f t="shared" si="10"/>
        <v>68459.517243133785</v>
      </c>
      <c r="I127" s="305">
        <f t="shared" si="11"/>
        <v>233524.51170641452</v>
      </c>
      <c r="J127" s="305">
        <f t="shared" si="12"/>
        <v>135127.40338650416</v>
      </c>
      <c r="K127" s="305">
        <f t="shared" si="13"/>
        <v>753630.13557428704</v>
      </c>
      <c r="L127" s="16"/>
      <c r="M127" s="306">
        <f t="shared" si="9"/>
        <v>2015</v>
      </c>
      <c r="N127" s="305">
        <f t="shared" si="14"/>
        <v>56966.564907385102</v>
      </c>
      <c r="O127" s="305">
        <f t="shared" si="15"/>
        <v>194320.52385562391</v>
      </c>
      <c r="P127" s="305">
        <f t="shared" si="16"/>
        <v>112442.2769217782</v>
      </c>
      <c r="Q127" s="305">
        <f t="shared" si="17"/>
        <v>627111.05428748741</v>
      </c>
      <c r="R127" s="377">
        <f t="shared" si="18"/>
        <v>20831.430287639792</v>
      </c>
    </row>
    <row r="128" spans="1:18">
      <c r="A128" s="316">
        <v>2016</v>
      </c>
      <c r="B128" s="315">
        <v>135700.80474472046</v>
      </c>
      <c r="C128" s="315">
        <v>468202.88595211506</v>
      </c>
      <c r="D128" s="315">
        <v>268751.00953781605</v>
      </c>
      <c r="E128" s="315">
        <v>1498729.5018446445</v>
      </c>
      <c r="F128" s="377">
        <v>51756.057214285698</v>
      </c>
      <c r="G128" s="306">
        <f t="shared" si="19"/>
        <v>2016</v>
      </c>
      <c r="H128" s="305">
        <f t="shared" si="10"/>
        <v>73187.880014823328</v>
      </c>
      <c r="I128" s="305">
        <f t="shared" si="11"/>
        <v>252517.12179688149</v>
      </c>
      <c r="J128" s="305">
        <f t="shared" si="12"/>
        <v>144946.20482846894</v>
      </c>
      <c r="K128" s="305">
        <f t="shared" si="13"/>
        <v>808313.81333388388</v>
      </c>
      <c r="L128" s="16"/>
      <c r="M128" s="306">
        <f t="shared" si="9"/>
        <v>2016</v>
      </c>
      <c r="N128" s="305">
        <f t="shared" si="14"/>
        <v>62512.924729897117</v>
      </c>
      <c r="O128" s="305">
        <f t="shared" si="15"/>
        <v>215685.76415523354</v>
      </c>
      <c r="P128" s="305">
        <f t="shared" si="16"/>
        <v>123804.80470934708</v>
      </c>
      <c r="Q128" s="305">
        <f t="shared" si="17"/>
        <v>690415.68851076066</v>
      </c>
      <c r="R128" s="377">
        <f t="shared" si="18"/>
        <v>23842.323669630023</v>
      </c>
    </row>
    <row r="129" spans="1:18">
      <c r="A129" s="316">
        <v>2017</v>
      </c>
      <c r="B129" s="315">
        <v>145970.43201380968</v>
      </c>
      <c r="C129" s="315">
        <v>508540.72253012657</v>
      </c>
      <c r="D129" s="315">
        <v>289921.83476030827</v>
      </c>
      <c r="E129" s="315">
        <v>1616659.3023881912</v>
      </c>
      <c r="F129" s="377">
        <v>57646.531857142836</v>
      </c>
      <c r="G129" s="306">
        <f t="shared" si="19"/>
        <v>2017</v>
      </c>
      <c r="H129" s="305">
        <f t="shared" si="10"/>
        <v>77804.222756276678</v>
      </c>
      <c r="I129" s="305">
        <f t="shared" si="11"/>
        <v>271059.11183868127</v>
      </c>
      <c r="J129" s="305">
        <f t="shared" si="12"/>
        <v>154532.27549169288</v>
      </c>
      <c r="K129" s="305">
        <f t="shared" si="13"/>
        <v>861701.36478131311</v>
      </c>
      <c r="L129" s="16"/>
      <c r="M129" s="306">
        <f t="shared" si="9"/>
        <v>2017</v>
      </c>
      <c r="N129" s="305">
        <f t="shared" si="14"/>
        <v>68166.209257533017</v>
      </c>
      <c r="O129" s="305">
        <f t="shared" si="15"/>
        <v>237481.61069144538</v>
      </c>
      <c r="P129" s="305">
        <f t="shared" si="16"/>
        <v>135389.55926861544</v>
      </c>
      <c r="Q129" s="305">
        <f t="shared" si="17"/>
        <v>754957.93760687835</v>
      </c>
      <c r="R129" s="377">
        <f t="shared" si="18"/>
        <v>26920.147452692909</v>
      </c>
    </row>
    <row r="130" spans="1:18">
      <c r="A130" s="316">
        <v>2018</v>
      </c>
      <c r="B130" s="315">
        <v>156234.96900898218</v>
      </c>
      <c r="C130" s="315">
        <v>548858.56513619423</v>
      </c>
      <c r="D130" s="315">
        <v>311082.16638875008</v>
      </c>
      <c r="E130" s="315">
        <v>1734530.6494967937</v>
      </c>
      <c r="F130" s="377">
        <v>63537.006499999981</v>
      </c>
      <c r="G130" s="306">
        <f t="shared" si="19"/>
        <v>2018</v>
      </c>
      <c r="H130" s="305">
        <f t="shared" si="10"/>
        <v>82312.734221376653</v>
      </c>
      <c r="I130" s="305">
        <f t="shared" si="11"/>
        <v>289167.33228003746</v>
      </c>
      <c r="J130" s="305">
        <f t="shared" si="12"/>
        <v>163894.31793272303</v>
      </c>
      <c r="K130" s="305">
        <f t="shared" si="13"/>
        <v>913841.2562596862</v>
      </c>
      <c r="L130" s="16"/>
      <c r="M130" s="306">
        <f t="shared" si="9"/>
        <v>2018</v>
      </c>
      <c r="N130" s="305">
        <f t="shared" si="14"/>
        <v>73922.234787605528</v>
      </c>
      <c r="O130" s="305">
        <f t="shared" si="15"/>
        <v>259691.23285615677</v>
      </c>
      <c r="P130" s="305">
        <f t="shared" si="16"/>
        <v>147187.84845602704</v>
      </c>
      <c r="Q130" s="305">
        <f t="shared" si="17"/>
        <v>820689.39323710755</v>
      </c>
      <c r="R130" s="377">
        <f t="shared" si="18"/>
        <v>30062.396030715703</v>
      </c>
    </row>
    <row r="131" spans="1:18">
      <c r="A131" s="316">
        <v>2019</v>
      </c>
      <c r="B131" s="315">
        <v>166494.42077380419</v>
      </c>
      <c r="C131" s="315">
        <v>589156.43358123302</v>
      </c>
      <c r="D131" s="315">
        <v>332232.01482051611</v>
      </c>
      <c r="E131" s="315">
        <v>1852343.601088047</v>
      </c>
      <c r="F131" s="377">
        <v>69427.481142857127</v>
      </c>
      <c r="G131" s="306">
        <f t="shared" si="19"/>
        <v>2019</v>
      </c>
      <c r="H131" s="305">
        <f t="shared" si="10"/>
        <v>86717.396666472734</v>
      </c>
      <c r="I131" s="305">
        <f t="shared" si="11"/>
        <v>306857.80287423643</v>
      </c>
      <c r="J131" s="305">
        <f t="shared" si="12"/>
        <v>173040.60568872278</v>
      </c>
      <c r="K131" s="305">
        <f t="shared" si="13"/>
        <v>964779.56481426966</v>
      </c>
      <c r="L131" s="16"/>
      <c r="M131" s="306">
        <f t="shared" si="9"/>
        <v>2019</v>
      </c>
      <c r="N131" s="305">
        <f t="shared" si="14"/>
        <v>79777.024107331439</v>
      </c>
      <c r="O131" s="305">
        <f t="shared" si="15"/>
        <v>282298.63070699654</v>
      </c>
      <c r="P131" s="305">
        <f t="shared" si="16"/>
        <v>159191.40913179331</v>
      </c>
      <c r="Q131" s="305">
        <f t="shared" si="17"/>
        <v>887564.03627377725</v>
      </c>
      <c r="R131" s="377">
        <f t="shared" si="18"/>
        <v>33266.687322632853</v>
      </c>
    </row>
    <row r="132" spans="1:18">
      <c r="A132" s="316">
        <v>2020</v>
      </c>
      <c r="B132" s="315">
        <v>176748.79234445095</v>
      </c>
      <c r="C132" s="315">
        <v>629434.34764635563</v>
      </c>
      <c r="D132" s="315">
        <v>353371.39043754339</v>
      </c>
      <c r="E132" s="315">
        <v>1970098.214993</v>
      </c>
      <c r="F132" s="377">
        <v>75317.955785714264</v>
      </c>
      <c r="G132" s="306">
        <f t="shared" si="19"/>
        <v>2020</v>
      </c>
      <c r="H132" s="305">
        <f t="shared" si="10"/>
        <v>91021.998420830627</v>
      </c>
      <c r="I132" s="305">
        <f t="shared" si="11"/>
        <v>324145.76324703154</v>
      </c>
      <c r="J132" s="305">
        <f t="shared" si="12"/>
        <v>181979.00939368206</v>
      </c>
      <c r="K132" s="305">
        <f t="shared" si="13"/>
        <v>1014560.1236386832</v>
      </c>
      <c r="L132" s="16"/>
      <c r="M132" s="306">
        <f t="shared" si="9"/>
        <v>2020</v>
      </c>
      <c r="N132" s="305">
        <f t="shared" si="14"/>
        <v>85726.793923620338</v>
      </c>
      <c r="O132" s="305">
        <f t="shared" si="15"/>
        <v>305288.58439932414</v>
      </c>
      <c r="P132" s="305">
        <f t="shared" si="16"/>
        <v>171392.38104386136</v>
      </c>
      <c r="Q132" s="305">
        <f t="shared" si="17"/>
        <v>955538.09135431703</v>
      </c>
      <c r="R132" s="377">
        <f t="shared" si="18"/>
        <v>36530.755252953706</v>
      </c>
    </row>
    <row r="133" spans="1:18">
      <c r="A133" s="63">
        <v>2021</v>
      </c>
      <c r="B133" s="298">
        <v>186998.08874952793</v>
      </c>
      <c r="C133" s="298">
        <v>669692.32708358765</v>
      </c>
      <c r="D133" s="298">
        <v>374500.30360645056</v>
      </c>
      <c r="E133" s="298">
        <v>2087794.54895854</v>
      </c>
      <c r="F133" s="377">
        <v>81208.430428571402</v>
      </c>
      <c r="G133" s="306">
        <f t="shared" si="19"/>
        <v>2021</v>
      </c>
      <c r="H133" s="305">
        <f t="shared" si="10"/>
        <v>95230.145549658075</v>
      </c>
      <c r="I133" s="305">
        <f t="shared" si="11"/>
        <v>341045.71981525276</v>
      </c>
      <c r="J133" s="305">
        <f t="shared" si="12"/>
        <v>190717.02100978536</v>
      </c>
      <c r="K133" s="305">
        <f t="shared" si="13"/>
        <v>1063224.6570253056</v>
      </c>
      <c r="L133" s="16"/>
      <c r="M133" s="306">
        <f t="shared" si="9"/>
        <v>2021</v>
      </c>
      <c r="N133" s="305">
        <f t="shared" si="14"/>
        <v>91767.943199869856</v>
      </c>
      <c r="O133" s="305">
        <f t="shared" si="15"/>
        <v>328646.60726833489</v>
      </c>
      <c r="P133" s="305">
        <f t="shared" si="16"/>
        <v>183783.2825966652</v>
      </c>
      <c r="Q133" s="305">
        <f t="shared" si="17"/>
        <v>1024569.8919332343</v>
      </c>
      <c r="R133" s="377">
        <f t="shared" si="18"/>
        <v>39852.442774972136</v>
      </c>
    </row>
    <row r="134" spans="1:18">
      <c r="A134" s="63">
        <v>2022</v>
      </c>
      <c r="B134" s="298">
        <v>197242.31501027942</v>
      </c>
      <c r="C134" s="298">
        <v>709930.39161550999</v>
      </c>
      <c r="D134" s="298">
        <v>395618.76467835903</v>
      </c>
      <c r="E134" s="298">
        <v>2205432.6606440544</v>
      </c>
      <c r="F134" s="377">
        <v>87098.90507142854</v>
      </c>
      <c r="G134" s="306">
        <f t="shared" si="19"/>
        <v>2022</v>
      </c>
      <c r="H134" s="305">
        <f t="shared" si="10"/>
        <v>99345.272685606426</v>
      </c>
      <c r="I134" s="305">
        <f t="shared" si="11"/>
        <v>357571.48935899773</v>
      </c>
      <c r="J134" s="305">
        <f t="shared" si="12"/>
        <v>199261.77633063192</v>
      </c>
      <c r="K134" s="305">
        <f t="shared" si="13"/>
        <v>1110812.905689165</v>
      </c>
      <c r="L134" s="16"/>
      <c r="M134" s="306">
        <f t="shared" si="9"/>
        <v>2022</v>
      </c>
      <c r="N134" s="305">
        <f t="shared" si="14"/>
        <v>97897.042324672962</v>
      </c>
      <c r="O134" s="305">
        <f t="shared" si="15"/>
        <v>352358.9022565122</v>
      </c>
      <c r="P134" s="305">
        <f t="shared" si="16"/>
        <v>196356.98834772708</v>
      </c>
      <c r="Q134" s="305">
        <f t="shared" si="17"/>
        <v>1094619.7549548892</v>
      </c>
      <c r="R134" s="377">
        <f t="shared" si="18"/>
        <v>43229.695391508343</v>
      </c>
    </row>
    <row r="135" spans="1:18">
      <c r="A135" s="63">
        <v>2023</v>
      </c>
      <c r="B135" s="298">
        <v>207481.47614037991</v>
      </c>
      <c r="C135" s="298">
        <v>750148.56093549728</v>
      </c>
      <c r="D135" s="298">
        <v>416726.78398913145</v>
      </c>
      <c r="E135" s="298">
        <v>2323012.6076242924</v>
      </c>
      <c r="F135" s="377">
        <v>92989.379714285678</v>
      </c>
      <c r="G135" s="306">
        <f t="shared" si="19"/>
        <v>2023</v>
      </c>
      <c r="H135" s="305">
        <f t="shared" si="10"/>
        <v>103370.65309671656</v>
      </c>
      <c r="I135" s="305">
        <f t="shared" si="11"/>
        <v>373736.23952337494</v>
      </c>
      <c r="J135" s="305">
        <f t="shared" si="12"/>
        <v>207620.07589875231</v>
      </c>
      <c r="K135" s="305">
        <f t="shared" si="13"/>
        <v>1157362.7432627247</v>
      </c>
      <c r="L135" s="16"/>
      <c r="M135" s="306">
        <f t="shared" si="9"/>
        <v>2023</v>
      </c>
      <c r="N135" s="305">
        <f t="shared" si="14"/>
        <v>104110.82304366336</v>
      </c>
      <c r="O135" s="305">
        <f t="shared" si="15"/>
        <v>376412.32141212234</v>
      </c>
      <c r="P135" s="305">
        <f t="shared" si="16"/>
        <v>209106.70809037916</v>
      </c>
      <c r="Q135" s="305">
        <f t="shared" si="17"/>
        <v>1165649.8643615677</v>
      </c>
      <c r="R135" s="377">
        <f t="shared" si="18"/>
        <v>46660.555132275091</v>
      </c>
    </row>
    <row r="136" spans="1:18">
      <c r="A136" s="63">
        <v>2024</v>
      </c>
      <c r="B136" s="298">
        <v>217715.57714617252</v>
      </c>
      <c r="C136" s="298">
        <v>790346.85470759869</v>
      </c>
      <c r="D136" s="298">
        <v>437824.37185925245</v>
      </c>
      <c r="E136" s="298">
        <v>2440534.4473884106</v>
      </c>
      <c r="F136" s="377">
        <v>98879.854357142816</v>
      </c>
      <c r="G136" s="306">
        <f t="shared" si="19"/>
        <v>2024</v>
      </c>
      <c r="H136" s="305">
        <f t="shared" si="10"/>
        <v>107309.40805328495</v>
      </c>
      <c r="I136" s="305">
        <f t="shared" si="11"/>
        <v>389552.52649885562</v>
      </c>
      <c r="J136" s="305">
        <f t="shared" si="12"/>
        <v>215798.40446590504</v>
      </c>
      <c r="K136" s="305">
        <f t="shared" si="13"/>
        <v>1202910.284674159</v>
      </c>
      <c r="L136" s="16"/>
      <c r="M136" s="306">
        <f t="shared" si="9"/>
        <v>2024</v>
      </c>
      <c r="N136" s="305">
        <f t="shared" si="14"/>
        <v>110406.16909288756</v>
      </c>
      <c r="O136" s="305">
        <f t="shared" si="15"/>
        <v>400794.32820874301</v>
      </c>
      <c r="P136" s="305">
        <f t="shared" si="16"/>
        <v>222025.96739334738</v>
      </c>
      <c r="Q136" s="305">
        <f t="shared" si="17"/>
        <v>1237624.1627142513</v>
      </c>
      <c r="R136" s="377">
        <f t="shared" si="18"/>
        <v>50143.154950760611</v>
      </c>
    </row>
    <row r="137" spans="1:18">
      <c r="A137" s="63">
        <v>2025</v>
      </c>
      <c r="B137" s="298">
        <v>227944.62302652001</v>
      </c>
      <c r="C137" s="298">
        <v>830525.29256689548</v>
      </c>
      <c r="D137" s="298">
        <v>458911.53859388828</v>
      </c>
      <c r="E137" s="298">
        <v>2557998.2373402119</v>
      </c>
      <c r="F137" s="377">
        <v>104770.32899999995</v>
      </c>
      <c r="G137" s="306">
        <f t="shared" si="19"/>
        <v>2025</v>
      </c>
      <c r="H137" s="305">
        <f t="shared" si="10"/>
        <v>111164.51554956517</v>
      </c>
      <c r="I137" s="305">
        <f t="shared" si="11"/>
        <v>405032.33010729257</v>
      </c>
      <c r="J137" s="305">
        <f t="shared" si="12"/>
        <v>223802.94911347795</v>
      </c>
      <c r="K137" s="305">
        <f t="shared" si="13"/>
        <v>1247489.9870635809</v>
      </c>
      <c r="L137" s="16"/>
      <c r="M137" s="306">
        <f t="shared" si="9"/>
        <v>2025</v>
      </c>
      <c r="N137" s="305">
        <f t="shared" si="14"/>
        <v>116780.10747695483</v>
      </c>
      <c r="O137" s="305">
        <f t="shared" si="15"/>
        <v>425492.96245960286</v>
      </c>
      <c r="P137" s="305">
        <f t="shared" si="16"/>
        <v>235108.5894804103</v>
      </c>
      <c r="Q137" s="305">
        <f t="shared" si="17"/>
        <v>1310508.2502766307</v>
      </c>
      <c r="R137" s="377">
        <f t="shared" si="18"/>
        <v>53675.713506926775</v>
      </c>
    </row>
    <row r="138" spans="1:18">
      <c r="A138" s="63">
        <v>2026</v>
      </c>
      <c r="B138" s="298">
        <v>238168.61877298355</v>
      </c>
      <c r="C138" s="298">
        <v>870683.89411950111</v>
      </c>
      <c r="D138" s="298">
        <v>479988.294483006</v>
      </c>
      <c r="E138" s="298">
        <v>2675404.0347993374</v>
      </c>
      <c r="F138" s="377">
        <v>110660.80364285709</v>
      </c>
      <c r="G138" s="306">
        <f t="shared" si="19"/>
        <v>2026</v>
      </c>
      <c r="H138" s="305">
        <f t="shared" si="10"/>
        <v>114938.81843188815</v>
      </c>
      <c r="I138" s="305">
        <f t="shared" si="11"/>
        <v>420187.08649925055</v>
      </c>
      <c r="J138" s="305">
        <f t="shared" si="12"/>
        <v>231639.61613935331</v>
      </c>
      <c r="K138" s="305">
        <f t="shared" si="13"/>
        <v>1291134.7438297521</v>
      </c>
      <c r="L138" s="16"/>
      <c r="M138" s="306">
        <f t="shared" si="9"/>
        <v>2026</v>
      </c>
      <c r="N138" s="305">
        <f t="shared" si="14"/>
        <v>123229.80034109541</v>
      </c>
      <c r="O138" s="305">
        <f t="shared" si="15"/>
        <v>450496.80762025062</v>
      </c>
      <c r="P138" s="305">
        <f t="shared" si="16"/>
        <v>248348.67834365272</v>
      </c>
      <c r="Q138" s="305">
        <f t="shared" si="17"/>
        <v>1384269.2909695855</v>
      </c>
      <c r="R138" s="377">
        <f t="shared" si="18"/>
        <v>57256.530305080276</v>
      </c>
    </row>
    <row r="139" spans="1:18">
      <c r="A139" s="63">
        <v>2027</v>
      </c>
      <c r="B139" s="298">
        <v>248387.56936955452</v>
      </c>
      <c r="C139" s="298">
        <v>910822.67894220352</v>
      </c>
      <c r="D139" s="298">
        <v>501054.64980137348</v>
      </c>
      <c r="E139" s="298">
        <v>2792751.8969991207</v>
      </c>
      <c r="F139" s="377">
        <v>116551.27828571423</v>
      </c>
      <c r="G139" s="306">
        <f t="shared" si="19"/>
        <v>2027</v>
      </c>
      <c r="H139" s="305">
        <f t="shared" si="10"/>
        <v>118635.03197944714</v>
      </c>
      <c r="I139" s="305">
        <f t="shared" si="11"/>
        <v>435027.71865023393</v>
      </c>
      <c r="J139" s="305">
        <f t="shared" si="12"/>
        <v>239314.04680802301</v>
      </c>
      <c r="K139" s="305">
        <f t="shared" si="13"/>
        <v>1333875.9723447047</v>
      </c>
      <c r="L139" s="16"/>
      <c r="M139" s="306">
        <f t="shared" si="9"/>
        <v>2027</v>
      </c>
      <c r="N139" s="305">
        <f t="shared" si="14"/>
        <v>129752.53739010739</v>
      </c>
      <c r="O139" s="305">
        <f t="shared" si="15"/>
        <v>475794.96029196965</v>
      </c>
      <c r="P139" s="305">
        <f t="shared" si="16"/>
        <v>261740.60299335051</v>
      </c>
      <c r="Q139" s="305">
        <f t="shared" si="17"/>
        <v>1458875.924654416</v>
      </c>
      <c r="R139" s="377">
        <f t="shared" si="18"/>
        <v>60883.981159024901</v>
      </c>
    </row>
    <row r="140" spans="1:18">
      <c r="A140" s="63">
        <v>2028</v>
      </c>
      <c r="B140" s="298">
        <v>258601.47979301214</v>
      </c>
      <c r="C140" s="298">
        <v>950941.6665828228</v>
      </c>
      <c r="D140" s="298">
        <v>522110.6148083806</v>
      </c>
      <c r="E140" s="298">
        <v>2910041.8810896873</v>
      </c>
      <c r="F140" s="377">
        <v>122441.75292857138</v>
      </c>
      <c r="G140" s="306">
        <f t="shared" si="19"/>
        <v>2028</v>
      </c>
      <c r="H140" s="305">
        <f t="shared" si="10"/>
        <v>122255.75098075937</v>
      </c>
      <c r="I140" s="305">
        <f t="shared" si="11"/>
        <v>449564.66482725588</v>
      </c>
      <c r="J140" s="305">
        <f t="shared" si="12"/>
        <v>246831.63205220521</v>
      </c>
      <c r="K140" s="305">
        <f t="shared" si="13"/>
        <v>1375743.6958320718</v>
      </c>
      <c r="L140" s="16"/>
      <c r="M140" s="306">
        <f t="shared" si="9"/>
        <v>2028</v>
      </c>
      <c r="N140" s="305">
        <f t="shared" si="14"/>
        <v>136345.72881225278</v>
      </c>
      <c r="O140" s="305">
        <f t="shared" si="15"/>
        <v>501377.00175556692</v>
      </c>
      <c r="P140" s="305">
        <f t="shared" si="16"/>
        <v>275278.98275617539</v>
      </c>
      <c r="Q140" s="305">
        <f t="shared" si="17"/>
        <v>1534298.1852576155</v>
      </c>
      <c r="R140" s="377">
        <f t="shared" si="18"/>
        <v>64556.513959078133</v>
      </c>
    </row>
    <row r="141" spans="1:18">
      <c r="A141" s="63">
        <v>2029</v>
      </c>
      <c r="B141" s="298">
        <v>268810.35501271486</v>
      </c>
      <c r="C141" s="298">
        <v>991040.87656056881</v>
      </c>
      <c r="D141" s="298">
        <v>543156.19974845648</v>
      </c>
      <c r="E141" s="298">
        <v>3027274.0441358089</v>
      </c>
      <c r="F141" s="377">
        <v>128332.22757142852</v>
      </c>
      <c r="G141" s="306">
        <f t="shared" si="19"/>
        <v>2029</v>
      </c>
      <c r="H141" s="305">
        <f t="shared" si="10"/>
        <v>125803.45634398359</v>
      </c>
      <c r="I141" s="305">
        <f t="shared" si="11"/>
        <v>463807.90518130711</v>
      </c>
      <c r="J141" s="305">
        <f t="shared" si="12"/>
        <v>254197.52620685648</v>
      </c>
      <c r="K141" s="305">
        <f t="shared" si="13"/>
        <v>1416766.6198524975</v>
      </c>
      <c r="L141" s="16"/>
      <c r="M141" s="306">
        <f t="shared" si="9"/>
        <v>2029</v>
      </c>
      <c r="N141" s="305">
        <f t="shared" si="14"/>
        <v>143006.89866873127</v>
      </c>
      <c r="O141" s="305">
        <f t="shared" si="15"/>
        <v>527232.9713792617</v>
      </c>
      <c r="P141" s="305">
        <f t="shared" si="16"/>
        <v>288958.6735416</v>
      </c>
      <c r="Q141" s="305">
        <f t="shared" si="17"/>
        <v>1610507.4242833115</v>
      </c>
      <c r="R141" s="377">
        <f t="shared" si="18"/>
        <v>68272.644717766772</v>
      </c>
    </row>
    <row r="142" spans="1:18">
      <c r="A142" s="63">
        <v>2030</v>
      </c>
      <c r="B142" s="298">
        <v>279014.19999065995</v>
      </c>
      <c r="C142" s="298">
        <v>1031120.3283655643</v>
      </c>
      <c r="D142" s="298">
        <v>564191.41485071182</v>
      </c>
      <c r="E142" s="298">
        <v>3144448.443117857</v>
      </c>
      <c r="F142" s="377">
        <v>134222.70221428567</v>
      </c>
      <c r="G142" s="306">
        <f t="shared" si="19"/>
        <v>2030</v>
      </c>
      <c r="H142" s="305">
        <f>B110*B142</f>
        <v>129280.52127689405</v>
      </c>
      <c r="I142" s="305">
        <f t="shared" si="11"/>
        <v>477766.98660772352</v>
      </c>
      <c r="J142" s="305">
        <f>+B110*D142</f>
        <v>261416.65984845953</v>
      </c>
      <c r="K142" s="305">
        <f t="shared" si="13"/>
        <v>1456972.2038097084</v>
      </c>
      <c r="L142" s="16"/>
      <c r="M142" s="306">
        <f t="shared" si="9"/>
        <v>2030</v>
      </c>
      <c r="N142" s="305">
        <f t="shared" si="14"/>
        <v>149733.6787137659</v>
      </c>
      <c r="O142" s="305">
        <f t="shared" si="15"/>
        <v>553353.34175784083</v>
      </c>
      <c r="P142" s="305">
        <f t="shared" si="16"/>
        <v>302774.75500225229</v>
      </c>
      <c r="Q142" s="305">
        <f t="shared" si="17"/>
        <v>1687476.2393081486</v>
      </c>
      <c r="R142" s="377">
        <f t="shared" si="18"/>
        <v>72030.953873029037</v>
      </c>
    </row>
    <row r="143" spans="1:18">
      <c r="G143" s="16"/>
      <c r="H143" s="16"/>
      <c r="I143" s="305"/>
      <c r="J143" s="16"/>
      <c r="K143" s="16"/>
      <c r="L143" s="16"/>
      <c r="M143" s="16"/>
    </row>
    <row r="146" spans="1:1">
      <c r="A146" t="s">
        <v>452</v>
      </c>
    </row>
  </sheetData>
  <mergeCells count="7">
    <mergeCell ref="J55:J57"/>
    <mergeCell ref="I56:I57"/>
    <mergeCell ref="A3:A4"/>
    <mergeCell ref="B56:C56"/>
    <mergeCell ref="E56:G56"/>
    <mergeCell ref="D56:D57"/>
    <mergeCell ref="H56:H5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H50"/>
  <sheetViews>
    <sheetView workbookViewId="0">
      <selection activeCell="C5" sqref="C5"/>
    </sheetView>
  </sheetViews>
  <sheetFormatPr defaultRowHeight="15"/>
  <cols>
    <col min="1" max="1" width="5.7109375" style="29" customWidth="1"/>
    <col min="2" max="2" width="29.42578125" style="29" customWidth="1"/>
    <col min="3" max="3" width="16.7109375" style="29" customWidth="1"/>
    <col min="4" max="4" width="18.28515625" style="29" customWidth="1"/>
    <col min="5" max="5" width="12.5703125" style="29" customWidth="1"/>
    <col min="6" max="6" width="14" style="29" customWidth="1"/>
    <col min="7" max="7" width="13.28515625" style="29" customWidth="1"/>
    <col min="8" max="9" width="14.140625" style="29" customWidth="1"/>
    <col min="10" max="10" width="15.28515625" style="29" bestFit="1" customWidth="1"/>
    <col min="11" max="16384" width="9.140625" style="29"/>
  </cols>
  <sheetData>
    <row r="1" spans="1:8">
      <c r="A1" s="28" t="s">
        <v>54</v>
      </c>
    </row>
    <row r="3" spans="1:8" ht="16.5" thickBot="1">
      <c r="A3" s="50" t="s">
        <v>323</v>
      </c>
    </row>
    <row r="4" spans="1:8" ht="30.75" customHeight="1" thickBot="1">
      <c r="A4" s="60" t="s">
        <v>55</v>
      </c>
      <c r="B4" s="61" t="s">
        <v>56</v>
      </c>
      <c r="C4" s="61" t="s">
        <v>57</v>
      </c>
      <c r="D4" s="62" t="s">
        <v>58</v>
      </c>
    </row>
    <row r="5" spans="1:8">
      <c r="A5" s="57">
        <v>1</v>
      </c>
      <c r="B5" s="58" t="s">
        <v>59</v>
      </c>
      <c r="C5" s="58">
        <v>47</v>
      </c>
      <c r="D5" s="59">
        <v>0.72</v>
      </c>
    </row>
    <row r="6" spans="1:8">
      <c r="A6" s="52">
        <v>2</v>
      </c>
      <c r="B6" s="51" t="s">
        <v>60</v>
      </c>
      <c r="C6" s="51">
        <v>61</v>
      </c>
      <c r="D6" s="53">
        <v>0.75</v>
      </c>
    </row>
    <row r="7" spans="1:8">
      <c r="A7" s="52">
        <v>3</v>
      </c>
      <c r="B7" s="51" t="s">
        <v>19</v>
      </c>
      <c r="C7" s="51">
        <v>55</v>
      </c>
      <c r="D7" s="53">
        <v>0.72</v>
      </c>
    </row>
    <row r="8" spans="1:8">
      <c r="A8" s="52">
        <v>4</v>
      </c>
      <c r="B8" s="51" t="s">
        <v>61</v>
      </c>
      <c r="C8" s="51">
        <v>5</v>
      </c>
      <c r="D8" s="53"/>
    </row>
    <row r="9" spans="1:8">
      <c r="A9" s="52">
        <v>5</v>
      </c>
      <c r="B9" s="51" t="s">
        <v>20</v>
      </c>
      <c r="C9" s="51">
        <v>5</v>
      </c>
      <c r="D9" s="53"/>
    </row>
    <row r="10" spans="1:8">
      <c r="A10" s="52">
        <v>6</v>
      </c>
      <c r="B10" s="51" t="s">
        <v>62</v>
      </c>
      <c r="C10" s="51">
        <v>1</v>
      </c>
      <c r="D10" s="53"/>
    </row>
    <row r="11" spans="1:8" ht="15.75" thickBot="1">
      <c r="A11" s="54">
        <v>7</v>
      </c>
      <c r="B11" s="55" t="s">
        <v>21</v>
      </c>
      <c r="C11" s="55">
        <v>18</v>
      </c>
      <c r="D11" s="56"/>
    </row>
    <row r="13" spans="1:8" ht="16.5" thickBot="1">
      <c r="A13" s="50" t="s">
        <v>324</v>
      </c>
      <c r="H13" s="30"/>
    </row>
    <row r="14" spans="1:8" ht="30.75" thickBot="1">
      <c r="A14" s="60" t="s">
        <v>55</v>
      </c>
      <c r="B14" s="61" t="s">
        <v>56</v>
      </c>
      <c r="C14" s="62" t="s">
        <v>57</v>
      </c>
      <c r="H14" s="30"/>
    </row>
    <row r="15" spans="1:8">
      <c r="A15" s="57">
        <v>1</v>
      </c>
      <c r="B15" s="58" t="s">
        <v>59</v>
      </c>
      <c r="C15" s="59">
        <v>1</v>
      </c>
      <c r="H15" s="30"/>
    </row>
    <row r="16" spans="1:8">
      <c r="A16" s="52">
        <v>2</v>
      </c>
      <c r="B16" s="51" t="s">
        <v>60</v>
      </c>
      <c r="C16" s="53">
        <v>31</v>
      </c>
      <c r="H16" s="30"/>
    </row>
    <row r="17" spans="1:8">
      <c r="A17" s="52">
        <v>3</v>
      </c>
      <c r="B17" s="51" t="s">
        <v>19</v>
      </c>
      <c r="C17" s="53">
        <v>2</v>
      </c>
      <c r="H17" s="30"/>
    </row>
    <row r="18" spans="1:8">
      <c r="A18" s="52">
        <v>4</v>
      </c>
      <c r="B18" s="51" t="s">
        <v>61</v>
      </c>
      <c r="C18" s="53">
        <v>0.2</v>
      </c>
      <c r="H18" s="30"/>
    </row>
    <row r="19" spans="1:8">
      <c r="A19" s="52">
        <v>5</v>
      </c>
      <c r="B19" s="51" t="s">
        <v>20</v>
      </c>
      <c r="C19" s="53">
        <v>0.22</v>
      </c>
      <c r="H19" s="30"/>
    </row>
    <row r="20" spans="1:8">
      <c r="A20" s="52">
        <v>6</v>
      </c>
      <c r="B20" s="51" t="s">
        <v>62</v>
      </c>
      <c r="C20" s="53">
        <v>7</v>
      </c>
      <c r="H20" s="30"/>
    </row>
    <row r="21" spans="1:8">
      <c r="A21" s="52">
        <v>7</v>
      </c>
      <c r="B21" s="51" t="s">
        <v>21</v>
      </c>
      <c r="C21" s="53">
        <v>2.19</v>
      </c>
      <c r="H21" s="30"/>
    </row>
    <row r="22" spans="1:8">
      <c r="A22" s="52">
        <v>8</v>
      </c>
      <c r="B22" s="51" t="s">
        <v>63</v>
      </c>
      <c r="C22" s="53">
        <v>0.02</v>
      </c>
      <c r="H22" s="30"/>
    </row>
    <row r="23" spans="1:8">
      <c r="A23" s="52">
        <v>9</v>
      </c>
      <c r="B23" s="51" t="s">
        <v>64</v>
      </c>
      <c r="C23" s="53">
        <v>0.02</v>
      </c>
    </row>
    <row r="24" spans="1:8">
      <c r="A24" s="52">
        <v>10</v>
      </c>
      <c r="B24" s="51" t="s">
        <v>65</v>
      </c>
      <c r="C24" s="53">
        <v>0.02</v>
      </c>
    </row>
    <row r="25" spans="1:8" ht="15.75" thickBot="1">
      <c r="A25" s="54">
        <v>11</v>
      </c>
      <c r="B25" s="55" t="s">
        <v>66</v>
      </c>
      <c r="C25" s="56">
        <v>0.02</v>
      </c>
    </row>
    <row r="26" spans="1:8">
      <c r="A26" s="30"/>
    </row>
    <row r="27" spans="1:8" ht="16.5" thickBot="1">
      <c r="A27" s="50" t="s">
        <v>325</v>
      </c>
    </row>
    <row r="28" spans="1:8" ht="45.75" thickBot="1">
      <c r="A28" s="72" t="s">
        <v>55</v>
      </c>
      <c r="B28" s="73" t="s">
        <v>77</v>
      </c>
      <c r="C28" s="73" t="s">
        <v>78</v>
      </c>
      <c r="D28" s="74" t="s">
        <v>79</v>
      </c>
    </row>
    <row r="29" spans="1:8">
      <c r="A29" s="69">
        <v>1</v>
      </c>
      <c r="B29" s="70" t="s">
        <v>80</v>
      </c>
      <c r="C29" s="70" t="s">
        <v>81</v>
      </c>
      <c r="D29" s="71" t="s">
        <v>81</v>
      </c>
    </row>
    <row r="30" spans="1:8">
      <c r="A30" s="64">
        <v>2</v>
      </c>
      <c r="B30" s="63" t="s">
        <v>82</v>
      </c>
      <c r="C30" s="63">
        <v>0</v>
      </c>
      <c r="D30" s="65">
        <v>0.01</v>
      </c>
    </row>
    <row r="31" spans="1:8">
      <c r="A31" s="64">
        <v>3</v>
      </c>
      <c r="B31" s="63" t="s">
        <v>83</v>
      </c>
      <c r="C31" s="63">
        <v>0.02</v>
      </c>
      <c r="D31" s="65">
        <v>0.01</v>
      </c>
    </row>
    <row r="32" spans="1:8">
      <c r="A32" s="64">
        <v>4</v>
      </c>
      <c r="B32" s="63" t="s">
        <v>84</v>
      </c>
      <c r="C32" s="63">
        <v>0.01</v>
      </c>
      <c r="D32" s="65">
        <v>0.01</v>
      </c>
    </row>
    <row r="33" spans="1:7" ht="15.75" thickBot="1">
      <c r="A33" s="66">
        <v>5</v>
      </c>
      <c r="B33" s="67" t="s">
        <v>85</v>
      </c>
      <c r="C33" s="67">
        <v>0.01</v>
      </c>
      <c r="D33" s="68">
        <v>0.01</v>
      </c>
    </row>
    <row r="34" spans="1:7" ht="44.25" customHeight="1">
      <c r="A34" s="31"/>
      <c r="B34" s="31"/>
      <c r="C34" s="31"/>
      <c r="D34" s="32"/>
      <c r="E34" s="32"/>
      <c r="F34" s="32"/>
      <c r="G34" s="32"/>
    </row>
    <row r="35" spans="1:7">
      <c r="A35" s="33"/>
      <c r="B35" s="33"/>
      <c r="C35" s="33"/>
      <c r="D35" s="33"/>
      <c r="E35" s="33"/>
      <c r="F35" s="33"/>
      <c r="G35" s="33"/>
    </row>
    <row r="36" spans="1:7">
      <c r="A36" s="30"/>
      <c r="C36" s="34"/>
      <c r="E36" s="35"/>
      <c r="G36" s="35"/>
    </row>
    <row r="40" spans="1:7">
      <c r="E40" s="36"/>
    </row>
    <row r="41" spans="1:7">
      <c r="F41" s="37"/>
    </row>
    <row r="42" spans="1:7">
      <c r="F42" s="37"/>
    </row>
    <row r="43" spans="1:7">
      <c r="F43" s="37"/>
    </row>
    <row r="44" spans="1:7">
      <c r="F44" s="37"/>
    </row>
    <row r="45" spans="1:7">
      <c r="F45" s="37"/>
    </row>
    <row r="46" spans="1:7">
      <c r="F46" s="37"/>
    </row>
    <row r="47" spans="1:7">
      <c r="F47" s="37"/>
    </row>
    <row r="48" spans="1:7">
      <c r="F48" s="37"/>
    </row>
    <row r="49" spans="6:6">
      <c r="F49" s="37"/>
    </row>
    <row r="50" spans="6:6">
      <c r="F50" s="37"/>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sheetPr>
    <tabColor rgb="FFFFFF00"/>
  </sheetPr>
  <dimension ref="B1:AI54"/>
  <sheetViews>
    <sheetView zoomScale="40" zoomScaleNormal="40" workbookViewId="0">
      <selection activeCell="C3" sqref="C3"/>
    </sheetView>
  </sheetViews>
  <sheetFormatPr defaultRowHeight="15"/>
  <cols>
    <col min="1" max="1" width="3.42578125" customWidth="1"/>
    <col min="2" max="2" width="14.85546875" customWidth="1"/>
    <col min="3" max="3" width="17" customWidth="1"/>
    <col min="4" max="4" width="20" customWidth="1"/>
    <col min="5" max="5" width="25.7109375" customWidth="1"/>
    <col min="6" max="6" width="20.7109375" customWidth="1"/>
    <col min="7" max="7" width="25.140625" customWidth="1"/>
    <col min="8" max="8" width="16.85546875" customWidth="1"/>
    <col min="9" max="9" width="13.140625" customWidth="1"/>
    <col min="10" max="10" width="13" customWidth="1"/>
    <col min="11" max="11" width="12.28515625" customWidth="1"/>
    <col min="12" max="12" width="12.7109375" customWidth="1"/>
    <col min="13" max="13" width="12" customWidth="1"/>
    <col min="14" max="14" width="13.7109375" customWidth="1"/>
    <col min="15" max="18" width="14.28515625" bestFit="1" customWidth="1"/>
    <col min="19" max="34" width="15.28515625" bestFit="1" customWidth="1"/>
  </cols>
  <sheetData>
    <row r="1" spans="2:14" ht="15.75">
      <c r="D1" s="421" t="s">
        <v>536</v>
      </c>
    </row>
    <row r="2" spans="2:14">
      <c r="B2" t="s">
        <v>0</v>
      </c>
      <c r="C2" t="s">
        <v>2</v>
      </c>
    </row>
    <row r="3" spans="2:14">
      <c r="B3" t="s">
        <v>1</v>
      </c>
      <c r="C3" t="s">
        <v>75</v>
      </c>
    </row>
    <row r="4" spans="2:14" ht="15.75" thickBot="1"/>
    <row r="5" spans="2:14">
      <c r="B5" s="42" t="s">
        <v>3</v>
      </c>
      <c r="C5" s="498" t="s">
        <v>4</v>
      </c>
      <c r="D5" s="500"/>
      <c r="E5" s="44" t="s">
        <v>8</v>
      </c>
      <c r="F5" s="498" t="s">
        <v>14</v>
      </c>
      <c r="G5" s="499"/>
      <c r="H5" s="199"/>
    </row>
    <row r="6" spans="2:14" ht="33">
      <c r="B6" s="75" t="s">
        <v>10</v>
      </c>
      <c r="C6" s="76" t="s">
        <v>5</v>
      </c>
      <c r="D6" s="22" t="s">
        <v>6</v>
      </c>
      <c r="E6" s="21" t="s">
        <v>13</v>
      </c>
      <c r="F6" s="21" t="s">
        <v>53</v>
      </c>
      <c r="G6" s="18" t="s">
        <v>15</v>
      </c>
      <c r="H6" s="200" t="s">
        <v>359</v>
      </c>
    </row>
    <row r="7" spans="2:14" ht="18">
      <c r="B7" s="5"/>
      <c r="C7" s="7" t="s">
        <v>443</v>
      </c>
      <c r="D7" s="7" t="s">
        <v>7</v>
      </c>
      <c r="E7" s="1" t="s">
        <v>531</v>
      </c>
      <c r="F7" s="9" t="s">
        <v>7</v>
      </c>
      <c r="G7" s="1" t="s">
        <v>531</v>
      </c>
      <c r="H7" s="1" t="s">
        <v>531</v>
      </c>
    </row>
    <row r="8" spans="2:14" ht="18.75">
      <c r="B8" s="5"/>
      <c r="C8" s="7"/>
      <c r="D8" s="7"/>
      <c r="E8" s="9" t="s">
        <v>16</v>
      </c>
      <c r="F8" s="9"/>
      <c r="G8" s="1" t="s">
        <v>17</v>
      </c>
      <c r="H8" s="3"/>
    </row>
    <row r="9" spans="2:14" ht="18.75" thickBot="1">
      <c r="B9" s="12" t="s">
        <v>9</v>
      </c>
      <c r="C9" s="13" t="s">
        <v>11</v>
      </c>
      <c r="D9" s="13" t="s">
        <v>12</v>
      </c>
      <c r="E9" s="14" t="s">
        <v>18</v>
      </c>
      <c r="F9" s="14" t="s">
        <v>12</v>
      </c>
      <c r="G9" s="15" t="s">
        <v>76</v>
      </c>
      <c r="H9" s="4"/>
    </row>
    <row r="10" spans="2:14">
      <c r="B10" s="6"/>
      <c r="C10" s="8"/>
      <c r="D10" s="90" t="s">
        <v>117</v>
      </c>
      <c r="E10" s="10"/>
      <c r="F10" s="90" t="s">
        <v>118</v>
      </c>
      <c r="G10" s="2"/>
      <c r="H10" s="3"/>
    </row>
    <row r="11" spans="2:14">
      <c r="B11" s="248" t="s">
        <v>60</v>
      </c>
      <c r="C11" s="233">
        <v>190930.96363636362</v>
      </c>
      <c r="D11" s="286">
        <f>'EF peternakan'!C6</f>
        <v>61</v>
      </c>
      <c r="E11" s="38">
        <f>C11*D11*10^-6</f>
        <v>11.646788781818181</v>
      </c>
      <c r="F11" s="287">
        <f>'EF peternakan'!C16</f>
        <v>31</v>
      </c>
      <c r="G11" s="193">
        <f>C11*F11*10^-6</f>
        <v>5.9188598727272721</v>
      </c>
      <c r="H11" s="165">
        <f>E11+G11</f>
        <v>17.565648654545452</v>
      </c>
    </row>
    <row r="12" spans="2:14">
      <c r="B12" s="248" t="s">
        <v>69</v>
      </c>
      <c r="C12" s="233">
        <v>622431.42424242431</v>
      </c>
      <c r="D12" s="286">
        <f>'EF peternakan'!C7</f>
        <v>55</v>
      </c>
      <c r="E12" s="38">
        <f>C12*D12*10^-6</f>
        <v>34.233728333333332</v>
      </c>
      <c r="F12" s="287">
        <f>'EF peternakan'!C17</f>
        <v>2</v>
      </c>
      <c r="G12" s="193">
        <f t="shared" ref="G12:G21" si="0">C12*F12*10^-6</f>
        <v>1.2448628484848485</v>
      </c>
      <c r="H12" s="165">
        <f t="shared" ref="H12:H21" si="1">E12+G12</f>
        <v>35.478591181818182</v>
      </c>
    </row>
    <row r="13" spans="2:14">
      <c r="B13" s="248" t="s">
        <v>19</v>
      </c>
      <c r="C13" s="233">
        <v>121752.85454545454</v>
      </c>
      <c r="D13" s="286">
        <f>'EF peternakan'!C7</f>
        <v>55</v>
      </c>
      <c r="E13" s="38">
        <f>C13*D13*10^-6</f>
        <v>6.6964069999999998</v>
      </c>
      <c r="F13" s="287">
        <f>'EF peternakan'!C17</f>
        <v>2</v>
      </c>
      <c r="G13" s="193">
        <f t="shared" si="0"/>
        <v>0.24350570909090907</v>
      </c>
      <c r="H13" s="165">
        <f t="shared" si="1"/>
        <v>6.9399127090909092</v>
      </c>
    </row>
    <row r="14" spans="2:14">
      <c r="B14" s="248" t="s">
        <v>61</v>
      </c>
      <c r="C14" s="233">
        <v>13377698.745454546</v>
      </c>
      <c r="D14" s="286">
        <f>'EF peternakan'!C8</f>
        <v>5</v>
      </c>
      <c r="E14" s="38">
        <f t="shared" ref="E14:E21" si="2">C14*D14*10^-6</f>
        <v>66.888493727272731</v>
      </c>
      <c r="F14" s="287">
        <f>'EF peternakan'!C18</f>
        <v>0.2</v>
      </c>
      <c r="G14" s="193">
        <f t="shared" si="0"/>
        <v>2.6755397490909094</v>
      </c>
      <c r="H14" s="165">
        <f t="shared" si="1"/>
        <v>69.564033476363647</v>
      </c>
    </row>
    <row r="15" spans="2:14">
      <c r="B15" s="248" t="s">
        <v>20</v>
      </c>
      <c r="C15" s="233">
        <v>3617735.3818181818</v>
      </c>
      <c r="D15" s="286">
        <f>'EF peternakan'!C9</f>
        <v>5</v>
      </c>
      <c r="E15" s="38">
        <f t="shared" si="2"/>
        <v>18.088676909090911</v>
      </c>
      <c r="F15" s="287">
        <f>'EF peternakan'!C19</f>
        <v>0.22</v>
      </c>
      <c r="G15" s="193">
        <f t="shared" si="0"/>
        <v>0.795901784</v>
      </c>
      <c r="H15" s="165">
        <f t="shared" si="1"/>
        <v>18.884578693090912</v>
      </c>
    </row>
    <row r="16" spans="2:14">
      <c r="B16" s="248" t="s">
        <v>21</v>
      </c>
      <c r="C16" s="233">
        <v>20487.866666666669</v>
      </c>
      <c r="D16" s="286">
        <f>'EF peternakan'!C11</f>
        <v>18</v>
      </c>
      <c r="E16" s="38">
        <f t="shared" si="2"/>
        <v>0.36878160000000004</v>
      </c>
      <c r="F16" s="287">
        <f>'EF peternakan'!C21</f>
        <v>2.19</v>
      </c>
      <c r="G16" s="193">
        <f t="shared" si="0"/>
        <v>4.4868427999999995E-2</v>
      </c>
      <c r="H16" s="165">
        <f t="shared" si="1"/>
        <v>0.41365002800000006</v>
      </c>
      <c r="L16" s="403"/>
      <c r="M16" s="403"/>
      <c r="N16" s="403"/>
    </row>
    <row r="17" spans="2:34">
      <c r="B17" s="248" t="s">
        <v>62</v>
      </c>
      <c r="C17" s="233">
        <v>-2593.7396167615261</v>
      </c>
      <c r="D17" s="286">
        <f>'EF peternakan'!C10</f>
        <v>1</v>
      </c>
      <c r="E17" s="38">
        <f t="shared" si="2"/>
        <v>-2.5937396167615258E-3</v>
      </c>
      <c r="F17" s="287">
        <f>'EF peternakan'!C20</f>
        <v>7</v>
      </c>
      <c r="G17" s="193">
        <f t="shared" si="0"/>
        <v>-1.8156177317330682E-2</v>
      </c>
      <c r="H17" s="165">
        <f t="shared" si="1"/>
        <v>-2.0749916934092207E-2</v>
      </c>
    </row>
    <row r="18" spans="2:34">
      <c r="B18" s="248" t="s">
        <v>70</v>
      </c>
      <c r="C18" s="233">
        <v>27468263.116936017</v>
      </c>
      <c r="D18" s="286"/>
      <c r="E18" s="38">
        <f t="shared" si="2"/>
        <v>0</v>
      </c>
      <c r="F18" s="287">
        <f>'EF peternakan'!C22</f>
        <v>0.02</v>
      </c>
      <c r="G18" s="193">
        <f t="shared" si="0"/>
        <v>0.54936526233872041</v>
      </c>
      <c r="H18" s="165">
        <f t="shared" si="1"/>
        <v>0.54936526233872041</v>
      </c>
    </row>
    <row r="19" spans="2:34">
      <c r="B19" s="249" t="s">
        <v>416</v>
      </c>
      <c r="C19" s="233">
        <v>20233152</v>
      </c>
      <c r="D19" s="286"/>
      <c r="E19" s="38">
        <f t="shared" si="2"/>
        <v>0</v>
      </c>
      <c r="F19" s="287">
        <f>'EF peternakan'!C24</f>
        <v>0.02</v>
      </c>
      <c r="G19" s="193">
        <f t="shared" si="0"/>
        <v>0.40466304000000003</v>
      </c>
      <c r="H19" s="165">
        <f t="shared" si="1"/>
        <v>0.40466304000000003</v>
      </c>
    </row>
    <row r="20" spans="2:34">
      <c r="B20" s="248" t="s">
        <v>417</v>
      </c>
      <c r="C20" s="233">
        <v>178191139.62727293</v>
      </c>
      <c r="D20" s="87"/>
      <c r="E20" s="38">
        <f t="shared" si="2"/>
        <v>0</v>
      </c>
      <c r="F20" s="287">
        <f>'EF peternakan'!C23</f>
        <v>0.02</v>
      </c>
      <c r="G20" s="193">
        <f t="shared" si="0"/>
        <v>3.5638227925454586</v>
      </c>
      <c r="H20" s="165">
        <f t="shared" si="1"/>
        <v>3.5638227925454586</v>
      </c>
    </row>
    <row r="21" spans="2:34">
      <c r="B21" s="248" t="s">
        <v>66</v>
      </c>
      <c r="C21" s="233">
        <v>20951903.303030305</v>
      </c>
      <c r="D21" s="87"/>
      <c r="E21" s="38">
        <f t="shared" si="2"/>
        <v>0</v>
      </c>
      <c r="F21" s="287">
        <f>'EF peternakan'!C25</f>
        <v>0.02</v>
      </c>
      <c r="G21" s="193">
        <f t="shared" si="0"/>
        <v>0.41903806606060606</v>
      </c>
      <c r="H21" s="165">
        <f t="shared" si="1"/>
        <v>0.41903806606060606</v>
      </c>
    </row>
    <row r="22" spans="2:34">
      <c r="C22" s="39"/>
      <c r="D22" s="8"/>
      <c r="E22" s="10"/>
      <c r="F22" s="10"/>
      <c r="G22" s="2"/>
      <c r="H22" s="3"/>
      <c r="K22" s="167"/>
    </row>
    <row r="23" spans="2:34" ht="15.75" thickBot="1">
      <c r="B23" s="41" t="s">
        <v>74</v>
      </c>
      <c r="C23" s="40">
        <f>SUM(C11:C22)</f>
        <v>264792901.54398614</v>
      </c>
      <c r="D23" s="45"/>
      <c r="E23" s="47">
        <f>SUM(E11:E22)</f>
        <v>137.92028261189839</v>
      </c>
      <c r="F23" s="46"/>
      <c r="G23" s="194">
        <f>SUM(G11:G22)</f>
        <v>15.842271375021394</v>
      </c>
      <c r="H23" s="201">
        <f>SUM(H11:H21)</f>
        <v>153.76255398691981</v>
      </c>
    </row>
    <row r="25" spans="2:34">
      <c r="C25" s="29"/>
    </row>
    <row r="26" spans="2:34">
      <c r="B26" s="250" t="s">
        <v>418</v>
      </c>
      <c r="C26" s="251"/>
      <c r="D26" s="29">
        <v>2000</v>
      </c>
      <c r="E26">
        <v>2001</v>
      </c>
      <c r="F26" s="29">
        <v>2002</v>
      </c>
      <c r="G26">
        <v>2003</v>
      </c>
      <c r="H26" s="29">
        <v>2004</v>
      </c>
      <c r="I26">
        <v>2005</v>
      </c>
      <c r="J26" s="29">
        <v>2006</v>
      </c>
      <c r="K26">
        <v>2007</v>
      </c>
      <c r="L26" s="29">
        <v>2008</v>
      </c>
      <c r="M26">
        <v>2009</v>
      </c>
      <c r="N26" s="29">
        <v>2010</v>
      </c>
      <c r="O26" s="63">
        <v>2011</v>
      </c>
      <c r="P26" s="51">
        <v>2012</v>
      </c>
      <c r="Q26" s="63">
        <v>2013</v>
      </c>
      <c r="R26" s="51">
        <v>2014</v>
      </c>
      <c r="S26" s="63">
        <v>2015</v>
      </c>
      <c r="T26" s="51">
        <v>2016</v>
      </c>
      <c r="U26" s="63">
        <v>2017</v>
      </c>
      <c r="V26" s="51">
        <v>2018</v>
      </c>
      <c r="W26" s="63">
        <v>2019</v>
      </c>
      <c r="X26" s="51">
        <v>2020</v>
      </c>
      <c r="Y26" s="63">
        <v>2021</v>
      </c>
      <c r="Z26" s="51">
        <v>2022</v>
      </c>
      <c r="AA26" s="63">
        <v>2023</v>
      </c>
      <c r="AB26" s="51">
        <v>2024</v>
      </c>
      <c r="AC26" s="63">
        <v>2025</v>
      </c>
      <c r="AD26" s="51">
        <v>2026</v>
      </c>
      <c r="AE26" s="63">
        <v>2027</v>
      </c>
      <c r="AF26" s="51">
        <v>2028</v>
      </c>
      <c r="AG26" s="63">
        <v>2029</v>
      </c>
      <c r="AH26" s="51">
        <v>2030</v>
      </c>
    </row>
    <row r="27" spans="2:34">
      <c r="B27" s="248" t="s">
        <v>60</v>
      </c>
      <c r="C27" s="7" t="s">
        <v>443</v>
      </c>
      <c r="D27" s="401">
        <v>84756</v>
      </c>
      <c r="E27" s="401">
        <v>84934</v>
      </c>
      <c r="F27" s="401">
        <v>91219</v>
      </c>
      <c r="G27" s="401">
        <v>95513</v>
      </c>
      <c r="H27" s="401">
        <v>98958</v>
      </c>
      <c r="I27" s="401">
        <v>92755</v>
      </c>
      <c r="J27" s="401">
        <v>97367</v>
      </c>
      <c r="K27" s="401">
        <v>103489</v>
      </c>
      <c r="L27" s="401">
        <v>111250</v>
      </c>
      <c r="M27" s="401">
        <v>117839</v>
      </c>
      <c r="N27" s="405">
        <v>120475</v>
      </c>
      <c r="O27" s="406">
        <v>121483.19999999998</v>
      </c>
      <c r="P27" s="379">
        <v>125138.34545454544</v>
      </c>
      <c r="Q27" s="379">
        <v>128793.49090909091</v>
      </c>
      <c r="R27" s="379">
        <v>132448.63636363635</v>
      </c>
      <c r="S27" s="379">
        <v>136103.7818181818</v>
      </c>
      <c r="T27" s="379">
        <v>139758.92727272725</v>
      </c>
      <c r="U27" s="379">
        <v>143414.07272727272</v>
      </c>
      <c r="V27" s="379">
        <v>147069.21818181817</v>
      </c>
      <c r="W27" s="379">
        <v>150724.36363636365</v>
      </c>
      <c r="X27" s="379">
        <v>154379.50909090909</v>
      </c>
      <c r="Y27" s="379">
        <v>158034.65454545454</v>
      </c>
      <c r="Z27" s="379">
        <v>161689.79999999999</v>
      </c>
      <c r="AA27" s="379">
        <v>165344.94545454544</v>
      </c>
      <c r="AB27" s="379">
        <v>169000.09090909088</v>
      </c>
      <c r="AC27" s="379">
        <v>172655.23636363633</v>
      </c>
      <c r="AD27" s="379">
        <v>176310.38181818181</v>
      </c>
      <c r="AE27" s="379">
        <v>179965.52727272728</v>
      </c>
      <c r="AF27" s="379">
        <v>183620.67272727273</v>
      </c>
      <c r="AG27" s="379">
        <v>187275.81818181818</v>
      </c>
      <c r="AH27" s="379">
        <v>190930.96363636362</v>
      </c>
    </row>
    <row r="28" spans="2:34">
      <c r="B28" s="248" t="s">
        <v>69</v>
      </c>
      <c r="C28" s="7" t="s">
        <v>443</v>
      </c>
      <c r="D28" s="401">
        <v>165686</v>
      </c>
      <c r="E28" s="401">
        <v>189518</v>
      </c>
      <c r="F28" s="401">
        <v>205843</v>
      </c>
      <c r="G28" s="401">
        <v>223818</v>
      </c>
      <c r="H28" s="401">
        <v>232949</v>
      </c>
      <c r="I28" s="401">
        <v>234948</v>
      </c>
      <c r="J28" s="401">
        <v>254243</v>
      </c>
      <c r="K28" s="401">
        <v>272264</v>
      </c>
      <c r="L28" s="401">
        <v>295554</v>
      </c>
      <c r="M28" s="401">
        <v>310981</v>
      </c>
      <c r="N28" s="405">
        <v>327750</v>
      </c>
      <c r="O28" s="406">
        <v>337319.26666666666</v>
      </c>
      <c r="P28" s="379">
        <v>352325.16969696968</v>
      </c>
      <c r="Q28" s="379">
        <v>367331.07272727269</v>
      </c>
      <c r="R28" s="379">
        <v>382336.97575757571</v>
      </c>
      <c r="S28" s="379">
        <v>397342.87878787878</v>
      </c>
      <c r="T28" s="379">
        <v>412348.7818181818</v>
      </c>
      <c r="U28" s="379">
        <v>427354.68484848482</v>
      </c>
      <c r="V28" s="379">
        <v>442360.58787878783</v>
      </c>
      <c r="W28" s="379">
        <v>457366.49090909091</v>
      </c>
      <c r="X28" s="379">
        <v>472372.39393939392</v>
      </c>
      <c r="Y28" s="379">
        <v>487378.29696969694</v>
      </c>
      <c r="Z28" s="379">
        <v>502384.2</v>
      </c>
      <c r="AA28" s="379">
        <v>517390.10303030303</v>
      </c>
      <c r="AB28" s="379">
        <v>532396.0060606061</v>
      </c>
      <c r="AC28" s="379">
        <v>547401.90909090906</v>
      </c>
      <c r="AD28" s="379">
        <v>562407.81212121202</v>
      </c>
      <c r="AE28" s="379">
        <v>577413.71515151509</v>
      </c>
      <c r="AF28" s="379">
        <v>592419.61818181816</v>
      </c>
      <c r="AG28" s="379">
        <v>607425.52121212124</v>
      </c>
      <c r="AH28" s="379">
        <v>622431.42424242431</v>
      </c>
    </row>
    <row r="29" spans="2:34">
      <c r="B29" s="248" t="s">
        <v>19</v>
      </c>
      <c r="C29" s="7" t="s">
        <v>443</v>
      </c>
      <c r="D29" s="401">
        <v>166898</v>
      </c>
      <c r="E29" s="401">
        <v>153372</v>
      </c>
      <c r="F29" s="401">
        <v>148778</v>
      </c>
      <c r="G29" s="401">
        <v>146758</v>
      </c>
      <c r="H29" s="401">
        <v>149960</v>
      </c>
      <c r="I29" s="401">
        <v>147157</v>
      </c>
      <c r="J29" s="401">
        <v>149444</v>
      </c>
      <c r="K29" s="401">
        <v>149030</v>
      </c>
      <c r="L29" s="401">
        <v>145847</v>
      </c>
      <c r="M29" s="401">
        <v>142502</v>
      </c>
      <c r="N29" s="405">
        <v>139730</v>
      </c>
      <c r="O29" s="406">
        <v>141532.19999999998</v>
      </c>
      <c r="P29" s="379">
        <v>140491.18181818182</v>
      </c>
      <c r="Q29" s="379">
        <v>139450.16363636364</v>
      </c>
      <c r="R29" s="379">
        <v>138409.14545454545</v>
      </c>
      <c r="S29" s="379">
        <v>137368.12727272726</v>
      </c>
      <c r="T29" s="379">
        <v>136327.10909090907</v>
      </c>
      <c r="U29" s="379">
        <v>135286.09090909091</v>
      </c>
      <c r="V29" s="379">
        <v>134245.07272727272</v>
      </c>
      <c r="W29" s="379">
        <v>133204.05454545454</v>
      </c>
      <c r="X29" s="379">
        <v>132163.03636363635</v>
      </c>
      <c r="Y29" s="379">
        <v>131122.01818181819</v>
      </c>
      <c r="Z29" s="379">
        <v>130081</v>
      </c>
      <c r="AA29" s="379">
        <v>129039.98181818181</v>
      </c>
      <c r="AB29" s="379">
        <v>127998.96363636362</v>
      </c>
      <c r="AC29" s="379">
        <v>126957.94545454545</v>
      </c>
      <c r="AD29" s="379">
        <v>125916.92727272728</v>
      </c>
      <c r="AE29" s="379">
        <v>124875.90909090909</v>
      </c>
      <c r="AF29" s="379">
        <v>123834.8909090909</v>
      </c>
      <c r="AG29" s="379">
        <v>122793.87272727273</v>
      </c>
      <c r="AH29" s="379">
        <v>121752.85454545454</v>
      </c>
    </row>
    <row r="30" spans="2:34">
      <c r="B30" s="248" t="s">
        <v>61</v>
      </c>
      <c r="C30" s="7" t="s">
        <v>443</v>
      </c>
      <c r="D30" s="401">
        <v>3036812</v>
      </c>
      <c r="E30" s="401">
        <v>3087038</v>
      </c>
      <c r="F30" s="401">
        <v>3162234</v>
      </c>
      <c r="G30" s="401">
        <v>3288884</v>
      </c>
      <c r="H30" s="401">
        <v>3529456</v>
      </c>
      <c r="I30" s="401">
        <v>3737803</v>
      </c>
      <c r="J30" s="401">
        <v>4221806</v>
      </c>
      <c r="K30" s="401">
        <v>4605417</v>
      </c>
      <c r="L30" s="401">
        <v>5311836</v>
      </c>
      <c r="M30" s="401">
        <v>5817834</v>
      </c>
      <c r="N30" s="405">
        <v>6275299</v>
      </c>
      <c r="O30" s="406">
        <v>6340767.2000000002</v>
      </c>
      <c r="P30" s="379">
        <v>6711132.0181818185</v>
      </c>
      <c r="Q30" s="379">
        <v>7081496.8363636369</v>
      </c>
      <c r="R30" s="379">
        <v>7451861.6545454543</v>
      </c>
      <c r="S30" s="379">
        <v>7822226.4727272727</v>
      </c>
      <c r="T30" s="379">
        <v>8192591.290909091</v>
      </c>
      <c r="U30" s="379">
        <v>8562956.1090909094</v>
      </c>
      <c r="V30" s="379">
        <v>8933320.9272727277</v>
      </c>
      <c r="W30" s="379">
        <v>9303685.7454545461</v>
      </c>
      <c r="X30" s="379">
        <v>9674050.5636363626</v>
      </c>
      <c r="Y30" s="379">
        <v>10044415.381818183</v>
      </c>
      <c r="Z30" s="379">
        <v>10414780.199999999</v>
      </c>
      <c r="AA30" s="379">
        <v>10785145.018181819</v>
      </c>
      <c r="AB30" s="379">
        <v>11155509.836363636</v>
      </c>
      <c r="AC30" s="379">
        <v>11525874.654545456</v>
      </c>
      <c r="AD30" s="379">
        <v>11896239.472727273</v>
      </c>
      <c r="AE30" s="379">
        <v>12266604.290909089</v>
      </c>
      <c r="AF30" s="379">
        <v>12636969.109090909</v>
      </c>
      <c r="AG30" s="379">
        <v>13007333.927272726</v>
      </c>
      <c r="AH30" s="379">
        <v>13377698.745454546</v>
      </c>
    </row>
    <row r="31" spans="2:34">
      <c r="B31" s="248" t="s">
        <v>20</v>
      </c>
      <c r="C31" s="7" t="s">
        <v>443</v>
      </c>
      <c r="D31" s="401">
        <v>1160462</v>
      </c>
      <c r="E31" s="401">
        <v>922633</v>
      </c>
      <c r="F31" s="401">
        <v>878043</v>
      </c>
      <c r="G31" s="401">
        <v>930066</v>
      </c>
      <c r="H31" s="401">
        <v>1144102</v>
      </c>
      <c r="I31" s="401">
        <v>999267</v>
      </c>
      <c r="J31" s="401">
        <v>1148547</v>
      </c>
      <c r="K31" s="401">
        <v>1294453</v>
      </c>
      <c r="L31" s="401">
        <v>1431012</v>
      </c>
      <c r="M31" s="401">
        <v>1615002</v>
      </c>
      <c r="N31" s="405">
        <v>1801320</v>
      </c>
      <c r="O31" s="406">
        <v>1755509.8</v>
      </c>
      <c r="P31" s="379">
        <v>1853521.6727272726</v>
      </c>
      <c r="Q31" s="379">
        <v>1951533.5454545454</v>
      </c>
      <c r="R31" s="379">
        <v>2049545.4181818182</v>
      </c>
      <c r="S31" s="379">
        <v>2147557.290909091</v>
      </c>
      <c r="T31" s="379">
        <v>2245569.1636363636</v>
      </c>
      <c r="U31" s="379">
        <v>2343581.0363636361</v>
      </c>
      <c r="V31" s="379">
        <v>2441592.9090909092</v>
      </c>
      <c r="W31" s="379">
        <v>2539604.7818181817</v>
      </c>
      <c r="X31" s="379">
        <v>2637616.6545454543</v>
      </c>
      <c r="Y31" s="379">
        <v>2735628.5272727273</v>
      </c>
      <c r="Z31" s="379">
        <v>2833640.4000000004</v>
      </c>
      <c r="AA31" s="379">
        <v>2931652.2727272725</v>
      </c>
      <c r="AB31" s="379">
        <v>3029664.1454545455</v>
      </c>
      <c r="AC31" s="379">
        <v>3127676.0181818185</v>
      </c>
      <c r="AD31" s="379">
        <v>3225687.8909090906</v>
      </c>
      <c r="AE31" s="379">
        <v>3323699.7636363637</v>
      </c>
      <c r="AF31" s="379">
        <v>3421711.6363636367</v>
      </c>
      <c r="AG31" s="379">
        <v>3519723.5090909088</v>
      </c>
      <c r="AH31" s="379">
        <v>3617735.3818181818</v>
      </c>
    </row>
    <row r="32" spans="2:34">
      <c r="B32" s="248" t="s">
        <v>21</v>
      </c>
      <c r="C32" s="7" t="s">
        <v>443</v>
      </c>
      <c r="D32" s="401">
        <v>10763</v>
      </c>
      <c r="E32" s="401">
        <v>11851</v>
      </c>
      <c r="F32" s="401">
        <v>11963</v>
      </c>
      <c r="G32" s="401">
        <v>12124</v>
      </c>
      <c r="H32" s="401">
        <v>14242</v>
      </c>
      <c r="I32" s="401">
        <v>12569</v>
      </c>
      <c r="J32" s="401">
        <v>15555</v>
      </c>
      <c r="K32" s="401">
        <v>15755</v>
      </c>
      <c r="L32" s="401">
        <v>13717</v>
      </c>
      <c r="M32" s="401">
        <v>13757</v>
      </c>
      <c r="N32" s="405">
        <v>13929</v>
      </c>
      <c r="O32" s="406">
        <v>15104.533333333333</v>
      </c>
      <c r="P32" s="379">
        <v>15387.866666666667</v>
      </c>
      <c r="Q32" s="379">
        <v>15671.2</v>
      </c>
      <c r="R32" s="379">
        <v>15954.533333333333</v>
      </c>
      <c r="S32" s="379">
        <v>16237.866666666667</v>
      </c>
      <c r="T32" s="379">
        <v>16521.2</v>
      </c>
      <c r="U32" s="379">
        <v>16804.533333333333</v>
      </c>
      <c r="V32" s="379">
        <v>17087.866666666669</v>
      </c>
      <c r="W32" s="379">
        <v>17371.2</v>
      </c>
      <c r="X32" s="379">
        <v>17654.533333333333</v>
      </c>
      <c r="Y32" s="379">
        <v>17937.866666666669</v>
      </c>
      <c r="Z32" s="379">
        <v>18221.2</v>
      </c>
      <c r="AA32" s="379">
        <v>18504.533333333333</v>
      </c>
      <c r="AB32" s="379">
        <v>18787.866666666669</v>
      </c>
      <c r="AC32" s="379">
        <v>19071.2</v>
      </c>
      <c r="AD32" s="379">
        <v>19354.533333333333</v>
      </c>
      <c r="AE32" s="379">
        <v>19637.866666666665</v>
      </c>
      <c r="AF32" s="379">
        <v>19921.2</v>
      </c>
      <c r="AG32" s="379">
        <v>20204.533333333333</v>
      </c>
      <c r="AH32" s="379">
        <v>20487.866666666669</v>
      </c>
    </row>
    <row r="33" spans="2:35">
      <c r="B33" s="248" t="s">
        <v>62</v>
      </c>
      <c r="C33" s="7" t="s">
        <v>443</v>
      </c>
      <c r="D33" s="401">
        <v>9253</v>
      </c>
      <c r="E33" s="401">
        <v>12337</v>
      </c>
      <c r="F33" s="401">
        <v>9702</v>
      </c>
      <c r="G33" s="401">
        <v>11207</v>
      </c>
      <c r="H33" s="401">
        <v>8092</v>
      </c>
      <c r="I33" s="401">
        <v>9056.7545957063885</v>
      </c>
      <c r="J33" s="401">
        <v>12487</v>
      </c>
      <c r="K33" s="401">
        <v>7043</v>
      </c>
      <c r="L33" s="401">
        <v>4773</v>
      </c>
      <c r="M33" s="401">
        <v>8146</v>
      </c>
      <c r="N33" s="405">
        <v>8327</v>
      </c>
      <c r="O33" s="406">
        <v>6488.116973047092</v>
      </c>
      <c r="P33" s="379">
        <v>6010.1245209519011</v>
      </c>
      <c r="Q33" s="379">
        <v>5532.1320688567112</v>
      </c>
      <c r="R33" s="379">
        <v>5054.1396167615203</v>
      </c>
      <c r="S33" s="379">
        <v>4576.1471646663304</v>
      </c>
      <c r="T33" s="379">
        <v>4098.1547125711395</v>
      </c>
      <c r="U33" s="379">
        <v>3620.1622604759486</v>
      </c>
      <c r="V33" s="379">
        <v>3142.1698083807587</v>
      </c>
      <c r="W33" s="379">
        <v>2664.1773562855687</v>
      </c>
      <c r="X33" s="379">
        <v>2186.184904190377</v>
      </c>
      <c r="Y33" s="379">
        <v>1708.192452095187</v>
      </c>
      <c r="Z33" s="379">
        <v>1230.1999999999971</v>
      </c>
      <c r="AA33" s="379">
        <v>752.20754790480714</v>
      </c>
      <c r="AB33" s="379">
        <v>274.21509580961538</v>
      </c>
      <c r="AC33" s="407">
        <v>-203.77735628557457</v>
      </c>
      <c r="AD33" s="407">
        <v>-681.76980838076452</v>
      </c>
      <c r="AE33" s="407">
        <v>-1159.7622604759563</v>
      </c>
      <c r="AF33" s="407">
        <v>-1637.7547125711462</v>
      </c>
      <c r="AG33" s="407">
        <v>-2115.7471646663362</v>
      </c>
      <c r="AH33" s="407">
        <v>-2593.7396167615261</v>
      </c>
      <c r="AI33" t="s">
        <v>535</v>
      </c>
    </row>
    <row r="34" spans="2:35">
      <c r="B34" s="248" t="s">
        <v>70</v>
      </c>
      <c r="C34" s="7" t="s">
        <v>443</v>
      </c>
      <c r="D34" s="401">
        <v>26939832</v>
      </c>
      <c r="E34" s="401">
        <v>27703049</v>
      </c>
      <c r="F34" s="401">
        <v>30273580</v>
      </c>
      <c r="G34" s="401">
        <v>31294784</v>
      </c>
      <c r="H34" s="401">
        <v>30779120</v>
      </c>
      <c r="I34" s="401">
        <v>31043932</v>
      </c>
      <c r="J34" s="401">
        <v>29319161</v>
      </c>
      <c r="K34" s="401">
        <v>27789274</v>
      </c>
      <c r="L34" s="401">
        <v>27761015</v>
      </c>
      <c r="M34" s="401">
        <v>28371910</v>
      </c>
      <c r="N34" s="405">
        <v>27394516</v>
      </c>
      <c r="O34" s="406">
        <v>27616728.729221676</v>
      </c>
      <c r="P34" s="379">
        <v>27608894.78166661</v>
      </c>
      <c r="Q34" s="379">
        <v>27601063.05634195</v>
      </c>
      <c r="R34" s="379">
        <v>27593233.552617323</v>
      </c>
      <c r="S34" s="379">
        <v>27585406.269862529</v>
      </c>
      <c r="T34" s="379">
        <v>27577581.20744757</v>
      </c>
      <c r="U34" s="379">
        <v>27569758.364742592</v>
      </c>
      <c r="V34" s="379">
        <v>27561937.741117943</v>
      </c>
      <c r="W34" s="379">
        <v>27554119.335944142</v>
      </c>
      <c r="X34" s="379">
        <v>27546303.148591895</v>
      </c>
      <c r="Y34" s="379">
        <v>27538489.17843207</v>
      </c>
      <c r="Z34" s="379">
        <v>27530677.424835734</v>
      </c>
      <c r="AA34" s="379">
        <v>27522867.887174107</v>
      </c>
      <c r="AB34" s="379">
        <v>27515060.564818621</v>
      </c>
      <c r="AC34" s="379">
        <v>27507255.457140852</v>
      </c>
      <c r="AD34" s="379">
        <v>27499452.563512575</v>
      </c>
      <c r="AE34" s="379">
        <v>27491651.883305736</v>
      </c>
      <c r="AF34" s="379">
        <v>27483853.415892471</v>
      </c>
      <c r="AG34" s="379">
        <v>27476057.160645064</v>
      </c>
      <c r="AH34" s="379">
        <v>27468263.116936017</v>
      </c>
    </row>
    <row r="35" spans="2:35">
      <c r="B35" s="249" t="s">
        <v>416</v>
      </c>
      <c r="C35" s="7" t="s">
        <v>443</v>
      </c>
      <c r="D35" s="401">
        <v>5962619</v>
      </c>
      <c r="E35" s="401">
        <v>7403492</v>
      </c>
      <c r="F35" s="401">
        <v>8588803</v>
      </c>
      <c r="G35" s="401">
        <v>8446127</v>
      </c>
      <c r="H35" s="401">
        <v>9720685</v>
      </c>
      <c r="I35" s="401">
        <v>10171904</v>
      </c>
      <c r="J35" s="401">
        <v>10351105</v>
      </c>
      <c r="K35" s="401">
        <v>11462744</v>
      </c>
      <c r="L35" s="401">
        <v>10303478</v>
      </c>
      <c r="M35" s="401">
        <v>10501767</v>
      </c>
      <c r="N35" s="405">
        <v>11252390</v>
      </c>
      <c r="O35" s="406">
        <v>12107700.666666666</v>
      </c>
      <c r="P35" s="379">
        <v>12535356</v>
      </c>
      <c r="Q35" s="379">
        <v>12963011.333333332</v>
      </c>
      <c r="R35" s="379">
        <v>13390666.666666666</v>
      </c>
      <c r="S35" s="379">
        <v>13818322</v>
      </c>
      <c r="T35" s="379">
        <v>14245977.333333332</v>
      </c>
      <c r="U35" s="379">
        <v>14673632.666666666</v>
      </c>
      <c r="V35" s="379">
        <v>15101288</v>
      </c>
      <c r="W35" s="379">
        <v>15528943.333333332</v>
      </c>
      <c r="X35" s="379">
        <v>15956598.666666666</v>
      </c>
      <c r="Y35" s="379">
        <v>16384254</v>
      </c>
      <c r="Z35" s="379">
        <v>16811909.333333332</v>
      </c>
      <c r="AA35" s="379">
        <v>17239564.666666664</v>
      </c>
      <c r="AB35" s="379">
        <v>17667220</v>
      </c>
      <c r="AC35" s="379">
        <v>18094875.333333332</v>
      </c>
      <c r="AD35" s="379">
        <v>18522530.666666664</v>
      </c>
      <c r="AE35" s="379">
        <v>18950186</v>
      </c>
      <c r="AF35" s="379">
        <v>19377841.333333332</v>
      </c>
      <c r="AG35" s="379">
        <v>19805496.666666664</v>
      </c>
      <c r="AH35" s="379">
        <v>20233152</v>
      </c>
    </row>
    <row r="36" spans="2:35">
      <c r="B36" s="248" t="s">
        <v>417</v>
      </c>
      <c r="C36" s="7" t="s">
        <v>443</v>
      </c>
      <c r="D36" s="401">
        <v>27674161</v>
      </c>
      <c r="E36" s="401">
        <v>31490528.333333332</v>
      </c>
      <c r="F36" s="401">
        <v>42146199.5</v>
      </c>
      <c r="G36" s="401">
        <v>46245137</v>
      </c>
      <c r="H36" s="401">
        <v>51922827.666666664</v>
      </c>
      <c r="I36" s="401">
        <v>53943997.833333336</v>
      </c>
      <c r="J36" s="401">
        <v>57325681.666666664</v>
      </c>
      <c r="K36" s="401">
        <v>58084469.833333336</v>
      </c>
      <c r="L36" s="401">
        <v>69562266.333333343</v>
      </c>
      <c r="M36" s="401">
        <v>73088484.5</v>
      </c>
      <c r="N36" s="405">
        <v>82969025.666666657</v>
      </c>
      <c r="O36" s="406">
        <v>83956352.76666671</v>
      </c>
      <c r="P36" s="379">
        <v>88916078.39090915</v>
      </c>
      <c r="Q36" s="379">
        <v>93875804.01515159</v>
      </c>
      <c r="R36" s="379">
        <v>98835529.639394015</v>
      </c>
      <c r="S36" s="379">
        <v>103795255.26363644</v>
      </c>
      <c r="T36" s="379">
        <v>108754980.88787888</v>
      </c>
      <c r="U36" s="379">
        <v>113714706.51212132</v>
      </c>
      <c r="V36" s="379">
        <v>118674432.13636374</v>
      </c>
      <c r="W36" s="379">
        <v>123634157.76060618</v>
      </c>
      <c r="X36" s="379">
        <v>128593883.38484861</v>
      </c>
      <c r="Y36" s="379">
        <v>133553609.00909105</v>
      </c>
      <c r="Z36" s="379">
        <v>138513334.63333347</v>
      </c>
      <c r="AA36" s="379">
        <v>143473060.25757593</v>
      </c>
      <c r="AB36" s="379">
        <v>148432785.88181835</v>
      </c>
      <c r="AC36" s="379">
        <v>153392511.50606078</v>
      </c>
      <c r="AD36" s="379">
        <v>158352237.1303032</v>
      </c>
      <c r="AE36" s="379">
        <v>163311962.75454563</v>
      </c>
      <c r="AF36" s="379">
        <v>168271688.37878808</v>
      </c>
      <c r="AG36" s="379">
        <v>173231414.00303051</v>
      </c>
      <c r="AH36" s="379">
        <v>178191139.62727293</v>
      </c>
    </row>
    <row r="37" spans="2:35">
      <c r="B37" s="248" t="s">
        <v>66</v>
      </c>
      <c r="C37" s="7" t="s">
        <v>443</v>
      </c>
      <c r="D37" s="401">
        <v>3481702</v>
      </c>
      <c r="E37" s="401">
        <v>4055539</v>
      </c>
      <c r="F37" s="401">
        <v>4293637</v>
      </c>
      <c r="G37" s="401">
        <v>4952224</v>
      </c>
      <c r="H37" s="401">
        <v>4880019</v>
      </c>
      <c r="I37" s="401">
        <v>5335872</v>
      </c>
      <c r="J37" s="401">
        <v>5296757</v>
      </c>
      <c r="K37" s="401">
        <v>6534753</v>
      </c>
      <c r="L37" s="401">
        <v>7962095</v>
      </c>
      <c r="M37" s="401">
        <v>8213920</v>
      </c>
      <c r="N37" s="405">
        <v>9871091</v>
      </c>
      <c r="O37" s="406">
        <v>9464803.7333333343</v>
      </c>
      <c r="P37" s="379">
        <v>10069387.921212122</v>
      </c>
      <c r="Q37" s="379">
        <v>10673972.109090909</v>
      </c>
      <c r="R37" s="379">
        <v>11278556.296969697</v>
      </c>
      <c r="S37" s="379">
        <v>11883140.484848484</v>
      </c>
      <c r="T37" s="379">
        <v>12487724.672727272</v>
      </c>
      <c r="U37" s="379">
        <v>13092308.860606059</v>
      </c>
      <c r="V37" s="379">
        <v>13696893.048484847</v>
      </c>
      <c r="W37" s="379">
        <v>14301477.236363638</v>
      </c>
      <c r="X37" s="379">
        <v>14906061.424242426</v>
      </c>
      <c r="Y37" s="379">
        <v>15510645.612121213</v>
      </c>
      <c r="Z37" s="379">
        <v>16115229.800000001</v>
      </c>
      <c r="AA37" s="379">
        <v>16719813.987878788</v>
      </c>
      <c r="AB37" s="379">
        <v>17324398.175757576</v>
      </c>
      <c r="AC37" s="379">
        <v>17928982.363636363</v>
      </c>
      <c r="AD37" s="379">
        <v>18533566.551515151</v>
      </c>
      <c r="AE37" s="379">
        <v>19138150.739393938</v>
      </c>
      <c r="AF37" s="379">
        <v>19742734.92727273</v>
      </c>
      <c r="AG37" s="379">
        <v>20347319.115151517</v>
      </c>
      <c r="AH37" s="379">
        <v>20951903.303030305</v>
      </c>
    </row>
    <row r="38" spans="2:35">
      <c r="C38" s="37"/>
      <c r="O38" s="29"/>
    </row>
    <row r="39" spans="2:35" ht="23.25">
      <c r="B39" s="288" t="s">
        <v>433</v>
      </c>
      <c r="C39" s="289"/>
      <c r="D39" s="289"/>
      <c r="E39" s="289"/>
      <c r="O39" s="404" t="s">
        <v>537</v>
      </c>
      <c r="P39" s="403"/>
      <c r="Q39" s="403"/>
      <c r="R39" s="403"/>
      <c r="S39" s="403" t="s">
        <v>538</v>
      </c>
      <c r="T39" s="403"/>
    </row>
    <row r="40" spans="2:35" ht="18.75">
      <c r="B40" s="290" t="s">
        <v>419</v>
      </c>
      <c r="C40" s="242"/>
      <c r="D40" s="247">
        <v>2000</v>
      </c>
      <c r="E40" s="247">
        <v>2001</v>
      </c>
      <c r="F40" s="247">
        <v>2002</v>
      </c>
      <c r="G40" s="247">
        <v>2003</v>
      </c>
      <c r="H40" s="247">
        <v>2004</v>
      </c>
      <c r="I40" s="247">
        <v>2005</v>
      </c>
      <c r="J40" s="247">
        <v>2006</v>
      </c>
      <c r="K40" s="247">
        <v>2007</v>
      </c>
      <c r="L40" s="247">
        <v>2008</v>
      </c>
      <c r="M40" s="247">
        <v>2009</v>
      </c>
      <c r="N40" s="247">
        <v>2010</v>
      </c>
      <c r="O40" s="247">
        <v>2011</v>
      </c>
      <c r="P40" s="247">
        <v>2012</v>
      </c>
      <c r="Q40" s="247">
        <v>2013</v>
      </c>
      <c r="R40" s="247">
        <v>2014</v>
      </c>
      <c r="S40" s="247">
        <v>2015</v>
      </c>
      <c r="T40" s="247">
        <v>2016</v>
      </c>
      <c r="U40" s="247">
        <v>2017</v>
      </c>
      <c r="V40" s="247">
        <v>2018</v>
      </c>
      <c r="W40" s="247">
        <v>2019</v>
      </c>
      <c r="X40" s="247">
        <v>2020</v>
      </c>
      <c r="Y40" s="247">
        <v>2021</v>
      </c>
      <c r="Z40" s="247">
        <v>2022</v>
      </c>
      <c r="AA40" s="247">
        <v>2023</v>
      </c>
      <c r="AB40" s="247">
        <v>2024</v>
      </c>
      <c r="AC40" s="247">
        <v>2025</v>
      </c>
      <c r="AD40" s="247">
        <v>2026</v>
      </c>
      <c r="AE40" s="247">
        <v>2027</v>
      </c>
      <c r="AF40" s="247">
        <v>2028</v>
      </c>
      <c r="AG40" s="247">
        <v>2029</v>
      </c>
      <c r="AH40" s="247">
        <v>2030</v>
      </c>
    </row>
    <row r="41" spans="2:35">
      <c r="B41" s="244" t="s">
        <v>414</v>
      </c>
      <c r="C41" s="63" t="s">
        <v>530</v>
      </c>
      <c r="D41" s="245">
        <v>7.7975519999999996</v>
      </c>
      <c r="E41" s="245">
        <v>7.8139279999999998</v>
      </c>
      <c r="F41" s="245">
        <v>8.3921479999999988</v>
      </c>
      <c r="G41" s="245">
        <v>8.7871959999999998</v>
      </c>
      <c r="H41" s="245">
        <v>9.1041360000000005</v>
      </c>
      <c r="I41" s="245">
        <v>8.5334599999999998</v>
      </c>
      <c r="J41" s="245">
        <v>8.9577639999999992</v>
      </c>
      <c r="K41" s="245">
        <v>9.5209879999999991</v>
      </c>
      <c r="L41" s="245">
        <v>10.234999999999999</v>
      </c>
      <c r="M41" s="245">
        <v>10.841187999999999</v>
      </c>
      <c r="N41" s="274">
        <v>11.083699999999999</v>
      </c>
      <c r="O41" s="274">
        <v>11.176454399999997</v>
      </c>
      <c r="P41" s="274">
        <v>11.512727781818182</v>
      </c>
      <c r="Q41" s="274">
        <v>11.849001163636363</v>
      </c>
      <c r="R41" s="274">
        <v>12.185274545454543</v>
      </c>
      <c r="S41" s="274">
        <v>12.521547927272724</v>
      </c>
      <c r="T41" s="402">
        <v>12.857821309090905</v>
      </c>
      <c r="U41" s="402">
        <v>13.19409469090909</v>
      </c>
      <c r="V41" s="402">
        <v>13.530368072727271</v>
      </c>
      <c r="W41" s="402">
        <v>13.866641454545455</v>
      </c>
      <c r="X41" s="402">
        <v>14.202914836363636</v>
      </c>
      <c r="Y41" s="402">
        <v>14.539188218181819</v>
      </c>
      <c r="Z41" s="402">
        <v>14.875461599999998</v>
      </c>
      <c r="AA41" s="402">
        <v>15.211734981818179</v>
      </c>
      <c r="AB41" s="402">
        <v>15.54800836363636</v>
      </c>
      <c r="AC41" s="402">
        <v>15.884281745454542</v>
      </c>
      <c r="AD41" s="402">
        <v>16.220555127272725</v>
      </c>
      <c r="AE41" s="402">
        <v>16.556828509090909</v>
      </c>
      <c r="AF41" s="402">
        <v>16.89310189090909</v>
      </c>
      <c r="AG41" s="402">
        <v>17.229375272727271</v>
      </c>
      <c r="AH41" s="402">
        <v>17.565648654545452</v>
      </c>
    </row>
    <row r="42" spans="2:35">
      <c r="B42" s="244" t="s">
        <v>413</v>
      </c>
      <c r="C42" s="63" t="s">
        <v>530</v>
      </c>
      <c r="D42" s="245">
        <v>9.4441019999999991</v>
      </c>
      <c r="E42" s="245">
        <v>10.802525999999999</v>
      </c>
      <c r="F42" s="245">
        <v>11.733051</v>
      </c>
      <c r="G42" s="245">
        <v>12.757625999999998</v>
      </c>
      <c r="H42" s="245">
        <v>13.278092999999998</v>
      </c>
      <c r="I42" s="245">
        <v>13.392035999999999</v>
      </c>
      <c r="J42" s="245">
        <v>14.491850999999999</v>
      </c>
      <c r="K42" s="245">
        <v>15.519048</v>
      </c>
      <c r="L42" s="245">
        <v>16.846577999999997</v>
      </c>
      <c r="M42" s="245">
        <v>17.725916999999999</v>
      </c>
      <c r="N42" s="274">
        <v>18.681749999999997</v>
      </c>
      <c r="O42" s="274">
        <v>19.2271982</v>
      </c>
      <c r="P42" s="274">
        <v>20.08253467272727</v>
      </c>
      <c r="Q42" s="274">
        <v>20.937871145454544</v>
      </c>
      <c r="R42" s="274">
        <v>21.793207618181818</v>
      </c>
      <c r="S42" s="274">
        <v>22.648544090909088</v>
      </c>
      <c r="T42" s="402">
        <v>23.503880563636361</v>
      </c>
      <c r="U42" s="402">
        <v>24.359217036363631</v>
      </c>
      <c r="V42" s="402">
        <v>25.214553509090909</v>
      </c>
      <c r="W42" s="402">
        <v>26.069889981818182</v>
      </c>
      <c r="X42" s="402">
        <v>26.925226454545449</v>
      </c>
      <c r="Y42" s="402">
        <v>27.780562927272722</v>
      </c>
      <c r="Z42" s="402">
        <v>28.6358994</v>
      </c>
      <c r="AA42" s="402">
        <v>29.491235872727273</v>
      </c>
      <c r="AB42" s="402">
        <v>30.346572345454547</v>
      </c>
      <c r="AC42" s="402">
        <v>31.201908818181813</v>
      </c>
      <c r="AD42" s="402">
        <v>32.057245290909087</v>
      </c>
      <c r="AE42" s="402">
        <v>32.912581763636361</v>
      </c>
      <c r="AF42" s="402">
        <v>33.767918236363634</v>
      </c>
      <c r="AG42" s="402">
        <v>34.623254709090908</v>
      </c>
      <c r="AH42" s="402">
        <v>35.478591181818182</v>
      </c>
    </row>
    <row r="43" spans="2:35">
      <c r="B43" s="244" t="s">
        <v>19</v>
      </c>
      <c r="C43" s="63" t="s">
        <v>530</v>
      </c>
      <c r="D43" s="245">
        <v>9.5131859999999993</v>
      </c>
      <c r="E43" s="245">
        <v>8.7422039999999992</v>
      </c>
      <c r="F43" s="245">
        <v>8.4803459999999991</v>
      </c>
      <c r="G43" s="245">
        <v>8.3652060000000006</v>
      </c>
      <c r="H43" s="245">
        <v>8.54772</v>
      </c>
      <c r="I43" s="245">
        <v>8.387948999999999</v>
      </c>
      <c r="J43" s="245">
        <v>8.5183079999999993</v>
      </c>
      <c r="K43" s="245">
        <v>8.4947099999999995</v>
      </c>
      <c r="L43" s="245">
        <v>8.3132789999999996</v>
      </c>
      <c r="M43" s="245">
        <v>8.1226140000000004</v>
      </c>
      <c r="N43" s="274">
        <v>7.9646099999999995</v>
      </c>
      <c r="O43" s="274">
        <v>8.0673353999999993</v>
      </c>
      <c r="P43" s="274">
        <v>8.0079973636363633</v>
      </c>
      <c r="Q43" s="274">
        <v>7.9486593272727273</v>
      </c>
      <c r="R43" s="274">
        <v>7.8893212909090904</v>
      </c>
      <c r="S43" s="274">
        <v>7.8299832545454535</v>
      </c>
      <c r="T43" s="402">
        <v>7.7706452181818175</v>
      </c>
      <c r="U43" s="402">
        <v>7.7113071818181815</v>
      </c>
      <c r="V43" s="402">
        <v>7.6519691454545447</v>
      </c>
      <c r="W43" s="402">
        <v>7.5926311090909078</v>
      </c>
      <c r="X43" s="402">
        <v>7.5332930727272718</v>
      </c>
      <c r="Y43" s="402">
        <v>7.4739550363636358</v>
      </c>
      <c r="Z43" s="402">
        <v>7.4146169999999998</v>
      </c>
      <c r="AA43" s="402">
        <v>7.3552789636363638</v>
      </c>
      <c r="AB43" s="402">
        <v>7.295940927272726</v>
      </c>
      <c r="AC43" s="402">
        <v>7.23660289090909</v>
      </c>
      <c r="AD43" s="402">
        <v>7.177264854545454</v>
      </c>
      <c r="AE43" s="402">
        <v>7.117926818181818</v>
      </c>
      <c r="AF43" s="402">
        <v>7.0585887818181803</v>
      </c>
      <c r="AG43" s="402">
        <v>6.9992507454545452</v>
      </c>
      <c r="AH43" s="402">
        <v>6.9399127090909092</v>
      </c>
    </row>
    <row r="44" spans="2:35">
      <c r="B44" s="244" t="s">
        <v>61</v>
      </c>
      <c r="C44" s="63" t="s">
        <v>530</v>
      </c>
      <c r="D44" s="245">
        <v>15.791422399999998</v>
      </c>
      <c r="E44" s="245">
        <v>16.052597599999999</v>
      </c>
      <c r="F44" s="245">
        <v>16.443616799999997</v>
      </c>
      <c r="G44" s="245">
        <v>17.102196800000002</v>
      </c>
      <c r="H44" s="245">
        <v>18.353171199999998</v>
      </c>
      <c r="I44" s="245">
        <v>19.436575599999998</v>
      </c>
      <c r="J44" s="245">
        <v>21.953391200000002</v>
      </c>
      <c r="K44" s="245">
        <v>23.9481684</v>
      </c>
      <c r="L44" s="245">
        <v>27.621547199999998</v>
      </c>
      <c r="M44" s="245">
        <v>30.252736800000001</v>
      </c>
      <c r="N44" s="274">
        <v>32.631554799999996</v>
      </c>
      <c r="O44" s="274">
        <v>32.971989440000002</v>
      </c>
      <c r="P44" s="274">
        <v>34.89788649454546</v>
      </c>
      <c r="Q44" s="274">
        <v>36.823783549090912</v>
      </c>
      <c r="R44" s="274">
        <v>38.749680603636364</v>
      </c>
      <c r="S44" s="274">
        <v>40.675577658181815</v>
      </c>
      <c r="T44" s="402">
        <v>42.601474712727267</v>
      </c>
      <c r="U44" s="402">
        <v>44.527371767272726</v>
      </c>
      <c r="V44" s="402">
        <v>46.453268821818185</v>
      </c>
      <c r="W44" s="402">
        <v>48.379165876363643</v>
      </c>
      <c r="X44" s="402">
        <v>50.305062930909081</v>
      </c>
      <c r="Y44" s="402">
        <v>52.230959985454547</v>
      </c>
      <c r="Z44" s="402">
        <v>54.156857039999998</v>
      </c>
      <c r="AA44" s="402">
        <v>56.08275409454545</v>
      </c>
      <c r="AB44" s="402">
        <v>58.008651149090909</v>
      </c>
      <c r="AC44" s="402">
        <v>59.934548203636368</v>
      </c>
      <c r="AD44" s="402">
        <v>61.860445258181812</v>
      </c>
      <c r="AE44" s="402">
        <v>63.786342312727264</v>
      </c>
      <c r="AF44" s="402">
        <v>65.71223936727273</v>
      </c>
      <c r="AG44" s="402">
        <v>67.638136421818174</v>
      </c>
      <c r="AH44" s="402">
        <v>69.564033476363647</v>
      </c>
    </row>
    <row r="45" spans="2:35">
      <c r="B45" s="244" t="s">
        <v>20</v>
      </c>
      <c r="C45" s="63" t="s">
        <v>530</v>
      </c>
      <c r="D45" s="245">
        <v>6.0576116399999993</v>
      </c>
      <c r="E45" s="245">
        <v>4.8161442599999997</v>
      </c>
      <c r="F45" s="245">
        <v>4.5833844599999995</v>
      </c>
      <c r="G45" s="245">
        <v>4.8549445199999992</v>
      </c>
      <c r="H45" s="245">
        <v>5.9722124399999998</v>
      </c>
      <c r="I45" s="245">
        <v>5.2161737400000003</v>
      </c>
      <c r="J45" s="245">
        <v>5.9954153400000001</v>
      </c>
      <c r="K45" s="245">
        <v>6.7570446599999991</v>
      </c>
      <c r="L45" s="245">
        <v>7.4698826399999998</v>
      </c>
      <c r="M45" s="245">
        <v>8.4303104399999995</v>
      </c>
      <c r="N45" s="274">
        <v>9.4028903999999986</v>
      </c>
      <c r="O45" s="274">
        <v>9.1637611559999996</v>
      </c>
      <c r="P45" s="274">
        <v>9.6753831316363623</v>
      </c>
      <c r="Q45" s="274">
        <v>10.187005107272727</v>
      </c>
      <c r="R45" s="274">
        <v>10.698627082909091</v>
      </c>
      <c r="S45" s="274">
        <v>11.210249058545456</v>
      </c>
      <c r="T45" s="402">
        <v>11.721871034181818</v>
      </c>
      <c r="U45" s="402">
        <v>12.233493009818179</v>
      </c>
      <c r="V45" s="402">
        <v>12.745114985454546</v>
      </c>
      <c r="W45" s="402">
        <v>13.256736961090908</v>
      </c>
      <c r="X45" s="402">
        <v>13.768358936727271</v>
      </c>
      <c r="Y45" s="402">
        <v>14.279980912363637</v>
      </c>
      <c r="Z45" s="402">
        <v>14.791602888000002</v>
      </c>
      <c r="AA45" s="402">
        <v>15.303224863636363</v>
      </c>
      <c r="AB45" s="402">
        <v>15.814846839272725</v>
      </c>
      <c r="AC45" s="402">
        <v>16.326468814909092</v>
      </c>
      <c r="AD45" s="402">
        <v>16.838090790545454</v>
      </c>
      <c r="AE45" s="402">
        <v>17.349712766181817</v>
      </c>
      <c r="AF45" s="402">
        <v>17.861334741818183</v>
      </c>
      <c r="AG45" s="402">
        <v>18.372956717454542</v>
      </c>
      <c r="AH45" s="402">
        <v>18.884578693090912</v>
      </c>
    </row>
    <row r="46" spans="2:35">
      <c r="B46" s="244" t="s">
        <v>21</v>
      </c>
      <c r="C46" s="63" t="s">
        <v>530</v>
      </c>
      <c r="D46" s="245">
        <v>0.21730496999999999</v>
      </c>
      <c r="E46" s="245">
        <v>0.23927168999999998</v>
      </c>
      <c r="F46" s="245">
        <v>0.24153296999999999</v>
      </c>
      <c r="G46" s="245">
        <v>0.24478355999999998</v>
      </c>
      <c r="H46" s="245">
        <v>0.28754597999999998</v>
      </c>
      <c r="I46" s="245">
        <v>0.25376810999999999</v>
      </c>
      <c r="J46" s="245">
        <v>0.31405544999999996</v>
      </c>
      <c r="K46" s="245">
        <v>0.31809345</v>
      </c>
      <c r="L46" s="245">
        <v>0.27694622999999996</v>
      </c>
      <c r="M46" s="245">
        <v>0.27775382999999998</v>
      </c>
      <c r="N46" s="274">
        <v>0.28122650999999999</v>
      </c>
      <c r="O46" s="274">
        <v>0.30496052799999995</v>
      </c>
      <c r="P46" s="274">
        <v>0.31068102799999991</v>
      </c>
      <c r="Q46" s="274">
        <v>0.31640152800000004</v>
      </c>
      <c r="R46" s="274">
        <v>0.322122028</v>
      </c>
      <c r="S46" s="274">
        <v>0.32784252799999997</v>
      </c>
      <c r="T46" s="402">
        <v>0.33356302800000004</v>
      </c>
      <c r="U46" s="402">
        <v>0.33928352799999995</v>
      </c>
      <c r="V46" s="402">
        <v>0.34500402800000002</v>
      </c>
      <c r="W46" s="402">
        <v>0.35072452799999998</v>
      </c>
      <c r="X46" s="402">
        <v>0.35644502799999994</v>
      </c>
      <c r="Y46" s="402">
        <v>0.36216552800000001</v>
      </c>
      <c r="Z46" s="402">
        <v>0.36788602800000003</v>
      </c>
      <c r="AA46" s="402">
        <v>0.37360652799999999</v>
      </c>
      <c r="AB46" s="402">
        <v>0.37932702800000001</v>
      </c>
      <c r="AC46" s="402">
        <v>0.38504752800000003</v>
      </c>
      <c r="AD46" s="402">
        <v>0.39076802799999993</v>
      </c>
      <c r="AE46" s="402">
        <v>0.39648852799999995</v>
      </c>
      <c r="AF46" s="402">
        <v>0.40220902800000002</v>
      </c>
      <c r="AG46" s="402">
        <v>0.40792952799999993</v>
      </c>
      <c r="AH46" s="402">
        <v>0.41365002800000006</v>
      </c>
    </row>
    <row r="47" spans="2:35">
      <c r="B47" s="244" t="s">
        <v>62</v>
      </c>
      <c r="C47" s="63" t="s">
        <v>530</v>
      </c>
      <c r="D47" s="245">
        <v>7.4023999999999993E-2</v>
      </c>
      <c r="E47" s="245">
        <v>9.8695999999999992E-2</v>
      </c>
      <c r="F47" s="245">
        <v>7.7616000000000004E-2</v>
      </c>
      <c r="G47" s="245">
        <v>8.9655999999999986E-2</v>
      </c>
      <c r="H47" s="245">
        <v>6.4736000000000002E-2</v>
      </c>
      <c r="I47" s="245">
        <v>7.2454036765651111E-2</v>
      </c>
      <c r="J47" s="245">
        <v>9.9895999999999999E-2</v>
      </c>
      <c r="K47" s="245">
        <v>5.6343999999999998E-2</v>
      </c>
      <c r="L47" s="245">
        <v>3.8183999999999996E-2</v>
      </c>
      <c r="M47" s="245">
        <v>6.5168000000000004E-2</v>
      </c>
      <c r="N47" s="274">
        <v>6.6615999999999995E-2</v>
      </c>
      <c r="O47" s="274">
        <v>5.190493578437673E-2</v>
      </c>
      <c r="P47" s="274">
        <v>4.80809961676152E-2</v>
      </c>
      <c r="Q47" s="274">
        <v>4.4257056550853685E-2</v>
      </c>
      <c r="R47" s="274">
        <v>4.043311693409217E-2</v>
      </c>
      <c r="S47" s="274">
        <v>3.6609177317330641E-2</v>
      </c>
      <c r="T47" s="402">
        <v>3.2785237700569111E-2</v>
      </c>
      <c r="U47" s="402">
        <v>2.8961298083807589E-2</v>
      </c>
      <c r="V47" s="402">
        <v>2.513735846704607E-2</v>
      </c>
      <c r="W47" s="402">
        <v>2.1313418850284548E-2</v>
      </c>
      <c r="X47" s="402">
        <v>1.7489479233523016E-2</v>
      </c>
      <c r="Y47" s="402">
        <v>1.3665539616761495E-2</v>
      </c>
      <c r="Z47" s="402">
        <v>9.8415999999999764E-3</v>
      </c>
      <c r="AA47" s="402">
        <v>6.0176603832384568E-3</v>
      </c>
      <c r="AB47" s="402">
        <v>2.1937207664769229E-3</v>
      </c>
      <c r="AC47" s="402">
        <v>-1.6302188502845965E-3</v>
      </c>
      <c r="AD47" s="402">
        <v>-5.4541584670461159E-3</v>
      </c>
      <c r="AE47" s="402">
        <v>-9.2780980838076503E-3</v>
      </c>
      <c r="AF47" s="402">
        <v>-1.3102037700569169E-2</v>
      </c>
      <c r="AG47" s="402">
        <v>-1.6925977317330688E-2</v>
      </c>
      <c r="AH47" s="402">
        <v>-2.0749916934092207E-2</v>
      </c>
    </row>
    <row r="48" spans="2:35" ht="24">
      <c r="B48" s="244" t="s">
        <v>415</v>
      </c>
      <c r="C48" s="63" t="s">
        <v>530</v>
      </c>
      <c r="D48" s="245">
        <v>0.53879663999999994</v>
      </c>
      <c r="E48" s="245">
        <v>0.55406097999999993</v>
      </c>
      <c r="F48" s="245">
        <v>0.6054716</v>
      </c>
      <c r="G48" s="245">
        <v>0.62589568000000007</v>
      </c>
      <c r="H48" s="245">
        <v>0.61558239999999997</v>
      </c>
      <c r="I48" s="245">
        <v>0.62087864000000004</v>
      </c>
      <c r="J48" s="245">
        <v>0.58638321999999998</v>
      </c>
      <c r="K48" s="245">
        <v>0.55578547999999994</v>
      </c>
      <c r="L48" s="245">
        <v>0.5552203</v>
      </c>
      <c r="M48" s="245">
        <v>0.5674382</v>
      </c>
      <c r="N48" s="274">
        <v>0.54789032000000004</v>
      </c>
      <c r="O48" s="274">
        <v>0.55233457458443358</v>
      </c>
      <c r="P48" s="274">
        <v>0.55217789563333219</v>
      </c>
      <c r="Q48" s="274">
        <v>0.55202126112683891</v>
      </c>
      <c r="R48" s="274">
        <v>0.55186467105234649</v>
      </c>
      <c r="S48" s="274">
        <v>0.55170812539725056</v>
      </c>
      <c r="T48" s="402">
        <v>0.55155162414895131</v>
      </c>
      <c r="U48" s="402">
        <v>0.55139516729485183</v>
      </c>
      <c r="V48" s="402">
        <v>0.55123875482235885</v>
      </c>
      <c r="W48" s="402">
        <v>0.55108238671888277</v>
      </c>
      <c r="X48" s="402">
        <v>0.55092606297183788</v>
      </c>
      <c r="Y48" s="402">
        <v>0.55076978356864137</v>
      </c>
      <c r="Z48" s="402">
        <v>0.55061354849671462</v>
      </c>
      <c r="AA48" s="402">
        <v>0.55045735774348203</v>
      </c>
      <c r="AB48" s="402">
        <v>0.55030121129637244</v>
      </c>
      <c r="AC48" s="402">
        <v>0.55014510914281711</v>
      </c>
      <c r="AD48" s="402">
        <v>0.54998905127025144</v>
      </c>
      <c r="AE48" s="402">
        <v>0.54983303766611469</v>
      </c>
      <c r="AF48" s="402">
        <v>0.54967706831784935</v>
      </c>
      <c r="AG48" s="402">
        <v>0.54952114321290124</v>
      </c>
      <c r="AH48" s="402">
        <v>0.54936526233872041</v>
      </c>
    </row>
    <row r="49" spans="2:34">
      <c r="B49" s="244" t="s">
        <v>416</v>
      </c>
      <c r="C49" s="63" t="s">
        <v>530</v>
      </c>
      <c r="D49" s="245">
        <v>0.11925238000000001</v>
      </c>
      <c r="E49" s="245">
        <v>0.14806983999999998</v>
      </c>
      <c r="F49" s="245">
        <v>0.17177605999999998</v>
      </c>
      <c r="G49" s="245">
        <v>0.16892254000000001</v>
      </c>
      <c r="H49" s="245">
        <v>0.19441369999999999</v>
      </c>
      <c r="I49" s="245">
        <v>0.20343807999999999</v>
      </c>
      <c r="J49" s="245">
        <v>0.20702209999999999</v>
      </c>
      <c r="K49" s="245">
        <v>0.22925487999999999</v>
      </c>
      <c r="L49" s="245">
        <v>0.20606955999999998</v>
      </c>
      <c r="M49" s="245">
        <v>0.21003533999999999</v>
      </c>
      <c r="N49" s="274">
        <v>0.22504780000000002</v>
      </c>
      <c r="O49" s="274">
        <v>0.24215401333333333</v>
      </c>
      <c r="P49" s="274">
        <v>0.25070712000000001</v>
      </c>
      <c r="Q49" s="274">
        <v>0.25926022666666665</v>
      </c>
      <c r="R49" s="274">
        <v>0.26781333333333329</v>
      </c>
      <c r="S49" s="274">
        <v>0.27636643999999999</v>
      </c>
      <c r="T49" s="402">
        <v>0.28491954666666663</v>
      </c>
      <c r="U49" s="402">
        <v>0.29347265333333333</v>
      </c>
      <c r="V49" s="402">
        <v>0.30202575999999998</v>
      </c>
      <c r="W49" s="402">
        <v>0.31057886666666662</v>
      </c>
      <c r="X49" s="402">
        <v>0.31913197333333332</v>
      </c>
      <c r="Y49" s="402">
        <v>0.32768508000000002</v>
      </c>
      <c r="Z49" s="402">
        <v>0.33623818666666661</v>
      </c>
      <c r="AA49" s="402">
        <v>0.34479129333333325</v>
      </c>
      <c r="AB49" s="402">
        <v>0.3533444</v>
      </c>
      <c r="AC49" s="402">
        <v>0.36189750666666665</v>
      </c>
      <c r="AD49" s="402">
        <v>0.37045061333333329</v>
      </c>
      <c r="AE49" s="402">
        <v>0.37900371999999999</v>
      </c>
      <c r="AF49" s="402">
        <v>0.38755682666666663</v>
      </c>
      <c r="AG49" s="402">
        <v>0.39610993333333328</v>
      </c>
      <c r="AH49" s="402">
        <v>0.40466304000000003</v>
      </c>
    </row>
    <row r="50" spans="2:34" ht="24">
      <c r="B50" s="244" t="s">
        <v>417</v>
      </c>
      <c r="C50" s="63" t="s">
        <v>530</v>
      </c>
      <c r="D50" s="245">
        <v>0.55348321999999994</v>
      </c>
      <c r="E50" s="245">
        <v>0.62981056666666657</v>
      </c>
      <c r="F50" s="245">
        <v>0.84292398999999996</v>
      </c>
      <c r="G50" s="245">
        <v>0.92490273999999995</v>
      </c>
      <c r="H50" s="245">
        <v>1.0384565533333332</v>
      </c>
      <c r="I50" s="245">
        <v>1.0788799566666667</v>
      </c>
      <c r="J50" s="245">
        <v>1.1465136333333332</v>
      </c>
      <c r="K50" s="245">
        <v>1.1616893966666666</v>
      </c>
      <c r="L50" s="245">
        <v>1.3912453266666669</v>
      </c>
      <c r="M50" s="245">
        <v>1.4617696899999999</v>
      </c>
      <c r="N50" s="274">
        <v>1.659380513333333</v>
      </c>
      <c r="O50" s="274">
        <v>1.6791270553333342</v>
      </c>
      <c r="P50" s="274">
        <v>1.778321567818183</v>
      </c>
      <c r="Q50" s="274">
        <v>1.877516080303032</v>
      </c>
      <c r="R50" s="274">
        <v>1.9767105927878803</v>
      </c>
      <c r="S50" s="274">
        <v>2.0759051052727289</v>
      </c>
      <c r="T50" s="402">
        <v>2.1750996177575774</v>
      </c>
      <c r="U50" s="402">
        <v>2.2742941302424264</v>
      </c>
      <c r="V50" s="402">
        <v>2.373488642727275</v>
      </c>
      <c r="W50" s="402">
        <v>2.4726831552121236</v>
      </c>
      <c r="X50" s="402">
        <v>2.5718776676969721</v>
      </c>
      <c r="Y50" s="402">
        <v>2.6710721801818207</v>
      </c>
      <c r="Z50" s="402">
        <v>2.7702666926666693</v>
      </c>
      <c r="AA50" s="402">
        <v>2.8694612051515187</v>
      </c>
      <c r="AB50" s="402">
        <v>2.9686557176363673</v>
      </c>
      <c r="AC50" s="402">
        <v>3.0678502301212158</v>
      </c>
      <c r="AD50" s="402">
        <v>3.1670447426060639</v>
      </c>
      <c r="AE50" s="402">
        <v>3.2662392550909125</v>
      </c>
      <c r="AF50" s="402">
        <v>3.3654337675757615</v>
      </c>
      <c r="AG50" s="402">
        <v>3.4646282800606101</v>
      </c>
      <c r="AH50" s="402">
        <v>3.5638227925454586</v>
      </c>
    </row>
    <row r="51" spans="2:34">
      <c r="B51" s="244" t="s">
        <v>73</v>
      </c>
      <c r="C51" s="63" t="s">
        <v>530</v>
      </c>
      <c r="D51" s="245">
        <v>6.9634040000000008E-2</v>
      </c>
      <c r="E51" s="245">
        <v>8.1110779999999993E-2</v>
      </c>
      <c r="F51" s="245">
        <v>8.5872740000000003E-2</v>
      </c>
      <c r="G51" s="245">
        <v>9.904447999999999E-2</v>
      </c>
      <c r="H51" s="245">
        <v>9.760038E-2</v>
      </c>
      <c r="I51" s="245">
        <v>0.10671744</v>
      </c>
      <c r="J51" s="245">
        <v>0.10593514</v>
      </c>
      <c r="K51" s="245">
        <v>0.13069506</v>
      </c>
      <c r="L51" s="245">
        <v>0.15924189999999999</v>
      </c>
      <c r="M51" s="245">
        <v>0.16427839999999999</v>
      </c>
      <c r="N51" s="274">
        <v>0.19742182</v>
      </c>
      <c r="O51" s="274">
        <v>0.18929607466666667</v>
      </c>
      <c r="P51" s="274">
        <v>0.20138775842424242</v>
      </c>
      <c r="Q51" s="274">
        <v>0.21347944218181819</v>
      </c>
      <c r="R51" s="274">
        <v>0.22557112593939393</v>
      </c>
      <c r="S51" s="274">
        <v>0.23766280969696968</v>
      </c>
      <c r="T51" s="402">
        <v>0.24975449345454542</v>
      </c>
      <c r="U51" s="402">
        <v>0.26184617721212117</v>
      </c>
      <c r="V51" s="402">
        <v>0.27393786096969691</v>
      </c>
      <c r="W51" s="402">
        <v>0.28602954472727277</v>
      </c>
      <c r="X51" s="402">
        <v>0.29812122848484851</v>
      </c>
      <c r="Y51" s="402">
        <v>0.31021291224242425</v>
      </c>
      <c r="Z51" s="402">
        <v>0.322304596</v>
      </c>
      <c r="AA51" s="402">
        <v>0.33439627975757574</v>
      </c>
      <c r="AB51" s="402">
        <v>0.34648796351515149</v>
      </c>
      <c r="AC51" s="402">
        <v>0.35857964727272729</v>
      </c>
      <c r="AD51" s="402">
        <v>0.37067133103030303</v>
      </c>
      <c r="AE51" s="402">
        <v>0.38276301478787877</v>
      </c>
      <c r="AF51" s="402">
        <v>0.39485469854545457</v>
      </c>
      <c r="AG51" s="402">
        <v>0.40694638230303032</v>
      </c>
      <c r="AH51" s="402">
        <v>0.41903806606060606</v>
      </c>
    </row>
    <row r="52" spans="2:34">
      <c r="B52" s="63"/>
      <c r="C52" s="63"/>
      <c r="D52" s="245"/>
      <c r="E52" s="245"/>
      <c r="F52" s="245"/>
      <c r="G52" s="245"/>
      <c r="H52" s="245"/>
      <c r="I52" s="245"/>
      <c r="J52" s="245"/>
      <c r="K52" s="245"/>
      <c r="L52" s="245"/>
      <c r="M52" s="245"/>
      <c r="N52" s="245"/>
      <c r="O52" s="274"/>
      <c r="P52" s="274"/>
      <c r="Q52" s="274"/>
      <c r="R52" s="274"/>
      <c r="S52" s="274"/>
      <c r="T52" s="402"/>
      <c r="U52" s="402"/>
      <c r="V52" s="402"/>
      <c r="W52" s="402"/>
      <c r="X52" s="402"/>
      <c r="Y52" s="402"/>
      <c r="Z52" s="402"/>
      <c r="AA52" s="402"/>
      <c r="AB52" s="402"/>
      <c r="AC52" s="402"/>
      <c r="AD52" s="402"/>
      <c r="AE52" s="402"/>
      <c r="AF52" s="402"/>
      <c r="AG52" s="402"/>
      <c r="AH52" s="402"/>
    </row>
    <row r="53" spans="2:34">
      <c r="B53" s="246" t="s">
        <v>420</v>
      </c>
      <c r="C53" s="63" t="s">
        <v>530</v>
      </c>
      <c r="D53" s="245">
        <v>50.176369289999982</v>
      </c>
      <c r="E53" s="245">
        <v>49.978419716666671</v>
      </c>
      <c r="F53" s="245">
        <v>51.657739619999994</v>
      </c>
      <c r="G53" s="245">
        <v>54.020374319999995</v>
      </c>
      <c r="H53" s="245">
        <v>57.553667653333335</v>
      </c>
      <c r="I53" s="245">
        <v>57.302330603432317</v>
      </c>
      <c r="J53" s="245">
        <v>62.376535083333337</v>
      </c>
      <c r="K53" s="245">
        <v>66.691821326666656</v>
      </c>
      <c r="L53" s="245">
        <v>73.113194156666651</v>
      </c>
      <c r="M53" s="245">
        <v>78.119209699999999</v>
      </c>
      <c r="N53" s="245">
        <v>82.742088163333307</v>
      </c>
      <c r="O53" s="274">
        <v>83.626515777702139</v>
      </c>
      <c r="P53" s="274">
        <v>87.31788581040702</v>
      </c>
      <c r="Q53" s="274">
        <v>91.009255887556492</v>
      </c>
      <c r="R53" s="274">
        <v>94.700626009137963</v>
      </c>
      <c r="S53" s="274">
        <v>98.391996175138829</v>
      </c>
      <c r="T53" s="402">
        <v>102.08336638554648</v>
      </c>
      <c r="U53" s="402">
        <v>105.77473664034835</v>
      </c>
      <c r="V53" s="402">
        <v>109.46610693953185</v>
      </c>
      <c r="W53" s="402">
        <v>113.15747728308433</v>
      </c>
      <c r="X53" s="402">
        <v>116.84884767099319</v>
      </c>
      <c r="Y53" s="402">
        <v>120.54021810324602</v>
      </c>
      <c r="Z53" s="402">
        <v>124.23158857983003</v>
      </c>
      <c r="AA53" s="402">
        <v>127.92295910073277</v>
      </c>
      <c r="AB53" s="402">
        <v>131.61432966594165</v>
      </c>
      <c r="AC53" s="402">
        <v>135.30570027544408</v>
      </c>
      <c r="AD53" s="402">
        <v>138.99707092922745</v>
      </c>
      <c r="AE53" s="402">
        <v>142.68844162727925</v>
      </c>
      <c r="AF53" s="402">
        <v>146.37981236958697</v>
      </c>
      <c r="AG53" s="402">
        <v>150.07118315613801</v>
      </c>
      <c r="AH53" s="402">
        <v>153.76255398691981</v>
      </c>
    </row>
    <row r="54" spans="2:34">
      <c r="D54" s="243"/>
      <c r="E54" s="243"/>
      <c r="F54" s="243"/>
      <c r="G54" s="243"/>
      <c r="H54" s="243"/>
      <c r="I54" s="243"/>
      <c r="J54" s="243"/>
      <c r="K54" s="243"/>
      <c r="L54" s="243"/>
      <c r="M54" s="243"/>
      <c r="N54" s="243"/>
    </row>
  </sheetData>
  <mergeCells count="2">
    <mergeCell ref="F5:G5"/>
    <mergeCell ref="C5:D5"/>
  </mergeCells>
  <pageMargins left="0.41" right="0.21"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sheetPr>
    <tabColor rgb="FFFFFF00"/>
  </sheetPr>
  <dimension ref="A1:AV68"/>
  <sheetViews>
    <sheetView zoomScale="55" zoomScaleNormal="55" workbookViewId="0">
      <selection activeCell="C2" sqref="C2"/>
    </sheetView>
  </sheetViews>
  <sheetFormatPr defaultRowHeight="15"/>
  <cols>
    <col min="1" max="1" width="1.7109375" customWidth="1"/>
    <col min="2" max="2" width="13.28515625" customWidth="1"/>
    <col min="3" max="3" width="15.5703125" customWidth="1"/>
    <col min="4" max="4" width="13.85546875" customWidth="1"/>
    <col min="5" max="5" width="16.42578125" customWidth="1"/>
    <col min="6" max="6" width="13" customWidth="1"/>
    <col min="7" max="7" width="16.140625" customWidth="1"/>
    <col min="8" max="8" width="29.85546875" customWidth="1"/>
    <col min="9" max="9" width="19" customWidth="1"/>
    <col min="10" max="10" width="18.28515625" customWidth="1"/>
    <col min="11" max="11" width="25.140625" customWidth="1"/>
    <col min="12" max="12" width="14.42578125" customWidth="1"/>
    <col min="13" max="13" width="12" customWidth="1"/>
    <col min="14" max="14" width="12" bestFit="1" customWidth="1"/>
    <col min="15" max="18" width="14.85546875" bestFit="1" customWidth="1"/>
    <col min="19" max="31" width="15.85546875" bestFit="1" customWidth="1"/>
    <col min="32" max="33" width="18.28515625" customWidth="1"/>
    <col min="34" max="34" width="16" customWidth="1"/>
    <col min="35" max="35" width="14.140625" customWidth="1"/>
    <col min="36" max="36" width="14.42578125" customWidth="1"/>
    <col min="37" max="37" width="13.85546875" customWidth="1"/>
    <col min="38" max="38" width="15.140625" customWidth="1"/>
    <col min="39" max="39" width="20.7109375" customWidth="1"/>
    <col min="40" max="40" width="20" customWidth="1"/>
    <col min="41" max="41" width="16.42578125" customWidth="1"/>
    <col min="42" max="42" width="21" customWidth="1"/>
    <col min="43" max="43" width="13" customWidth="1"/>
    <col min="44" max="44" width="12.42578125" customWidth="1"/>
    <col min="45" max="45" width="12.140625" customWidth="1"/>
    <col min="46" max="46" width="12.85546875" customWidth="1"/>
    <col min="47" max="47" width="14.85546875" customWidth="1"/>
    <col min="48" max="48" width="12.5703125" customWidth="1"/>
  </cols>
  <sheetData>
    <row r="1" spans="1:42" ht="15.75">
      <c r="B1" t="s">
        <v>0</v>
      </c>
      <c r="C1" t="s">
        <v>2</v>
      </c>
      <c r="J1" s="421" t="s">
        <v>536</v>
      </c>
      <c r="AJ1" t="s">
        <v>0</v>
      </c>
      <c r="AK1" t="s">
        <v>2</v>
      </c>
    </row>
    <row r="2" spans="1:42">
      <c r="B2" t="s">
        <v>1</v>
      </c>
      <c r="C2" t="s">
        <v>133</v>
      </c>
      <c r="AJ2" t="s">
        <v>1</v>
      </c>
      <c r="AK2" t="s">
        <v>132</v>
      </c>
    </row>
    <row r="3" spans="1:42" ht="6" customHeight="1" thickBot="1"/>
    <row r="4" spans="1:42">
      <c r="B4" s="502" t="s">
        <v>100</v>
      </c>
      <c r="C4" s="43" t="s">
        <v>3</v>
      </c>
      <c r="D4" s="77" t="s">
        <v>87</v>
      </c>
      <c r="E4" s="501" t="s">
        <v>96</v>
      </c>
      <c r="F4" s="498"/>
      <c r="G4" s="500"/>
      <c r="H4" s="514" t="s">
        <v>87</v>
      </c>
      <c r="I4" s="515"/>
      <c r="J4" s="515"/>
      <c r="K4" s="515"/>
      <c r="L4" s="516"/>
      <c r="AJ4" s="502" t="s">
        <v>100</v>
      </c>
      <c r="AK4" s="43" t="s">
        <v>3</v>
      </c>
      <c r="AL4" s="77" t="s">
        <v>87</v>
      </c>
      <c r="AM4" s="501" t="s">
        <v>146</v>
      </c>
      <c r="AN4" s="498"/>
      <c r="AO4" s="501" t="s">
        <v>147</v>
      </c>
      <c r="AP4" s="499"/>
    </row>
    <row r="5" spans="1:42" ht="56.25" customHeight="1">
      <c r="B5" s="503"/>
      <c r="C5" s="22" t="s">
        <v>10</v>
      </c>
      <c r="D5" s="22" t="s">
        <v>5</v>
      </c>
      <c r="E5" s="22" t="s">
        <v>86</v>
      </c>
      <c r="F5" s="22" t="s">
        <v>91</v>
      </c>
      <c r="G5" s="22" t="s">
        <v>94</v>
      </c>
      <c r="H5" s="21" t="s">
        <v>347</v>
      </c>
      <c r="I5" s="190" t="s">
        <v>108</v>
      </c>
      <c r="J5" s="21" t="s">
        <v>104</v>
      </c>
      <c r="K5" s="508" t="s">
        <v>134</v>
      </c>
      <c r="L5" s="509"/>
      <c r="AJ5" s="503"/>
      <c r="AK5" s="7" t="s">
        <v>10</v>
      </c>
      <c r="AL5" s="22" t="s">
        <v>122</v>
      </c>
      <c r="AM5" s="23" t="s">
        <v>131</v>
      </c>
      <c r="AN5" s="22" t="s">
        <v>125</v>
      </c>
      <c r="AO5" s="24" t="s">
        <v>127</v>
      </c>
      <c r="AP5" s="93" t="s">
        <v>130</v>
      </c>
    </row>
    <row r="6" spans="1:42" ht="46.5">
      <c r="A6" t="s">
        <v>346</v>
      </c>
      <c r="B6" s="503"/>
      <c r="D6" s="7" t="s">
        <v>421</v>
      </c>
      <c r="E6" s="24" t="s">
        <v>93</v>
      </c>
      <c r="F6" s="7" t="s">
        <v>92</v>
      </c>
      <c r="G6" s="7" t="s">
        <v>95</v>
      </c>
      <c r="H6" s="9" t="s">
        <v>97</v>
      </c>
      <c r="I6" s="79" t="s">
        <v>107</v>
      </c>
      <c r="J6" s="23" t="s">
        <v>105</v>
      </c>
      <c r="K6" s="1" t="s">
        <v>106</v>
      </c>
      <c r="L6" s="1" t="s">
        <v>539</v>
      </c>
      <c r="AJ6" s="503"/>
      <c r="AK6" s="7"/>
      <c r="AL6" s="80" t="s">
        <v>107</v>
      </c>
      <c r="AM6" s="24" t="s">
        <v>97</v>
      </c>
      <c r="AN6" s="80" t="s">
        <v>107</v>
      </c>
      <c r="AO6" s="24" t="s">
        <v>129</v>
      </c>
      <c r="AP6" s="195" t="s">
        <v>144</v>
      </c>
    </row>
    <row r="7" spans="1:42" ht="36.75" customHeight="1">
      <c r="B7" s="503"/>
      <c r="C7" s="191"/>
      <c r="D7" s="191"/>
      <c r="E7" s="191"/>
      <c r="F7" s="191"/>
      <c r="G7" s="188" t="s">
        <v>98</v>
      </c>
      <c r="H7" s="192"/>
      <c r="I7" s="189" t="s">
        <v>102</v>
      </c>
      <c r="J7" s="192"/>
      <c r="K7" s="510" t="s">
        <v>109</v>
      </c>
      <c r="L7" s="511"/>
      <c r="AJ7" s="503"/>
      <c r="AK7" s="7"/>
      <c r="AL7" s="24"/>
      <c r="AM7" s="24"/>
      <c r="AN7" s="24" t="s">
        <v>136</v>
      </c>
      <c r="AO7" s="24"/>
      <c r="AP7" s="93" t="s">
        <v>148</v>
      </c>
    </row>
    <row r="8" spans="1:42" ht="18.75" thickBot="1">
      <c r="B8" s="12" t="s">
        <v>101</v>
      </c>
      <c r="C8" s="13" t="s">
        <v>9</v>
      </c>
      <c r="D8" s="13" t="s">
        <v>11</v>
      </c>
      <c r="E8" s="13" t="s">
        <v>90</v>
      </c>
      <c r="F8" s="13" t="s">
        <v>88</v>
      </c>
      <c r="G8" s="13" t="s">
        <v>89</v>
      </c>
      <c r="H8" s="14" t="s">
        <v>99</v>
      </c>
      <c r="I8" s="14" t="s">
        <v>103</v>
      </c>
      <c r="J8" s="14"/>
      <c r="K8" s="512" t="s">
        <v>110</v>
      </c>
      <c r="L8" s="513"/>
      <c r="AJ8" s="12" t="s">
        <v>101</v>
      </c>
      <c r="AK8" s="13" t="s">
        <v>9</v>
      </c>
      <c r="AL8" s="14" t="s">
        <v>103</v>
      </c>
      <c r="AM8" s="13" t="s">
        <v>124</v>
      </c>
      <c r="AN8" s="13" t="s">
        <v>126</v>
      </c>
      <c r="AO8" s="13" t="s">
        <v>143</v>
      </c>
      <c r="AP8" s="95" t="s">
        <v>145</v>
      </c>
    </row>
    <row r="9" spans="1:42">
      <c r="B9" s="6"/>
      <c r="C9" s="8"/>
      <c r="D9" s="8"/>
      <c r="E9" s="90" t="s">
        <v>119</v>
      </c>
      <c r="F9" s="8"/>
      <c r="G9" s="8"/>
      <c r="H9" s="90" t="s">
        <v>121</v>
      </c>
      <c r="I9" s="10"/>
      <c r="J9" s="90" t="s">
        <v>120</v>
      </c>
      <c r="K9" s="238"/>
      <c r="L9" s="261"/>
      <c r="AJ9" s="6"/>
      <c r="AK9" s="8"/>
      <c r="AL9" s="8"/>
      <c r="AM9" s="90" t="s">
        <v>123</v>
      </c>
      <c r="AN9" s="8"/>
      <c r="AO9" s="90" t="s">
        <v>128</v>
      </c>
      <c r="AP9" s="96" t="s">
        <v>121</v>
      </c>
    </row>
    <row r="10" spans="1:42">
      <c r="B10" s="6"/>
      <c r="C10" s="248" t="s">
        <v>60</v>
      </c>
      <c r="D10" s="8">
        <v>190930.96363636362</v>
      </c>
      <c r="E10" s="87">
        <f t="shared" ref="E10:E20" si="0">G25</f>
        <v>0.47</v>
      </c>
      <c r="F10" s="87">
        <f t="shared" ref="F10:F15" si="1">E25</f>
        <v>350</v>
      </c>
      <c r="G10" s="92">
        <f t="shared" ref="G10:G20" si="2">E10*(F10/10^3)*365</f>
        <v>60.04249999999999</v>
      </c>
      <c r="H10" s="89">
        <f t="shared" ref="H10:H16" si="3">I$25/100</f>
        <v>0.02</v>
      </c>
      <c r="I10" s="83">
        <f>D10*G10*H10</f>
        <v>229279.44768272722</v>
      </c>
      <c r="J10" s="88">
        <v>0.02</v>
      </c>
      <c r="K10" s="259">
        <f>I10*J10*(44/28)</f>
        <v>7205.9254985999987</v>
      </c>
      <c r="L10" s="413">
        <f>K10/10^6</f>
        <v>7.2059254985999991E-3</v>
      </c>
      <c r="AJ10" s="6"/>
      <c r="AK10" s="81" t="s">
        <v>60</v>
      </c>
      <c r="AL10" s="86">
        <f t="shared" ref="AL10:AL15" si="4">I10</f>
        <v>229279.44768272722</v>
      </c>
      <c r="AM10" s="87">
        <f t="shared" ref="AM10:AM15" si="5">AM25</f>
        <v>0.2</v>
      </c>
      <c r="AN10" s="91">
        <f t="shared" ref="AN10:AN15" si="6">AL10*AM10</f>
        <v>45855.889536545445</v>
      </c>
      <c r="AO10" s="92">
        <f t="shared" ref="AO10:AO15" si="7">AS$25</f>
        <v>0.01</v>
      </c>
      <c r="AP10" s="99">
        <f t="shared" ref="AP10:AP15" si="8">AN10*AO10*(44/28)</f>
        <v>720.59254985999985</v>
      </c>
    </row>
    <row r="11" spans="1:42">
      <c r="B11" s="6"/>
      <c r="C11" s="248" t="s">
        <v>69</v>
      </c>
      <c r="D11" s="8">
        <v>622431.42424242431</v>
      </c>
      <c r="E11" s="87">
        <f t="shared" si="0"/>
        <v>0.34</v>
      </c>
      <c r="F11" s="87">
        <f t="shared" si="1"/>
        <v>319</v>
      </c>
      <c r="G11" s="92">
        <f t="shared" si="2"/>
        <v>39.587900000000005</v>
      </c>
      <c r="H11" s="89">
        <f t="shared" si="3"/>
        <v>0.02</v>
      </c>
      <c r="I11" s="83">
        <f t="shared" ref="I11:I20" si="9">D11*G11*H11</f>
        <v>492815.05959533341</v>
      </c>
      <c r="J11" s="88">
        <v>0.02</v>
      </c>
      <c r="K11" s="259">
        <f t="shared" ref="K11:K20" si="10">I11*J11*(44/28)</f>
        <v>15488.473301567621</v>
      </c>
      <c r="L11" s="413">
        <f>K11/10^6</f>
        <v>1.5488473301567621E-2</v>
      </c>
      <c r="AJ11" s="6"/>
      <c r="AK11" s="81" t="s">
        <v>69</v>
      </c>
      <c r="AL11" s="86">
        <f t="shared" si="4"/>
        <v>492815.05959533341</v>
      </c>
      <c r="AM11" s="87">
        <f t="shared" si="5"/>
        <v>0.3</v>
      </c>
      <c r="AN11" s="91">
        <f t="shared" si="6"/>
        <v>147844.51787860002</v>
      </c>
      <c r="AO11" s="92">
        <f t="shared" si="7"/>
        <v>0.01</v>
      </c>
      <c r="AP11" s="99">
        <f t="shared" si="8"/>
        <v>2323.2709952351433</v>
      </c>
    </row>
    <row r="12" spans="1:42">
      <c r="B12" s="6"/>
      <c r="C12" s="248" t="s">
        <v>19</v>
      </c>
      <c r="D12" s="8">
        <v>121752.85454545454</v>
      </c>
      <c r="E12" s="87">
        <f t="shared" si="0"/>
        <v>0.32</v>
      </c>
      <c r="F12" s="87">
        <f t="shared" si="1"/>
        <v>380</v>
      </c>
      <c r="G12" s="92">
        <f t="shared" si="2"/>
        <v>44.384</v>
      </c>
      <c r="H12" s="89">
        <f t="shared" si="3"/>
        <v>0.02</v>
      </c>
      <c r="I12" s="83">
        <f t="shared" si="9"/>
        <v>108077.5739229091</v>
      </c>
      <c r="J12" s="88">
        <v>0.02</v>
      </c>
      <c r="K12" s="259">
        <f t="shared" si="10"/>
        <v>3396.7237518628572</v>
      </c>
      <c r="L12" s="413">
        <f t="shared" ref="L12:L20" si="11">K12/10^6</f>
        <v>3.3967237518628571E-3</v>
      </c>
      <c r="AJ12" s="6"/>
      <c r="AK12" s="81" t="s">
        <v>19</v>
      </c>
      <c r="AL12" s="86">
        <f t="shared" si="4"/>
        <v>108077.5739229091</v>
      </c>
      <c r="AM12" s="87">
        <f t="shared" si="5"/>
        <v>0.3</v>
      </c>
      <c r="AN12" s="91">
        <f t="shared" si="6"/>
        <v>32423.272176872728</v>
      </c>
      <c r="AO12" s="92">
        <f t="shared" si="7"/>
        <v>0.01</v>
      </c>
      <c r="AP12" s="99">
        <f t="shared" si="8"/>
        <v>509.50856277942859</v>
      </c>
    </row>
    <row r="13" spans="1:42">
      <c r="B13" s="6"/>
      <c r="C13" s="248" t="s">
        <v>61</v>
      </c>
      <c r="D13" s="8">
        <v>13377698.745454546</v>
      </c>
      <c r="E13" s="87">
        <f t="shared" si="0"/>
        <v>1.17</v>
      </c>
      <c r="F13" s="87">
        <f t="shared" si="1"/>
        <v>28</v>
      </c>
      <c r="G13" s="92">
        <f t="shared" si="2"/>
        <v>11.9574</v>
      </c>
      <c r="H13" s="89">
        <f t="shared" si="3"/>
        <v>0.02</v>
      </c>
      <c r="I13" s="83">
        <f t="shared" si="9"/>
        <v>3199249.8995779641</v>
      </c>
      <c r="J13" s="88">
        <v>0.02</v>
      </c>
      <c r="K13" s="259">
        <f t="shared" si="10"/>
        <v>100547.85398673602</v>
      </c>
      <c r="L13" s="413">
        <f t="shared" si="11"/>
        <v>0.10054785398673602</v>
      </c>
      <c r="AJ13" s="6"/>
      <c r="AK13" s="81" t="s">
        <v>61</v>
      </c>
      <c r="AL13" s="86">
        <f t="shared" si="4"/>
        <v>3199249.8995779641</v>
      </c>
      <c r="AM13" s="87">
        <f t="shared" si="5"/>
        <v>0.12</v>
      </c>
      <c r="AN13" s="91">
        <f t="shared" si="6"/>
        <v>383909.98794935568</v>
      </c>
      <c r="AO13" s="92">
        <f t="shared" si="7"/>
        <v>0.01</v>
      </c>
      <c r="AP13" s="99">
        <f t="shared" si="8"/>
        <v>6032.8712392041607</v>
      </c>
    </row>
    <row r="14" spans="1:42">
      <c r="B14" s="6"/>
      <c r="C14" s="248" t="s">
        <v>20</v>
      </c>
      <c r="D14" s="8">
        <v>3617735.3818181818</v>
      </c>
      <c r="E14" s="87">
        <f t="shared" si="0"/>
        <v>1.37</v>
      </c>
      <c r="F14" s="87">
        <f t="shared" si="1"/>
        <v>30</v>
      </c>
      <c r="G14" s="92">
        <f t="shared" si="2"/>
        <v>15.001500000000002</v>
      </c>
      <c r="H14" s="89">
        <f t="shared" si="3"/>
        <v>0.02</v>
      </c>
      <c r="I14" s="83">
        <f t="shared" si="9"/>
        <v>1085429.1466069091</v>
      </c>
      <c r="J14" s="88">
        <v>0.02</v>
      </c>
      <c r="K14" s="259">
        <f t="shared" si="10"/>
        <v>34113.487464788574</v>
      </c>
      <c r="L14" s="413">
        <f t="shared" si="11"/>
        <v>3.4113487464788574E-2</v>
      </c>
      <c r="AJ14" s="6"/>
      <c r="AK14" s="81" t="s">
        <v>20</v>
      </c>
      <c r="AL14" s="86">
        <f t="shared" si="4"/>
        <v>1085429.1466069091</v>
      </c>
      <c r="AM14" s="87">
        <f t="shared" si="5"/>
        <v>0.12</v>
      </c>
      <c r="AN14" s="91">
        <f t="shared" si="6"/>
        <v>130251.4975928291</v>
      </c>
      <c r="AO14" s="92">
        <f t="shared" si="7"/>
        <v>0.01</v>
      </c>
      <c r="AP14" s="99">
        <f t="shared" si="8"/>
        <v>2046.8092478873145</v>
      </c>
    </row>
    <row r="15" spans="1:42">
      <c r="B15" s="6"/>
      <c r="C15" s="248" t="s">
        <v>21</v>
      </c>
      <c r="D15" s="8">
        <v>20487.866666666669</v>
      </c>
      <c r="E15" s="87">
        <f t="shared" si="0"/>
        <v>0.46</v>
      </c>
      <c r="F15" s="87">
        <f t="shared" si="1"/>
        <v>238</v>
      </c>
      <c r="G15" s="92">
        <f t="shared" si="2"/>
        <v>39.9602</v>
      </c>
      <c r="H15" s="89">
        <f t="shared" si="3"/>
        <v>0.02</v>
      </c>
      <c r="I15" s="83">
        <f t="shared" si="9"/>
        <v>16373.984991466668</v>
      </c>
      <c r="J15" s="88">
        <v>0.02</v>
      </c>
      <c r="K15" s="259">
        <f t="shared" si="10"/>
        <v>514.61095687466673</v>
      </c>
      <c r="L15" s="413">
        <f t="shared" si="11"/>
        <v>5.1461095687466672E-4</v>
      </c>
      <c r="AJ15" s="6"/>
      <c r="AK15" s="81" t="s">
        <v>21</v>
      </c>
      <c r="AL15" s="86">
        <f t="shared" si="4"/>
        <v>16373.984991466668</v>
      </c>
      <c r="AM15" s="87">
        <f t="shared" si="5"/>
        <v>0.12</v>
      </c>
      <c r="AN15" s="91">
        <f t="shared" si="6"/>
        <v>1964.878198976</v>
      </c>
      <c r="AO15" s="92">
        <f t="shared" si="7"/>
        <v>0.01</v>
      </c>
      <c r="AP15" s="99">
        <f t="shared" si="8"/>
        <v>30.87665741248</v>
      </c>
    </row>
    <row r="16" spans="1:42">
      <c r="B16" s="6"/>
      <c r="C16" s="248" t="s">
        <v>62</v>
      </c>
      <c r="D16" s="8">
        <v>-2593.7396167615261</v>
      </c>
      <c r="E16" s="87">
        <f t="shared" si="0"/>
        <v>1.37</v>
      </c>
      <c r="F16" s="87">
        <f>E31</f>
        <v>30</v>
      </c>
      <c r="G16" s="92">
        <f t="shared" si="2"/>
        <v>15.001500000000002</v>
      </c>
      <c r="H16" s="89">
        <f t="shared" si="3"/>
        <v>0.02</v>
      </c>
      <c r="I16" s="83">
        <f t="shared" si="9"/>
        <v>-778.19969721696077</v>
      </c>
      <c r="J16" s="88">
        <v>0.02</v>
      </c>
      <c r="K16" s="259">
        <f t="shared" si="10"/>
        <v>-24.45770476967591</v>
      </c>
      <c r="L16" s="413">
        <f t="shared" si="11"/>
        <v>-2.4457704769675911E-5</v>
      </c>
      <c r="AJ16" s="6"/>
      <c r="AK16" s="81" t="s">
        <v>62</v>
      </c>
      <c r="AL16" s="86"/>
      <c r="AM16" s="87"/>
      <c r="AN16" s="91"/>
      <c r="AO16" s="92"/>
      <c r="AP16" s="99"/>
    </row>
    <row r="17" spans="2:45">
      <c r="B17" s="6"/>
      <c r="C17" s="248" t="s">
        <v>70</v>
      </c>
      <c r="D17" s="8">
        <v>27468263.116936017</v>
      </c>
      <c r="E17" s="87">
        <f t="shared" si="0"/>
        <v>0.82</v>
      </c>
      <c r="F17" s="87">
        <f>E32</f>
        <v>1.5</v>
      </c>
      <c r="G17" s="92">
        <f t="shared" si="2"/>
        <v>0.44895000000000002</v>
      </c>
      <c r="H17" s="89">
        <f>I$25/100</f>
        <v>0.02</v>
      </c>
      <c r="I17" s="83">
        <f t="shared" si="9"/>
        <v>246637.53452696849</v>
      </c>
      <c r="J17" s="88">
        <v>0.01</v>
      </c>
      <c r="K17" s="259">
        <f>I17*J17*(44/28)</f>
        <v>3875.7326854237908</v>
      </c>
      <c r="L17" s="413">
        <f t="shared" si="11"/>
        <v>3.8757326854237909E-3</v>
      </c>
      <c r="AJ17" s="6"/>
      <c r="AK17" s="81"/>
      <c r="AL17" s="86"/>
      <c r="AM17" s="87"/>
      <c r="AN17" s="91"/>
      <c r="AO17" s="92"/>
      <c r="AP17" s="99"/>
    </row>
    <row r="18" spans="2:45">
      <c r="B18" s="6"/>
      <c r="C18" s="249" t="s">
        <v>416</v>
      </c>
      <c r="D18" s="8">
        <v>20233152</v>
      </c>
      <c r="E18" s="252">
        <f>G33</f>
        <v>1.1000000000000001</v>
      </c>
      <c r="F18" s="87">
        <f>E33</f>
        <v>1.5</v>
      </c>
      <c r="G18" s="92">
        <f t="shared" si="2"/>
        <v>0.60225000000000006</v>
      </c>
      <c r="H18" s="89">
        <f>I$25/100</f>
        <v>0.02</v>
      </c>
      <c r="I18" s="83">
        <f t="shared" si="9"/>
        <v>243708.31584000002</v>
      </c>
      <c r="J18" s="88">
        <v>0.01</v>
      </c>
      <c r="K18" s="259">
        <f t="shared" si="10"/>
        <v>3829.7021060571433</v>
      </c>
      <c r="L18" s="413">
        <f t="shared" si="11"/>
        <v>3.8297021060571435E-3</v>
      </c>
      <c r="AJ18" s="6"/>
      <c r="AK18" s="81"/>
      <c r="AL18" s="86"/>
      <c r="AM18" s="87"/>
      <c r="AN18" s="91"/>
      <c r="AO18" s="92"/>
      <c r="AP18" s="99"/>
    </row>
    <row r="19" spans="2:45">
      <c r="B19" s="6"/>
      <c r="C19" s="248" t="s">
        <v>417</v>
      </c>
      <c r="D19" s="8">
        <v>178191139.62727293</v>
      </c>
      <c r="E19" s="252">
        <f t="shared" si="0"/>
        <v>0.82</v>
      </c>
      <c r="F19" s="87">
        <f>E34</f>
        <v>1.5</v>
      </c>
      <c r="G19" s="92">
        <f t="shared" si="2"/>
        <v>0.44895000000000002</v>
      </c>
      <c r="H19" s="89">
        <f>I$25/100</f>
        <v>0.02</v>
      </c>
      <c r="I19" s="83">
        <f t="shared" si="9"/>
        <v>1599978.2427132837</v>
      </c>
      <c r="J19" s="88">
        <v>0.01</v>
      </c>
      <c r="K19" s="259">
        <f t="shared" si="10"/>
        <v>25142.515242637317</v>
      </c>
      <c r="L19" s="413">
        <f t="shared" si="11"/>
        <v>2.5142515242637317E-2</v>
      </c>
      <c r="AJ19" s="6"/>
      <c r="AK19" s="81"/>
      <c r="AL19" s="86"/>
      <c r="AM19" s="87"/>
      <c r="AN19" s="91"/>
      <c r="AO19" s="92"/>
      <c r="AP19" s="99"/>
    </row>
    <row r="20" spans="2:45">
      <c r="B20" s="6"/>
      <c r="C20" s="248" t="s">
        <v>66</v>
      </c>
      <c r="D20" s="8">
        <v>20951903.303030305</v>
      </c>
      <c r="E20" s="87">
        <f t="shared" si="0"/>
        <v>0.82</v>
      </c>
      <c r="F20" s="87">
        <f>E35</f>
        <v>1.5</v>
      </c>
      <c r="G20" s="92">
        <f t="shared" si="2"/>
        <v>0.44895000000000002</v>
      </c>
      <c r="H20" s="89">
        <f>I$25/100</f>
        <v>0.02</v>
      </c>
      <c r="I20" s="83">
        <f t="shared" si="9"/>
        <v>188127.13975790911</v>
      </c>
      <c r="J20" s="88">
        <v>0.01</v>
      </c>
      <c r="K20" s="259">
        <f t="shared" si="10"/>
        <v>2956.283624767143</v>
      </c>
      <c r="L20" s="413">
        <f t="shared" si="11"/>
        <v>2.9562836247671431E-3</v>
      </c>
      <c r="AJ20" s="6"/>
      <c r="AK20" s="81"/>
      <c r="AL20" s="86"/>
      <c r="AM20" s="87"/>
      <c r="AN20" s="91"/>
      <c r="AO20" s="92"/>
      <c r="AP20" s="99"/>
    </row>
    <row r="21" spans="2:45">
      <c r="B21" s="6"/>
      <c r="C21" s="81"/>
      <c r="D21" s="86">
        <f>N49</f>
        <v>0</v>
      </c>
      <c r="E21" s="87"/>
      <c r="F21" s="87"/>
      <c r="G21" s="92"/>
      <c r="H21" s="89"/>
      <c r="I21" s="83"/>
      <c r="J21" s="88"/>
      <c r="K21" s="259"/>
      <c r="L21" s="10"/>
      <c r="AJ21" s="6"/>
      <c r="AK21" s="81"/>
      <c r="AL21" s="86"/>
      <c r="AM21" s="87"/>
      <c r="AN21" s="91"/>
      <c r="AO21" s="92"/>
      <c r="AP21" s="99"/>
    </row>
    <row r="22" spans="2:45" ht="15.75" thickBot="1">
      <c r="B22" s="504" t="s">
        <v>74</v>
      </c>
      <c r="C22" s="505"/>
      <c r="D22" s="40">
        <f>SUM(D10:D21)</f>
        <v>264792901.54398614</v>
      </c>
      <c r="E22" s="45"/>
      <c r="F22" s="100">
        <f>SUM(F10:F21)</f>
        <v>1381</v>
      </c>
      <c r="G22" s="253">
        <f>SUM(G10:G21)</f>
        <v>227.88409999999996</v>
      </c>
      <c r="H22" s="101"/>
      <c r="I22" s="47">
        <f>SUM(I10:I21)</f>
        <v>7408898.1455182545</v>
      </c>
      <c r="J22" s="101"/>
      <c r="K22" s="260">
        <f>SUM(K10:K21)</f>
        <v>197046.85091454547</v>
      </c>
      <c r="L22" s="263">
        <f>SUM(L10:L21)</f>
        <v>0.19704685091454543</v>
      </c>
      <c r="AJ22" s="504" t="s">
        <v>74</v>
      </c>
      <c r="AK22" s="507"/>
      <c r="AL22" s="40">
        <f>SUM(AL10:AL21)</f>
        <v>5131225.1123773102</v>
      </c>
      <c r="AM22" s="102"/>
      <c r="AN22" s="40">
        <f>SUM(AN10:AN21)</f>
        <v>742250.04333317897</v>
      </c>
      <c r="AO22" s="102"/>
      <c r="AP22" s="98">
        <f>SUM(AP10:AP21)</f>
        <v>11663.929252378528</v>
      </c>
    </row>
    <row r="24" spans="2:45" ht="16.5" customHeight="1">
      <c r="B24" s="36"/>
      <c r="C24" s="29"/>
      <c r="D24" s="29"/>
      <c r="E24" s="125" t="s">
        <v>422</v>
      </c>
      <c r="F24" s="125"/>
      <c r="G24" s="254" t="s">
        <v>112</v>
      </c>
      <c r="H24" s="125"/>
      <c r="I24" s="506" t="s">
        <v>114</v>
      </c>
      <c r="J24" s="506"/>
      <c r="K24" t="s">
        <v>116</v>
      </c>
      <c r="AJ24" s="36" t="s">
        <v>68</v>
      </c>
      <c r="AK24" s="29"/>
      <c r="AL24" s="29"/>
      <c r="AM24" s="49" t="s">
        <v>135</v>
      </c>
      <c r="AP24" s="49" t="s">
        <v>137</v>
      </c>
    </row>
    <row r="25" spans="2:45" ht="15.75" customHeight="1">
      <c r="B25" s="29"/>
      <c r="C25" s="37"/>
      <c r="D25" s="248" t="s">
        <v>60</v>
      </c>
      <c r="E25" s="125">
        <v>350</v>
      </c>
      <c r="F25" s="254" t="s">
        <v>111</v>
      </c>
      <c r="G25" s="125">
        <v>0.47</v>
      </c>
      <c r="H25" s="63" t="s">
        <v>113</v>
      </c>
      <c r="I25">
        <v>2</v>
      </c>
      <c r="J25" t="s">
        <v>115</v>
      </c>
      <c r="K25">
        <v>30</v>
      </c>
      <c r="L25" t="s">
        <v>115</v>
      </c>
      <c r="AJ25" s="29" t="s">
        <v>60</v>
      </c>
      <c r="AK25" s="37">
        <v>69578</v>
      </c>
      <c r="AL25" s="29" t="s">
        <v>67</v>
      </c>
      <c r="AM25" s="49">
        <v>0.2</v>
      </c>
      <c r="AN25" s="187" t="s">
        <v>135</v>
      </c>
      <c r="AP25" s="82" t="s">
        <v>138</v>
      </c>
      <c r="AS25">
        <v>0.01</v>
      </c>
    </row>
    <row r="26" spans="2:45" ht="18">
      <c r="B26" s="29"/>
      <c r="C26" s="37"/>
      <c r="D26" s="248" t="s">
        <v>69</v>
      </c>
      <c r="E26" s="125">
        <v>319</v>
      </c>
      <c r="F26" s="254" t="s">
        <v>111</v>
      </c>
      <c r="G26" s="125">
        <v>0.34</v>
      </c>
      <c r="H26" s="63" t="s">
        <v>113</v>
      </c>
      <c r="AJ26" s="29" t="s">
        <v>69</v>
      </c>
      <c r="AK26" s="37">
        <v>169085</v>
      </c>
      <c r="AL26" s="29" t="s">
        <v>67</v>
      </c>
      <c r="AM26" s="49">
        <v>0.3</v>
      </c>
      <c r="AN26" s="187" t="s">
        <v>135</v>
      </c>
      <c r="AP26" s="82" t="s">
        <v>139</v>
      </c>
      <c r="AS26">
        <v>7.4999999999999997E-3</v>
      </c>
    </row>
    <row r="27" spans="2:45" ht="18">
      <c r="B27" s="29"/>
      <c r="C27" s="37"/>
      <c r="D27" s="248" t="s">
        <v>19</v>
      </c>
      <c r="E27" s="125">
        <v>380</v>
      </c>
      <c r="F27" s="254" t="s">
        <v>111</v>
      </c>
      <c r="G27" s="125">
        <v>0.32</v>
      </c>
      <c r="H27" s="63" t="s">
        <v>113</v>
      </c>
      <c r="AJ27" s="29" t="s">
        <v>19</v>
      </c>
      <c r="AK27" s="37">
        <v>196562</v>
      </c>
      <c r="AL27" s="29" t="s">
        <v>67</v>
      </c>
      <c r="AM27" s="49">
        <v>0.3</v>
      </c>
      <c r="AN27" s="187" t="s">
        <v>135</v>
      </c>
      <c r="AP27" s="82" t="s">
        <v>140</v>
      </c>
      <c r="AS27">
        <v>0.1</v>
      </c>
    </row>
    <row r="28" spans="2:45" ht="18">
      <c r="B28" s="29"/>
      <c r="C28" s="37"/>
      <c r="D28" s="248" t="s">
        <v>61</v>
      </c>
      <c r="E28" s="125">
        <v>28</v>
      </c>
      <c r="F28" s="254" t="s">
        <v>111</v>
      </c>
      <c r="G28" s="125">
        <v>1.17</v>
      </c>
      <c r="H28" s="63" t="s">
        <v>113</v>
      </c>
      <c r="AJ28" s="29" t="s">
        <v>61</v>
      </c>
      <c r="AK28" s="37">
        <v>3475019</v>
      </c>
      <c r="AL28" s="29" t="s">
        <v>67</v>
      </c>
      <c r="AM28" s="49">
        <v>0.12</v>
      </c>
      <c r="AN28" s="187" t="s">
        <v>424</v>
      </c>
      <c r="AP28" s="82" t="s">
        <v>141</v>
      </c>
      <c r="AS28">
        <v>0.2</v>
      </c>
    </row>
    <row r="29" spans="2:45" ht="18">
      <c r="B29" s="29"/>
      <c r="C29" s="37"/>
      <c r="D29" s="248" t="s">
        <v>20</v>
      </c>
      <c r="E29" s="125">
        <v>30</v>
      </c>
      <c r="F29" s="254" t="s">
        <v>111</v>
      </c>
      <c r="G29" s="125">
        <v>1.37</v>
      </c>
      <c r="H29" s="63" t="s">
        <v>113</v>
      </c>
      <c r="AJ29" s="29" t="s">
        <v>20</v>
      </c>
      <c r="AK29" s="37">
        <v>1705605</v>
      </c>
      <c r="AL29" s="29" t="s">
        <v>67</v>
      </c>
      <c r="AM29" s="49">
        <v>0.12</v>
      </c>
      <c r="AN29" s="187" t="s">
        <v>424</v>
      </c>
      <c r="AP29" s="82" t="s">
        <v>142</v>
      </c>
      <c r="AS29">
        <v>0.3</v>
      </c>
    </row>
    <row r="30" spans="2:45" ht="18">
      <c r="B30" s="29"/>
      <c r="C30" s="37"/>
      <c r="D30" s="248" t="s">
        <v>21</v>
      </c>
      <c r="E30" s="125">
        <v>238</v>
      </c>
      <c r="F30" s="254" t="s">
        <v>111</v>
      </c>
      <c r="G30" s="125">
        <v>0.46</v>
      </c>
      <c r="H30" s="63" t="s">
        <v>113</v>
      </c>
      <c r="AJ30" s="29" t="s">
        <v>21</v>
      </c>
      <c r="AK30" s="37">
        <v>10955</v>
      </c>
      <c r="AL30" s="29" t="s">
        <v>67</v>
      </c>
      <c r="AM30" s="49">
        <v>0.12</v>
      </c>
      <c r="AN30" s="187" t="s">
        <v>424</v>
      </c>
    </row>
    <row r="31" spans="2:45" ht="18">
      <c r="B31" s="29"/>
      <c r="C31" s="37"/>
      <c r="D31" s="248" t="s">
        <v>62</v>
      </c>
      <c r="E31" s="255">
        <v>30</v>
      </c>
      <c r="F31" s="256" t="s">
        <v>111</v>
      </c>
      <c r="G31" s="255">
        <v>1.37</v>
      </c>
      <c r="H31" s="257" t="s">
        <v>113</v>
      </c>
      <c r="AJ31" s="29" t="s">
        <v>62</v>
      </c>
      <c r="AK31" s="37"/>
      <c r="AL31" s="29"/>
      <c r="AM31" s="187">
        <v>0.45</v>
      </c>
      <c r="AN31" s="187" t="s">
        <v>424</v>
      </c>
    </row>
    <row r="32" spans="2:45">
      <c r="B32" s="29"/>
      <c r="C32" s="37"/>
      <c r="D32" s="248" t="s">
        <v>70</v>
      </c>
      <c r="E32" s="125">
        <v>1.5</v>
      </c>
      <c r="F32" s="254" t="s">
        <v>111</v>
      </c>
      <c r="G32" s="125">
        <v>0.82</v>
      </c>
      <c r="H32" s="63" t="s">
        <v>113</v>
      </c>
      <c r="AJ32" s="29" t="s">
        <v>70</v>
      </c>
      <c r="AK32" s="37">
        <v>30989810</v>
      </c>
      <c r="AL32" s="29" t="s">
        <v>67</v>
      </c>
    </row>
    <row r="33" spans="2:48">
      <c r="B33" s="29"/>
      <c r="C33" s="37"/>
      <c r="D33" s="249" t="s">
        <v>416</v>
      </c>
      <c r="E33" s="125">
        <v>1.5</v>
      </c>
      <c r="F33" s="254" t="s">
        <v>111</v>
      </c>
      <c r="G33" s="258">
        <v>1.1000000000000001</v>
      </c>
      <c r="H33" s="63" t="s">
        <v>113</v>
      </c>
      <c r="AJ33" s="29" t="s">
        <v>71</v>
      </c>
      <c r="AK33" s="37">
        <v>352434300</v>
      </c>
      <c r="AL33" s="29" t="s">
        <v>67</v>
      </c>
      <c r="AO33" s="84"/>
    </row>
    <row r="34" spans="2:48">
      <c r="B34" s="29"/>
      <c r="C34" s="37"/>
      <c r="D34" s="248" t="s">
        <v>417</v>
      </c>
      <c r="E34" s="125">
        <v>1.5</v>
      </c>
      <c r="F34" s="254" t="s">
        <v>111</v>
      </c>
      <c r="G34" s="125">
        <v>0.82</v>
      </c>
      <c r="H34" s="63" t="s">
        <v>113</v>
      </c>
      <c r="AJ34" s="29" t="s">
        <v>72</v>
      </c>
      <c r="AK34" s="37">
        <v>10165280</v>
      </c>
      <c r="AL34" s="29" t="s">
        <v>67</v>
      </c>
    </row>
    <row r="35" spans="2:48">
      <c r="B35" s="29"/>
      <c r="C35" s="37"/>
      <c r="D35" s="248" t="s">
        <v>66</v>
      </c>
      <c r="E35" s="125">
        <v>1.5</v>
      </c>
      <c r="F35" s="254" t="s">
        <v>111</v>
      </c>
      <c r="G35" s="125">
        <v>0.82</v>
      </c>
      <c r="H35" s="63" t="s">
        <v>113</v>
      </c>
      <c r="AJ35" s="29" t="s">
        <v>73</v>
      </c>
      <c r="AK35" s="37">
        <v>53054909</v>
      </c>
      <c r="AL35" s="29" t="s">
        <v>67</v>
      </c>
    </row>
    <row r="37" spans="2:48">
      <c r="B37" s="408" t="s">
        <v>418</v>
      </c>
      <c r="C37" s="409"/>
      <c r="D37" s="410">
        <v>2000</v>
      </c>
      <c r="E37" s="410">
        <v>2001</v>
      </c>
      <c r="F37" s="410">
        <v>2002</v>
      </c>
      <c r="G37" s="410">
        <v>2003</v>
      </c>
      <c r="H37" s="410">
        <v>2004</v>
      </c>
      <c r="I37" s="410">
        <v>2005</v>
      </c>
      <c r="J37" s="410">
        <v>2006</v>
      </c>
      <c r="K37" s="410">
        <v>2007</v>
      </c>
      <c r="L37" s="410">
        <v>2008</v>
      </c>
      <c r="M37" s="410">
        <v>2009</v>
      </c>
      <c r="N37" s="410">
        <v>2010</v>
      </c>
      <c r="O37" s="410">
        <v>2011</v>
      </c>
      <c r="P37" s="410">
        <v>2012</v>
      </c>
      <c r="Q37" s="410">
        <v>2013</v>
      </c>
      <c r="R37" s="410">
        <v>2014</v>
      </c>
      <c r="S37" s="410">
        <v>2015</v>
      </c>
      <c r="T37" s="410">
        <v>2016</v>
      </c>
      <c r="U37" s="410">
        <v>2017</v>
      </c>
      <c r="V37" s="410">
        <v>2018</v>
      </c>
      <c r="W37" s="410">
        <v>2019</v>
      </c>
      <c r="X37" s="410">
        <v>2020</v>
      </c>
      <c r="Y37" s="410">
        <v>2021</v>
      </c>
      <c r="Z37" s="410">
        <v>2022</v>
      </c>
      <c r="AA37" s="410">
        <v>2023</v>
      </c>
      <c r="AB37" s="410">
        <v>2024</v>
      </c>
      <c r="AC37" s="410">
        <v>2025</v>
      </c>
      <c r="AD37" s="410">
        <v>2026</v>
      </c>
      <c r="AE37" s="410">
        <v>2027</v>
      </c>
      <c r="AF37" s="410">
        <v>2028</v>
      </c>
      <c r="AG37" s="410">
        <v>2029</v>
      </c>
      <c r="AH37" s="410">
        <v>2030</v>
      </c>
      <c r="AJ37" s="241" t="s">
        <v>419</v>
      </c>
      <c r="AK37" s="242"/>
      <c r="AL37" s="247">
        <v>2010</v>
      </c>
      <c r="AM37" s="247">
        <f>AL37+1</f>
        <v>2011</v>
      </c>
      <c r="AN37" s="247">
        <f t="shared" ref="AN37:AV37" si="12">AM37+1</f>
        <v>2012</v>
      </c>
      <c r="AO37" s="247">
        <f t="shared" si="12"/>
        <v>2013</v>
      </c>
      <c r="AP37" s="247">
        <f t="shared" si="12"/>
        <v>2014</v>
      </c>
      <c r="AQ37" s="247">
        <f t="shared" si="12"/>
        <v>2015</v>
      </c>
      <c r="AR37" s="247">
        <f t="shared" si="12"/>
        <v>2016</v>
      </c>
      <c r="AS37" s="247">
        <f t="shared" si="12"/>
        <v>2017</v>
      </c>
      <c r="AT37" s="247">
        <f t="shared" si="12"/>
        <v>2018</v>
      </c>
      <c r="AU37" s="247">
        <f t="shared" si="12"/>
        <v>2019</v>
      </c>
      <c r="AV37" s="247">
        <f t="shared" si="12"/>
        <v>2020</v>
      </c>
    </row>
    <row r="38" spans="2:48">
      <c r="B38" s="411" t="s">
        <v>60</v>
      </c>
      <c r="C38" s="411" t="s">
        <v>443</v>
      </c>
      <c r="D38" s="379">
        <v>84756</v>
      </c>
      <c r="E38" s="379">
        <v>84934</v>
      </c>
      <c r="F38" s="379">
        <v>91219</v>
      </c>
      <c r="G38" s="379">
        <v>95513</v>
      </c>
      <c r="H38" s="379">
        <v>98958</v>
      </c>
      <c r="I38" s="379">
        <v>92755</v>
      </c>
      <c r="J38" s="379">
        <v>97367</v>
      </c>
      <c r="K38" s="379">
        <v>103489</v>
      </c>
      <c r="L38" s="379">
        <v>111250</v>
      </c>
      <c r="M38" s="379">
        <v>117839</v>
      </c>
      <c r="N38" s="379">
        <v>120475</v>
      </c>
      <c r="O38" s="377">
        <v>121483.19999999998</v>
      </c>
      <c r="P38" s="377">
        <v>125138.34545454544</v>
      </c>
      <c r="Q38" s="377">
        <v>128793.49090909091</v>
      </c>
      <c r="R38" s="377">
        <v>132448.63636363635</v>
      </c>
      <c r="S38" s="377">
        <v>136103.7818181818</v>
      </c>
      <c r="T38" s="377">
        <v>139758.92727272725</v>
      </c>
      <c r="U38" s="377">
        <v>143414.07272727272</v>
      </c>
      <c r="V38" s="377">
        <v>147069.21818181817</v>
      </c>
      <c r="W38" s="377">
        <v>150724.36363636365</v>
      </c>
      <c r="X38" s="377">
        <v>154379.50909090909</v>
      </c>
      <c r="Y38" s="377">
        <v>158034.65454545454</v>
      </c>
      <c r="Z38" s="377">
        <v>161689.79999999999</v>
      </c>
      <c r="AA38" s="377">
        <v>165344.94545454544</v>
      </c>
      <c r="AB38" s="377">
        <v>169000.09090909088</v>
      </c>
      <c r="AC38" s="377">
        <v>172655.23636363633</v>
      </c>
      <c r="AD38" s="377">
        <v>176310.38181818181</v>
      </c>
      <c r="AE38" s="377">
        <v>179965.52727272728</v>
      </c>
      <c r="AF38" s="377">
        <v>183620.67272727273</v>
      </c>
      <c r="AG38" s="377">
        <v>187275.81818181818</v>
      </c>
      <c r="AH38" s="377">
        <v>190930.96363636362</v>
      </c>
      <c r="AJ38" s="244" t="s">
        <v>414</v>
      </c>
      <c r="AK38" s="63" t="s">
        <v>106</v>
      </c>
      <c r="AL38" s="85">
        <v>444713.52529999998</v>
      </c>
      <c r="AM38" s="245">
        <v>458798.46649999998</v>
      </c>
      <c r="AN38" s="245">
        <v>472879.6336</v>
      </c>
      <c r="AO38" s="245">
        <v>486953.25249999994</v>
      </c>
      <c r="AP38" s="245">
        <v>501019.32320000004</v>
      </c>
      <c r="AQ38" s="245">
        <v>515077.84569999995</v>
      </c>
      <c r="AR38" s="245">
        <v>529132.59409999987</v>
      </c>
      <c r="AS38" s="245">
        <v>543176.02020000003</v>
      </c>
      <c r="AT38" s="245">
        <v>557215.67219999991</v>
      </c>
      <c r="AU38" s="262">
        <v>571247.77600000007</v>
      </c>
      <c r="AV38" s="262">
        <v>585272.33159999992</v>
      </c>
    </row>
    <row r="39" spans="2:48">
      <c r="B39" s="411" t="s">
        <v>69</v>
      </c>
      <c r="C39" s="411" t="s">
        <v>443</v>
      </c>
      <c r="D39" s="379">
        <v>165686</v>
      </c>
      <c r="E39" s="379">
        <v>189518</v>
      </c>
      <c r="F39" s="379">
        <v>205843</v>
      </c>
      <c r="G39" s="379">
        <v>223818</v>
      </c>
      <c r="H39" s="379">
        <v>232949</v>
      </c>
      <c r="I39" s="379">
        <v>234948</v>
      </c>
      <c r="J39" s="379">
        <v>254243</v>
      </c>
      <c r="K39" s="379">
        <v>272264</v>
      </c>
      <c r="L39" s="379">
        <v>295554</v>
      </c>
      <c r="M39" s="379">
        <v>310981</v>
      </c>
      <c r="N39" s="379">
        <v>327750</v>
      </c>
      <c r="O39" s="377">
        <v>337319.26666666666</v>
      </c>
      <c r="P39" s="377">
        <v>352325.16969696968</v>
      </c>
      <c r="Q39" s="377">
        <v>367331.07272727269</v>
      </c>
      <c r="R39" s="377">
        <v>382336.97575757571</v>
      </c>
      <c r="S39" s="377">
        <v>397342.87878787878</v>
      </c>
      <c r="T39" s="377">
        <v>412348.7818181818</v>
      </c>
      <c r="U39" s="377">
        <v>427354.68484848482</v>
      </c>
      <c r="V39" s="377">
        <v>442360.58787878783</v>
      </c>
      <c r="W39" s="377">
        <v>457366.49090909091</v>
      </c>
      <c r="X39" s="377">
        <v>472372.39393939392</v>
      </c>
      <c r="Y39" s="377">
        <v>487378.29696969694</v>
      </c>
      <c r="Z39" s="377">
        <v>502384.2</v>
      </c>
      <c r="AA39" s="377">
        <v>517390.10303030303</v>
      </c>
      <c r="AB39" s="377">
        <v>532396.0060606061</v>
      </c>
      <c r="AC39" s="377">
        <v>547401.90909090906</v>
      </c>
      <c r="AD39" s="377">
        <v>562407.81212121202</v>
      </c>
      <c r="AE39" s="377">
        <v>577413.71515151509</v>
      </c>
      <c r="AF39" s="377">
        <v>592419.61818181816</v>
      </c>
      <c r="AG39" s="377">
        <v>607425.52121212124</v>
      </c>
      <c r="AH39" s="377">
        <v>622431.42424242431</v>
      </c>
      <c r="AJ39" s="244" t="s">
        <v>413</v>
      </c>
      <c r="AK39" s="63" t="s">
        <v>106</v>
      </c>
      <c r="AL39" s="85">
        <v>1238591.0385231429</v>
      </c>
      <c r="AM39" s="245">
        <v>1318147.1085797145</v>
      </c>
      <c r="AN39" s="245">
        <v>1402813.0716600001</v>
      </c>
      <c r="AO39" s="245">
        <v>1492917.3942257147</v>
      </c>
      <c r="AP39" s="245">
        <v>1588807.2056057143</v>
      </c>
      <c r="AQ39" s="245">
        <v>1690855.7631428575</v>
      </c>
      <c r="AR39" s="245">
        <v>1799462.4521940004</v>
      </c>
      <c r="AS39" s="245">
        <v>1915041.5884097146</v>
      </c>
      <c r="AT39" s="245">
        <v>2038048.5457482859</v>
      </c>
      <c r="AU39" s="262">
        <v>2168953.6284617148</v>
      </c>
      <c r="AV39" s="262">
        <v>2308268.1991097145</v>
      </c>
    </row>
    <row r="40" spans="2:48">
      <c r="B40" s="411" t="s">
        <v>19</v>
      </c>
      <c r="C40" s="411" t="s">
        <v>443</v>
      </c>
      <c r="D40" s="379">
        <v>166898</v>
      </c>
      <c r="E40" s="379">
        <v>153372</v>
      </c>
      <c r="F40" s="379">
        <v>148778</v>
      </c>
      <c r="G40" s="379">
        <v>146758</v>
      </c>
      <c r="H40" s="379">
        <v>149960</v>
      </c>
      <c r="I40" s="379">
        <v>147157</v>
      </c>
      <c r="J40" s="379">
        <v>149444</v>
      </c>
      <c r="K40" s="379">
        <v>149030</v>
      </c>
      <c r="L40" s="379">
        <v>145847</v>
      </c>
      <c r="M40" s="379">
        <v>142502</v>
      </c>
      <c r="N40" s="379">
        <v>139730</v>
      </c>
      <c r="O40" s="377">
        <v>141532.19999999998</v>
      </c>
      <c r="P40" s="377">
        <v>140491.18181818182</v>
      </c>
      <c r="Q40" s="377">
        <v>139450.16363636364</v>
      </c>
      <c r="R40" s="377">
        <v>138409.14545454545</v>
      </c>
      <c r="S40" s="377">
        <v>137368.12727272726</v>
      </c>
      <c r="T40" s="377">
        <v>136327.10909090907</v>
      </c>
      <c r="U40" s="377">
        <v>135286.09090909091</v>
      </c>
      <c r="V40" s="377">
        <v>134245.07272727272</v>
      </c>
      <c r="W40" s="377">
        <v>133204.05454545454</v>
      </c>
      <c r="X40" s="377">
        <v>132163.03636363635</v>
      </c>
      <c r="Y40" s="377">
        <v>131122.01818181819</v>
      </c>
      <c r="Z40" s="377">
        <v>130081</v>
      </c>
      <c r="AA40" s="377">
        <v>129039.98181818181</v>
      </c>
      <c r="AB40" s="377">
        <v>127998.96363636362</v>
      </c>
      <c r="AC40" s="377">
        <v>126957.94545454545</v>
      </c>
      <c r="AD40" s="377">
        <v>125916.92727272728</v>
      </c>
      <c r="AE40" s="377">
        <v>124875.90909090909</v>
      </c>
      <c r="AF40" s="377">
        <v>123834.8909090909</v>
      </c>
      <c r="AG40" s="377">
        <v>122793.87272727273</v>
      </c>
      <c r="AH40" s="377">
        <v>121752.85454545454</v>
      </c>
      <c r="AJ40" s="244" t="s">
        <v>19</v>
      </c>
      <c r="AK40" s="63" t="s">
        <v>106</v>
      </c>
      <c r="AL40" s="85">
        <v>483584.47707428568</v>
      </c>
      <c r="AM40" s="245">
        <v>453826.52681142854</v>
      </c>
      <c r="AN40" s="245">
        <v>425901.50893714285</v>
      </c>
      <c r="AO40" s="245">
        <v>399692.24969142862</v>
      </c>
      <c r="AP40" s="245">
        <v>375098.31442285719</v>
      </c>
      <c r="AQ40" s="245">
        <v>352019.26847999997</v>
      </c>
      <c r="AR40" s="245">
        <v>330354.67721142858</v>
      </c>
      <c r="AS40" s="245">
        <v>310029.21462857141</v>
      </c>
      <c r="AT40" s="245">
        <v>290950.8156342858</v>
      </c>
      <c r="AU40" s="262">
        <v>273048.33901714283</v>
      </c>
      <c r="AV40" s="262">
        <v>256246.45878857144</v>
      </c>
    </row>
    <row r="41" spans="2:48">
      <c r="B41" s="411" t="s">
        <v>61</v>
      </c>
      <c r="C41" s="411" t="s">
        <v>443</v>
      </c>
      <c r="D41" s="379">
        <v>3036812</v>
      </c>
      <c r="E41" s="379">
        <v>3087038</v>
      </c>
      <c r="F41" s="379">
        <v>3162234</v>
      </c>
      <c r="G41" s="379">
        <v>3288884</v>
      </c>
      <c r="H41" s="379">
        <v>3529456</v>
      </c>
      <c r="I41" s="379">
        <v>3737803</v>
      </c>
      <c r="J41" s="379">
        <v>4221806</v>
      </c>
      <c r="K41" s="379">
        <v>4605417</v>
      </c>
      <c r="L41" s="379">
        <v>5311836</v>
      </c>
      <c r="M41" s="379">
        <v>5817834</v>
      </c>
      <c r="N41" s="379">
        <v>6275299</v>
      </c>
      <c r="O41" s="377">
        <v>6340767.2000000002</v>
      </c>
      <c r="P41" s="377">
        <v>6711132.0181818185</v>
      </c>
      <c r="Q41" s="377">
        <v>7081496.8363636369</v>
      </c>
      <c r="R41" s="377">
        <v>7451861.6545454543</v>
      </c>
      <c r="S41" s="377">
        <v>7822226.4727272727</v>
      </c>
      <c r="T41" s="377">
        <v>8192591.290909091</v>
      </c>
      <c r="U41" s="377">
        <v>8562956.1090909094</v>
      </c>
      <c r="V41" s="377">
        <v>8933320.9272727277</v>
      </c>
      <c r="W41" s="377">
        <v>9303685.7454545461</v>
      </c>
      <c r="X41" s="377">
        <v>9674050.5636363626</v>
      </c>
      <c r="Y41" s="377">
        <v>10044415.381818183</v>
      </c>
      <c r="Z41" s="377">
        <v>10414780.199999999</v>
      </c>
      <c r="AA41" s="377">
        <v>10785145.018181819</v>
      </c>
      <c r="AB41" s="377">
        <v>11155509.836363636</v>
      </c>
      <c r="AC41" s="377">
        <v>11525874.654545456</v>
      </c>
      <c r="AD41" s="377">
        <v>11896239.472727273</v>
      </c>
      <c r="AE41" s="377">
        <v>12266604.290909089</v>
      </c>
      <c r="AF41" s="377">
        <v>12636969.109090909</v>
      </c>
      <c r="AG41" s="377">
        <v>13007333.927272726</v>
      </c>
      <c r="AH41" s="377">
        <v>13377698.745454546</v>
      </c>
      <c r="AJ41" s="244" t="s">
        <v>61</v>
      </c>
      <c r="AK41" s="63" t="s">
        <v>106</v>
      </c>
      <c r="AL41" s="85">
        <v>2481542.9454815998</v>
      </c>
      <c r="AM41" s="245">
        <v>2631907.6877807998</v>
      </c>
      <c r="AN41" s="245">
        <v>2791383.2719343994</v>
      </c>
      <c r="AO41" s="245">
        <v>2960522.1298223999</v>
      </c>
      <c r="AP41" s="245">
        <v>3139909.6137552001</v>
      </c>
      <c r="AQ41" s="245">
        <v>3330166.2512976001</v>
      </c>
      <c r="AR41" s="245">
        <v>3531951.8039519996</v>
      </c>
      <c r="AS41" s="245">
        <v>3745963.9142640005</v>
      </c>
      <c r="AT41" s="245">
        <v>3972943.5173999998</v>
      </c>
      <c r="AU41" s="262">
        <v>4213677.0959712006</v>
      </c>
      <c r="AV41" s="262">
        <v>4468996.6800336</v>
      </c>
    </row>
    <row r="42" spans="2:48">
      <c r="B42" s="411" t="s">
        <v>20</v>
      </c>
      <c r="C42" s="411" t="s">
        <v>443</v>
      </c>
      <c r="D42" s="379">
        <v>1160462</v>
      </c>
      <c r="E42" s="379">
        <v>922633</v>
      </c>
      <c r="F42" s="379">
        <v>878043</v>
      </c>
      <c r="G42" s="379">
        <v>930066</v>
      </c>
      <c r="H42" s="379">
        <v>1144102</v>
      </c>
      <c r="I42" s="379">
        <v>999267</v>
      </c>
      <c r="J42" s="379">
        <v>1148547</v>
      </c>
      <c r="K42" s="379">
        <v>1294453</v>
      </c>
      <c r="L42" s="379">
        <v>1431012</v>
      </c>
      <c r="M42" s="379">
        <v>1615002</v>
      </c>
      <c r="N42" s="379">
        <v>1801320</v>
      </c>
      <c r="O42" s="377">
        <v>1755509.8</v>
      </c>
      <c r="P42" s="377">
        <v>1853521.6727272726</v>
      </c>
      <c r="Q42" s="377">
        <v>1951533.5454545454</v>
      </c>
      <c r="R42" s="377">
        <v>2049545.4181818182</v>
      </c>
      <c r="S42" s="377">
        <v>2147557.290909091</v>
      </c>
      <c r="T42" s="377">
        <v>2245569.1636363636</v>
      </c>
      <c r="U42" s="377">
        <v>2343581.0363636361</v>
      </c>
      <c r="V42" s="377">
        <v>2441592.9090909092</v>
      </c>
      <c r="W42" s="377">
        <v>2539604.7818181817</v>
      </c>
      <c r="X42" s="377">
        <v>2637616.6545454543</v>
      </c>
      <c r="Y42" s="377">
        <v>2735628.5272727273</v>
      </c>
      <c r="Z42" s="377">
        <v>2833640.4000000004</v>
      </c>
      <c r="AA42" s="377">
        <v>2931652.2727272725</v>
      </c>
      <c r="AB42" s="377">
        <v>3029664.1454545455</v>
      </c>
      <c r="AC42" s="377">
        <v>3127676.0181818185</v>
      </c>
      <c r="AD42" s="377">
        <v>3225687.8909090906</v>
      </c>
      <c r="AE42" s="377">
        <v>3323699.7636363637</v>
      </c>
      <c r="AF42" s="377">
        <v>3421711.6363636367</v>
      </c>
      <c r="AG42" s="377">
        <v>3519723.5090909088</v>
      </c>
      <c r="AH42" s="377">
        <v>3617735.3818181818</v>
      </c>
      <c r="AJ42" s="244" t="s">
        <v>20</v>
      </c>
      <c r="AK42" s="63" t="s">
        <v>106</v>
      </c>
      <c r="AL42" s="85">
        <v>729771.98704457143</v>
      </c>
      <c r="AM42" s="245">
        <v>735870.43111371435</v>
      </c>
      <c r="AN42" s="245">
        <v>741968.87518285715</v>
      </c>
      <c r="AO42" s="245">
        <v>748067.31925200007</v>
      </c>
      <c r="AP42" s="245">
        <v>754165.19755028572</v>
      </c>
      <c r="AQ42" s="245">
        <v>760263.64161942864</v>
      </c>
      <c r="AR42" s="245">
        <v>766362.08568857145</v>
      </c>
      <c r="AS42" s="245">
        <v>772460.52975771425</v>
      </c>
      <c r="AT42" s="245">
        <v>778558.9738268574</v>
      </c>
      <c r="AU42" s="262">
        <v>784656.85212514305</v>
      </c>
      <c r="AV42" s="262">
        <v>790755.29619428585</v>
      </c>
    </row>
    <row r="43" spans="2:48">
      <c r="B43" s="411" t="s">
        <v>21</v>
      </c>
      <c r="C43" s="411" t="s">
        <v>443</v>
      </c>
      <c r="D43" s="379">
        <v>10763</v>
      </c>
      <c r="E43" s="379">
        <v>11851</v>
      </c>
      <c r="F43" s="379">
        <v>11963</v>
      </c>
      <c r="G43" s="379">
        <v>12124</v>
      </c>
      <c r="H43" s="379">
        <v>14242</v>
      </c>
      <c r="I43" s="379">
        <v>12569</v>
      </c>
      <c r="J43" s="379">
        <v>15555</v>
      </c>
      <c r="K43" s="379">
        <v>15755</v>
      </c>
      <c r="L43" s="379">
        <v>13717</v>
      </c>
      <c r="M43" s="379">
        <v>13757</v>
      </c>
      <c r="N43" s="379">
        <v>13929</v>
      </c>
      <c r="O43" s="377">
        <v>15104.533333333333</v>
      </c>
      <c r="P43" s="377">
        <v>15387.866666666667</v>
      </c>
      <c r="Q43" s="377">
        <v>15671.2</v>
      </c>
      <c r="R43" s="377">
        <v>15954.533333333333</v>
      </c>
      <c r="S43" s="377">
        <v>16237.866666666667</v>
      </c>
      <c r="T43" s="377">
        <v>16521.2</v>
      </c>
      <c r="U43" s="377">
        <v>16804.533333333333</v>
      </c>
      <c r="V43" s="377">
        <v>17087.866666666669</v>
      </c>
      <c r="W43" s="377">
        <v>17371.2</v>
      </c>
      <c r="X43" s="377">
        <v>17654.533333333333</v>
      </c>
      <c r="Y43" s="377">
        <v>17937.866666666669</v>
      </c>
      <c r="Z43" s="377">
        <v>18221.2</v>
      </c>
      <c r="AA43" s="377">
        <v>18504.533333333333</v>
      </c>
      <c r="AB43" s="377">
        <v>18787.866666666669</v>
      </c>
      <c r="AC43" s="377">
        <v>19071.2</v>
      </c>
      <c r="AD43" s="377">
        <v>19354.533333333333</v>
      </c>
      <c r="AE43" s="377">
        <v>19637.866666666665</v>
      </c>
      <c r="AF43" s="377">
        <v>19921.2</v>
      </c>
      <c r="AG43" s="377">
        <v>20204.533333333333</v>
      </c>
      <c r="AH43" s="377">
        <v>20487.866666666669</v>
      </c>
      <c r="AJ43" s="244" t="s">
        <v>21</v>
      </c>
      <c r="AK43" s="63" t="s">
        <v>106</v>
      </c>
      <c r="AL43" s="85">
        <v>24153.817300800005</v>
      </c>
      <c r="AM43" s="245">
        <v>25006.819147200003</v>
      </c>
      <c r="AN43" s="245">
        <v>25858.313923199999</v>
      </c>
      <c r="AO43" s="245">
        <v>26709.808699200003</v>
      </c>
      <c r="AP43" s="245">
        <v>27562.810545600001</v>
      </c>
      <c r="AQ43" s="245">
        <v>28414.305321600001</v>
      </c>
      <c r="AR43" s="245">
        <v>29265.8000976</v>
      </c>
      <c r="AS43" s="245">
        <v>30118.801943999999</v>
      </c>
      <c r="AT43" s="245">
        <v>30970.296719999995</v>
      </c>
      <c r="AU43" s="262">
        <v>31821.791496000002</v>
      </c>
      <c r="AV43" s="262">
        <v>32674.793342400008</v>
      </c>
    </row>
    <row r="44" spans="2:48">
      <c r="B44" s="411" t="s">
        <v>62</v>
      </c>
      <c r="C44" s="411" t="s">
        <v>443</v>
      </c>
      <c r="D44" s="379">
        <v>9253</v>
      </c>
      <c r="E44" s="379">
        <v>12337</v>
      </c>
      <c r="F44" s="379">
        <v>9702</v>
      </c>
      <c r="G44" s="379">
        <v>11207</v>
      </c>
      <c r="H44" s="379">
        <v>8092</v>
      </c>
      <c r="I44" s="379">
        <v>9056.7545957063885</v>
      </c>
      <c r="J44" s="379">
        <v>12487</v>
      </c>
      <c r="K44" s="379">
        <v>7043</v>
      </c>
      <c r="L44" s="379">
        <v>4773</v>
      </c>
      <c r="M44" s="379">
        <v>8146</v>
      </c>
      <c r="N44" s="379">
        <v>8327</v>
      </c>
      <c r="O44" s="377">
        <v>6488.116973047092</v>
      </c>
      <c r="P44" s="377">
        <v>6010.1245209519011</v>
      </c>
      <c r="Q44" s="377">
        <v>5532.1320688567112</v>
      </c>
      <c r="R44" s="377">
        <v>5054.1396167615203</v>
      </c>
      <c r="S44" s="377">
        <v>4576.1471646663304</v>
      </c>
      <c r="T44" s="377">
        <v>4098.1547125711395</v>
      </c>
      <c r="U44" s="377">
        <v>3620.1622604759486</v>
      </c>
      <c r="V44" s="377">
        <v>3142.1698083807587</v>
      </c>
      <c r="W44" s="377">
        <v>2664.1773562855687</v>
      </c>
      <c r="X44" s="377">
        <v>2186.184904190377</v>
      </c>
      <c r="Y44" s="377">
        <v>1708.192452095187</v>
      </c>
      <c r="Z44" s="377">
        <v>1230.1999999999971</v>
      </c>
      <c r="AA44" s="377">
        <v>752.20754790480714</v>
      </c>
      <c r="AB44" s="377">
        <v>274.21509580961538</v>
      </c>
      <c r="AC44" s="377">
        <v>-203.77735628557457</v>
      </c>
      <c r="AD44" s="377">
        <v>-681.76980838076452</v>
      </c>
      <c r="AE44" s="377">
        <v>-1159.7622604759563</v>
      </c>
      <c r="AF44" s="377">
        <v>-1637.7547125711462</v>
      </c>
      <c r="AG44" s="377">
        <v>-2115.7471646663362</v>
      </c>
      <c r="AH44" s="377">
        <v>-2593.7396167615261</v>
      </c>
      <c r="AJ44" s="244" t="s">
        <v>62</v>
      </c>
      <c r="AK44" s="63" t="s">
        <v>106</v>
      </c>
      <c r="AL44" s="85"/>
      <c r="AM44" s="245"/>
      <c r="AN44" s="245"/>
      <c r="AO44" s="245"/>
      <c r="AP44" s="245"/>
      <c r="AQ44" s="245"/>
      <c r="AR44" s="245"/>
      <c r="AS44" s="245"/>
      <c r="AT44" s="245"/>
      <c r="AU44" s="262"/>
      <c r="AV44" s="262"/>
    </row>
    <row r="45" spans="2:48" ht="24">
      <c r="B45" s="411" t="s">
        <v>70</v>
      </c>
      <c r="C45" s="411" t="s">
        <v>443</v>
      </c>
      <c r="D45" s="379">
        <v>26939832</v>
      </c>
      <c r="E45" s="379">
        <v>27703049</v>
      </c>
      <c r="F45" s="379">
        <v>30273580</v>
      </c>
      <c r="G45" s="379">
        <v>31294784</v>
      </c>
      <c r="H45" s="379">
        <v>30779120</v>
      </c>
      <c r="I45" s="379">
        <v>31043932</v>
      </c>
      <c r="J45" s="379">
        <v>29319161</v>
      </c>
      <c r="K45" s="379">
        <v>27789274</v>
      </c>
      <c r="L45" s="379">
        <v>27761015</v>
      </c>
      <c r="M45" s="379">
        <v>28371910</v>
      </c>
      <c r="N45" s="379">
        <v>27394516</v>
      </c>
      <c r="O45" s="377">
        <v>27616728.729221676</v>
      </c>
      <c r="P45" s="377">
        <v>27608894.78166661</v>
      </c>
      <c r="Q45" s="377">
        <v>27601063.05634195</v>
      </c>
      <c r="R45" s="377">
        <v>27593233.552617323</v>
      </c>
      <c r="S45" s="377">
        <v>27585406.269862529</v>
      </c>
      <c r="T45" s="377">
        <v>27577581.20744757</v>
      </c>
      <c r="U45" s="377">
        <v>27569758.364742592</v>
      </c>
      <c r="V45" s="377">
        <v>27561937.741117943</v>
      </c>
      <c r="W45" s="377">
        <v>27554119.335944142</v>
      </c>
      <c r="X45" s="377">
        <v>27546303.148591895</v>
      </c>
      <c r="Y45" s="377">
        <v>27538489.17843207</v>
      </c>
      <c r="Z45" s="377">
        <v>27530677.424835734</v>
      </c>
      <c r="AA45" s="377">
        <v>27522867.887174107</v>
      </c>
      <c r="AB45" s="377">
        <v>27515060.564818621</v>
      </c>
      <c r="AC45" s="377">
        <v>27507255.457140852</v>
      </c>
      <c r="AD45" s="377">
        <v>27499452.563512575</v>
      </c>
      <c r="AE45" s="377">
        <v>27491651.883305736</v>
      </c>
      <c r="AF45" s="377">
        <v>27483853.415892471</v>
      </c>
      <c r="AG45" s="377">
        <v>27476057.160645064</v>
      </c>
      <c r="AH45" s="377">
        <v>27468263.116936017</v>
      </c>
      <c r="AJ45" s="244" t="s">
        <v>415</v>
      </c>
      <c r="AK45" s="63" t="s">
        <v>106</v>
      </c>
      <c r="AL45" s="85"/>
      <c r="AM45" s="245"/>
      <c r="AN45" s="245"/>
      <c r="AO45" s="245"/>
      <c r="AP45" s="245"/>
      <c r="AQ45" s="245"/>
      <c r="AR45" s="245"/>
      <c r="AS45" s="245"/>
      <c r="AT45" s="245"/>
      <c r="AU45" s="262"/>
      <c r="AV45" s="262"/>
    </row>
    <row r="46" spans="2:48" ht="30">
      <c r="B46" s="412" t="s">
        <v>416</v>
      </c>
      <c r="C46" s="411" t="s">
        <v>443</v>
      </c>
      <c r="D46" s="379">
        <v>5962619</v>
      </c>
      <c r="E46" s="379">
        <v>7403492</v>
      </c>
      <c r="F46" s="379">
        <v>8588803</v>
      </c>
      <c r="G46" s="379">
        <v>8446127</v>
      </c>
      <c r="H46" s="379">
        <v>9720685</v>
      </c>
      <c r="I46" s="379">
        <v>10171904</v>
      </c>
      <c r="J46" s="379">
        <v>10351105</v>
      </c>
      <c r="K46" s="379">
        <v>11462744</v>
      </c>
      <c r="L46" s="379">
        <v>10303478</v>
      </c>
      <c r="M46" s="379">
        <v>10501767</v>
      </c>
      <c r="N46" s="379">
        <v>11252390</v>
      </c>
      <c r="O46" s="377">
        <v>12107700.666666666</v>
      </c>
      <c r="P46" s="377">
        <v>12535356</v>
      </c>
      <c r="Q46" s="377">
        <v>12963011.333333332</v>
      </c>
      <c r="R46" s="377">
        <v>13390666.666666666</v>
      </c>
      <c r="S46" s="377">
        <v>13818322</v>
      </c>
      <c r="T46" s="377">
        <v>14245977.333333332</v>
      </c>
      <c r="U46" s="377">
        <v>14673632.666666666</v>
      </c>
      <c r="V46" s="377">
        <v>15101288</v>
      </c>
      <c r="W46" s="377">
        <v>15528943.333333332</v>
      </c>
      <c r="X46" s="377">
        <v>15956598.666666666</v>
      </c>
      <c r="Y46" s="377">
        <v>16384254</v>
      </c>
      <c r="Z46" s="377">
        <v>16811909.333333332</v>
      </c>
      <c r="AA46" s="377">
        <v>17239564.666666664</v>
      </c>
      <c r="AB46" s="377">
        <v>17667220</v>
      </c>
      <c r="AC46" s="377">
        <v>18094875.333333332</v>
      </c>
      <c r="AD46" s="377">
        <v>18522530.666666664</v>
      </c>
      <c r="AE46" s="377">
        <v>18950186</v>
      </c>
      <c r="AF46" s="377">
        <v>19377841.333333332</v>
      </c>
      <c r="AG46" s="377">
        <v>19805496.666666664</v>
      </c>
      <c r="AH46" s="377">
        <v>20233152</v>
      </c>
      <c r="AJ46" s="244" t="s">
        <v>416</v>
      </c>
      <c r="AK46" s="63" t="s">
        <v>106</v>
      </c>
      <c r="AL46" s="85"/>
      <c r="AM46" s="245"/>
      <c r="AN46" s="245"/>
      <c r="AO46" s="245"/>
      <c r="AP46" s="245"/>
      <c r="AQ46" s="245"/>
      <c r="AR46" s="245"/>
      <c r="AS46" s="245"/>
      <c r="AT46" s="245"/>
      <c r="AU46" s="262"/>
      <c r="AV46" s="262"/>
    </row>
    <row r="47" spans="2:48" ht="24">
      <c r="B47" s="411" t="s">
        <v>417</v>
      </c>
      <c r="C47" s="411" t="s">
        <v>443</v>
      </c>
      <c r="D47" s="379">
        <v>27674161</v>
      </c>
      <c r="E47" s="379">
        <v>31490528.333333332</v>
      </c>
      <c r="F47" s="379">
        <v>42146199.5</v>
      </c>
      <c r="G47" s="379">
        <v>46245137</v>
      </c>
      <c r="H47" s="379">
        <v>51922827.666666664</v>
      </c>
      <c r="I47" s="379">
        <v>53943997.833333336</v>
      </c>
      <c r="J47" s="379">
        <v>57325681.666666664</v>
      </c>
      <c r="K47" s="379">
        <v>58084469.833333336</v>
      </c>
      <c r="L47" s="379">
        <v>69562266.333333343</v>
      </c>
      <c r="M47" s="379">
        <v>73088484.5</v>
      </c>
      <c r="N47" s="379">
        <v>82969025.666666657</v>
      </c>
      <c r="O47" s="377">
        <v>83956352.76666671</v>
      </c>
      <c r="P47" s="377">
        <v>88916078.39090915</v>
      </c>
      <c r="Q47" s="377">
        <v>93875804.01515159</v>
      </c>
      <c r="R47" s="377">
        <v>98835529.639394015</v>
      </c>
      <c r="S47" s="377">
        <v>103795255.26363644</v>
      </c>
      <c r="T47" s="377">
        <v>108754980.88787888</v>
      </c>
      <c r="U47" s="377">
        <v>113714706.51212132</v>
      </c>
      <c r="V47" s="377">
        <v>118674432.13636374</v>
      </c>
      <c r="W47" s="377">
        <v>123634157.76060618</v>
      </c>
      <c r="X47" s="377">
        <v>128593883.38484861</v>
      </c>
      <c r="Y47" s="377">
        <v>133553609.00909105</v>
      </c>
      <c r="Z47" s="377">
        <v>138513334.63333347</v>
      </c>
      <c r="AA47" s="377">
        <v>143473060.25757593</v>
      </c>
      <c r="AB47" s="377">
        <v>148432785.88181835</v>
      </c>
      <c r="AC47" s="377">
        <v>153392511.50606078</v>
      </c>
      <c r="AD47" s="377">
        <v>158352237.1303032</v>
      </c>
      <c r="AE47" s="377">
        <v>163311962.75454563</v>
      </c>
      <c r="AF47" s="377">
        <v>168271688.37878808</v>
      </c>
      <c r="AG47" s="377">
        <v>173231414.00303051</v>
      </c>
      <c r="AH47" s="377">
        <v>178191139.62727293</v>
      </c>
      <c r="AJ47" s="244" t="s">
        <v>417</v>
      </c>
      <c r="AK47" s="63" t="s">
        <v>106</v>
      </c>
      <c r="AL47" s="85"/>
      <c r="AM47" s="245"/>
      <c r="AN47" s="245"/>
      <c r="AO47" s="245"/>
      <c r="AP47" s="245"/>
      <c r="AQ47" s="245"/>
      <c r="AR47" s="245"/>
      <c r="AS47" s="245"/>
      <c r="AT47" s="245"/>
      <c r="AU47" s="262"/>
      <c r="AV47" s="262"/>
    </row>
    <row r="48" spans="2:48">
      <c r="B48" s="411" t="s">
        <v>66</v>
      </c>
      <c r="C48" s="411" t="s">
        <v>443</v>
      </c>
      <c r="D48" s="379">
        <v>3481702</v>
      </c>
      <c r="E48" s="379">
        <v>4055539</v>
      </c>
      <c r="F48" s="379">
        <v>4293637</v>
      </c>
      <c r="G48" s="379">
        <v>4952224</v>
      </c>
      <c r="H48" s="379">
        <v>4880019</v>
      </c>
      <c r="I48" s="379">
        <v>5335872</v>
      </c>
      <c r="J48" s="379">
        <v>5296757</v>
      </c>
      <c r="K48" s="379">
        <v>6534753</v>
      </c>
      <c r="L48" s="379">
        <v>7962095</v>
      </c>
      <c r="M48" s="379">
        <v>8213920</v>
      </c>
      <c r="N48" s="379">
        <v>9871091</v>
      </c>
      <c r="O48" s="377">
        <v>9464803.7333333343</v>
      </c>
      <c r="P48" s="377">
        <v>10069387.921212122</v>
      </c>
      <c r="Q48" s="377">
        <v>10673972.109090909</v>
      </c>
      <c r="R48" s="377">
        <v>11278556.296969697</v>
      </c>
      <c r="S48" s="377">
        <v>11883140.484848484</v>
      </c>
      <c r="T48" s="377">
        <v>12487724.672727272</v>
      </c>
      <c r="U48" s="377">
        <v>13092308.860606059</v>
      </c>
      <c r="V48" s="377">
        <v>13696893.048484847</v>
      </c>
      <c r="W48" s="377">
        <v>14301477.236363638</v>
      </c>
      <c r="X48" s="377">
        <v>14906061.424242426</v>
      </c>
      <c r="Y48" s="377">
        <v>15510645.612121213</v>
      </c>
      <c r="Z48" s="377">
        <v>16115229.800000001</v>
      </c>
      <c r="AA48" s="377">
        <v>16719813.987878788</v>
      </c>
      <c r="AB48" s="377">
        <v>17324398.175757576</v>
      </c>
      <c r="AC48" s="377">
        <v>17928982.363636363</v>
      </c>
      <c r="AD48" s="377">
        <v>18533566.551515151</v>
      </c>
      <c r="AE48" s="377">
        <v>19138150.739393938</v>
      </c>
      <c r="AF48" s="377">
        <v>19742734.92727273</v>
      </c>
      <c r="AG48" s="377">
        <v>20347319.115151517</v>
      </c>
      <c r="AH48" s="377">
        <v>20951903.303030305</v>
      </c>
      <c r="AJ48" s="244" t="s">
        <v>73</v>
      </c>
      <c r="AK48" s="63" t="s">
        <v>106</v>
      </c>
      <c r="AL48" s="85"/>
      <c r="AM48" s="245"/>
      <c r="AN48" s="245"/>
      <c r="AO48" s="245"/>
      <c r="AP48" s="245"/>
      <c r="AQ48" s="245"/>
      <c r="AR48" s="245"/>
      <c r="AS48" s="245"/>
      <c r="AT48" s="245"/>
      <c r="AU48" s="262"/>
      <c r="AV48" s="262"/>
    </row>
    <row r="49" spans="2:48">
      <c r="B49" s="63"/>
      <c r="C49" s="63"/>
      <c r="D49" s="63"/>
      <c r="E49" s="63"/>
      <c r="F49" s="63"/>
      <c r="G49" s="63"/>
      <c r="H49" s="63"/>
      <c r="I49" s="63"/>
      <c r="J49" s="63"/>
      <c r="K49" s="63"/>
      <c r="L49" s="63"/>
      <c r="M49" s="63"/>
      <c r="N49" s="63"/>
      <c r="AJ49" s="63"/>
      <c r="AK49" s="63" t="s">
        <v>106</v>
      </c>
      <c r="AL49" s="85"/>
      <c r="AM49" s="245"/>
      <c r="AN49" s="245"/>
      <c r="AO49" s="245"/>
      <c r="AP49" s="245"/>
      <c r="AQ49" s="245"/>
      <c r="AR49" s="245"/>
      <c r="AS49" s="245"/>
      <c r="AT49" s="245"/>
      <c r="AU49" s="10"/>
      <c r="AV49" s="10"/>
    </row>
    <row r="50" spans="2:48" ht="15.75" thickBot="1">
      <c r="AJ50" s="246" t="s">
        <v>420</v>
      </c>
      <c r="AK50" s="63" t="s">
        <v>106</v>
      </c>
      <c r="AL50" s="48">
        <v>5402357.7907244004</v>
      </c>
      <c r="AM50" s="245">
        <v>5623557.0399328573</v>
      </c>
      <c r="AN50" s="245">
        <f>SUM(AN38:AN49)</f>
        <v>5860804.6752375988</v>
      </c>
      <c r="AO50" s="245">
        <v>6114862.1541907433</v>
      </c>
      <c r="AP50" s="245">
        <v>6386562.4650796568</v>
      </c>
      <c r="AQ50" s="245">
        <v>6676797.0755614862</v>
      </c>
      <c r="AR50" s="245">
        <v>6986529.4132435992</v>
      </c>
      <c r="AS50" s="245">
        <v>7316790.0692039998</v>
      </c>
      <c r="AT50" s="245">
        <v>7668687.8215294294</v>
      </c>
      <c r="AU50" s="263">
        <v>8043405.4830712015</v>
      </c>
      <c r="AV50" s="263">
        <v>8442213.759068571</v>
      </c>
    </row>
    <row r="51" spans="2:48">
      <c r="AK51" s="63" t="s">
        <v>106</v>
      </c>
      <c r="AL51">
        <f>AL50/10^6</f>
        <v>5.4023577907244</v>
      </c>
      <c r="AM51">
        <f t="shared" ref="AM51:AV51" si="13">AM50/10^6</f>
        <v>5.6235570399328569</v>
      </c>
      <c r="AN51">
        <f t="shared" si="13"/>
        <v>5.8608046752375991</v>
      </c>
      <c r="AO51">
        <f t="shared" si="13"/>
        <v>6.1148621541907433</v>
      </c>
      <c r="AP51">
        <f t="shared" si="13"/>
        <v>6.3865624650796571</v>
      </c>
      <c r="AQ51">
        <f t="shared" si="13"/>
        <v>6.6767970755614865</v>
      </c>
      <c r="AR51">
        <f t="shared" si="13"/>
        <v>6.9865294132435993</v>
      </c>
      <c r="AS51">
        <f t="shared" si="13"/>
        <v>7.316790069204</v>
      </c>
      <c r="AT51">
        <f t="shared" si="13"/>
        <v>7.6686878215294296</v>
      </c>
      <c r="AU51">
        <f t="shared" si="13"/>
        <v>8.0434054830712007</v>
      </c>
      <c r="AV51">
        <f t="shared" si="13"/>
        <v>8.4422137590685704</v>
      </c>
    </row>
    <row r="52" spans="2:48">
      <c r="B52" s="241" t="s">
        <v>419</v>
      </c>
      <c r="C52" s="242"/>
      <c r="D52" s="247">
        <v>2000</v>
      </c>
      <c r="E52" s="247">
        <v>2001</v>
      </c>
      <c r="F52" s="247">
        <v>2002</v>
      </c>
      <c r="G52" s="247">
        <v>2003</v>
      </c>
      <c r="H52" s="247">
        <v>2004</v>
      </c>
      <c r="I52" s="247">
        <v>2005</v>
      </c>
      <c r="J52" s="247">
        <v>2006</v>
      </c>
      <c r="K52" s="247">
        <v>2007</v>
      </c>
      <c r="L52" s="247">
        <v>2008</v>
      </c>
      <c r="M52" s="247">
        <v>2009</v>
      </c>
      <c r="N52" s="247">
        <v>2010</v>
      </c>
      <c r="O52" s="63">
        <v>2011</v>
      </c>
      <c r="P52" s="63">
        <v>2012</v>
      </c>
      <c r="Q52" s="63">
        <v>2013</v>
      </c>
      <c r="R52" s="63">
        <v>2014</v>
      </c>
      <c r="S52" s="63">
        <v>2015</v>
      </c>
      <c r="T52" s="63">
        <v>2016</v>
      </c>
      <c r="U52" s="63">
        <v>2017</v>
      </c>
      <c r="V52" s="63">
        <v>2018</v>
      </c>
      <c r="W52" s="63">
        <v>2019</v>
      </c>
      <c r="X52" s="63">
        <v>2020</v>
      </c>
      <c r="Y52" s="63">
        <v>2021</v>
      </c>
      <c r="Z52" s="63">
        <v>2022</v>
      </c>
      <c r="AA52" s="63">
        <v>2023</v>
      </c>
      <c r="AB52" s="63">
        <v>2024</v>
      </c>
      <c r="AC52" s="63">
        <v>2025</v>
      </c>
      <c r="AD52" s="63">
        <v>2026</v>
      </c>
      <c r="AE52" s="63">
        <v>2027</v>
      </c>
      <c r="AF52" s="63">
        <v>2028</v>
      </c>
      <c r="AG52" s="63">
        <v>2029</v>
      </c>
      <c r="AH52" s="63">
        <v>2030</v>
      </c>
    </row>
    <row r="53" spans="2:48">
      <c r="B53" s="244" t="s">
        <v>414</v>
      </c>
      <c r="C53" s="63" t="s">
        <v>539</v>
      </c>
      <c r="D53" s="415">
        <v>3.1987761959999992E-3</v>
      </c>
      <c r="E53" s="414">
        <v>3.2054940939999998E-3</v>
      </c>
      <c r="F53" s="414">
        <v>3.4426962789999992E-3</v>
      </c>
      <c r="G53" s="414">
        <v>3.6047561329999997E-3</v>
      </c>
      <c r="H53" s="414">
        <v>3.7347738779999989E-3</v>
      </c>
      <c r="I53" s="414">
        <v>3.5006664549999994E-3</v>
      </c>
      <c r="J53" s="414">
        <v>3.6747279469999993E-3</v>
      </c>
      <c r="K53" s="414">
        <v>3.9057783489999994E-3</v>
      </c>
      <c r="L53" s="414">
        <v>4.19868625E-3</v>
      </c>
      <c r="M53" s="414">
        <v>4.4473616989999989E-3</v>
      </c>
      <c r="N53" s="414">
        <v>4.5468469749999994E-3</v>
      </c>
      <c r="O53" s="416">
        <v>4.5848974511999985E-3</v>
      </c>
      <c r="P53" s="416">
        <v>4.7228462957999992E-3</v>
      </c>
      <c r="Q53" s="416">
        <v>4.8607951404E-3</v>
      </c>
      <c r="R53" s="416">
        <v>4.998743984999999E-3</v>
      </c>
      <c r="S53" s="416">
        <v>5.1366928295999981E-3</v>
      </c>
      <c r="T53" s="416">
        <v>5.274641674199998E-3</v>
      </c>
      <c r="U53" s="416">
        <v>5.4125905187999996E-3</v>
      </c>
      <c r="V53" s="416">
        <v>5.5505393633999986E-3</v>
      </c>
      <c r="W53" s="416">
        <v>5.6884882080000003E-3</v>
      </c>
      <c r="X53" s="416">
        <v>5.8264370525999993E-3</v>
      </c>
      <c r="Y53" s="416">
        <v>5.9643858971999992E-3</v>
      </c>
      <c r="Z53" s="416">
        <v>6.1023347417999982E-3</v>
      </c>
      <c r="AA53" s="416">
        <v>6.240283586399999E-3</v>
      </c>
      <c r="AB53" s="416">
        <v>6.3782324309999989E-3</v>
      </c>
      <c r="AC53" s="416">
        <v>6.5161812755999962E-3</v>
      </c>
      <c r="AD53" s="416">
        <v>6.6541301201999987E-3</v>
      </c>
      <c r="AE53" s="416">
        <v>6.7920789648000003E-3</v>
      </c>
      <c r="AF53" s="416">
        <v>6.9300278093999985E-3</v>
      </c>
      <c r="AG53" s="416">
        <v>7.0679766539999984E-3</v>
      </c>
      <c r="AH53" s="416">
        <v>7.2059254985999991E-3</v>
      </c>
    </row>
    <row r="54" spans="2:48">
      <c r="B54" s="244" t="s">
        <v>413</v>
      </c>
      <c r="C54" s="63" t="s">
        <v>539</v>
      </c>
      <c r="D54" s="415">
        <v>4.122901073908572E-3</v>
      </c>
      <c r="E54" s="414">
        <v>4.7159323402400002E-3</v>
      </c>
      <c r="F54" s="414">
        <v>5.1221607483828572E-3</v>
      </c>
      <c r="G54" s="414">
        <v>5.5694474642400005E-3</v>
      </c>
      <c r="H54" s="414">
        <v>5.7966616507485729E-3</v>
      </c>
      <c r="I54" s="414">
        <v>5.8464044126400015E-3</v>
      </c>
      <c r="J54" s="414">
        <v>6.3265377746685725E-3</v>
      </c>
      <c r="K54" s="414">
        <v>6.7749691463771444E-3</v>
      </c>
      <c r="L54" s="414">
        <v>7.3545133807200007E-3</v>
      </c>
      <c r="M54" s="414">
        <v>7.7383961159371434E-3</v>
      </c>
      <c r="N54" s="414">
        <v>8.1556729414285732E-3</v>
      </c>
      <c r="O54" s="416">
        <v>8.3937928780346682E-3</v>
      </c>
      <c r="P54" s="416">
        <v>8.7671971108521894E-3</v>
      </c>
      <c r="Q54" s="416">
        <v>9.1406013436697159E-3</v>
      </c>
      <c r="R54" s="416">
        <v>9.5140055764872389E-3</v>
      </c>
      <c r="S54" s="416">
        <v>9.8874098093047619E-3</v>
      </c>
      <c r="T54" s="416">
        <v>1.0260814042122285E-2</v>
      </c>
      <c r="U54" s="416">
        <v>1.0634218274939811E-2</v>
      </c>
      <c r="V54" s="416">
        <v>1.1007622507757334E-2</v>
      </c>
      <c r="W54" s="416">
        <v>1.1381026740574861E-2</v>
      </c>
      <c r="X54" s="416">
        <v>1.1754430973392382E-2</v>
      </c>
      <c r="Y54" s="416">
        <v>1.2127835206209907E-2</v>
      </c>
      <c r="Z54" s="416">
        <v>1.250123943902743E-2</v>
      </c>
      <c r="AA54" s="416">
        <v>1.2874643671844956E-2</v>
      </c>
      <c r="AB54" s="416">
        <v>1.3248047904662479E-2</v>
      </c>
      <c r="AC54" s="416">
        <v>1.3621452137480002E-2</v>
      </c>
      <c r="AD54" s="416">
        <v>1.3994856370297522E-2</v>
      </c>
      <c r="AE54" s="416">
        <v>1.436826060311505E-2</v>
      </c>
      <c r="AF54" s="416">
        <v>1.4741664835932571E-2</v>
      </c>
      <c r="AG54" s="416">
        <v>1.5115069068750096E-2</v>
      </c>
      <c r="AH54" s="416">
        <v>1.5488473301567621E-2</v>
      </c>
    </row>
    <row r="55" spans="2:48">
      <c r="B55" s="244" t="s">
        <v>19</v>
      </c>
      <c r="C55" s="63" t="s">
        <v>539</v>
      </c>
      <c r="D55" s="415">
        <v>4.6562062372571423E-3</v>
      </c>
      <c r="E55" s="414">
        <v>4.2788509330285718E-3</v>
      </c>
      <c r="F55" s="414">
        <v>4.1506851584000009E-3</v>
      </c>
      <c r="G55" s="414">
        <v>4.0943301595428574E-3</v>
      </c>
      <c r="H55" s="414">
        <v>4.1836612022857142E-3</v>
      </c>
      <c r="I55" s="414">
        <v>4.1054616667428566E-3</v>
      </c>
      <c r="J55" s="414">
        <v>4.1692655689142865E-3</v>
      </c>
      <c r="K55" s="414">
        <v>4.1577155839999996E-3</v>
      </c>
      <c r="L55" s="414">
        <v>4.0689146130285713E-3</v>
      </c>
      <c r="M55" s="414">
        <v>3.9755940827428575E-3</v>
      </c>
      <c r="N55" s="414">
        <v>3.8982594011428575E-3</v>
      </c>
      <c r="O55" s="416">
        <v>3.9485381035885714E-3</v>
      </c>
      <c r="P55" s="416">
        <v>3.9194952429714288E-3</v>
      </c>
      <c r="Q55" s="416">
        <v>3.8904523823542858E-3</v>
      </c>
      <c r="R55" s="416">
        <v>3.8614095217371427E-3</v>
      </c>
      <c r="S55" s="416">
        <v>3.8323666611200001E-3</v>
      </c>
      <c r="T55" s="416">
        <v>3.8033238005028562E-3</v>
      </c>
      <c r="U55" s="416">
        <v>3.7742809398857145E-3</v>
      </c>
      <c r="V55" s="416">
        <v>3.7452380792685714E-3</v>
      </c>
      <c r="W55" s="416">
        <v>3.7161952186514284E-3</v>
      </c>
      <c r="X55" s="416">
        <v>3.6871523580342853E-3</v>
      </c>
      <c r="Y55" s="416">
        <v>3.6581094974171427E-3</v>
      </c>
      <c r="Z55" s="416">
        <v>3.6290666368000001E-3</v>
      </c>
      <c r="AA55" s="416">
        <v>3.6000237761828571E-3</v>
      </c>
      <c r="AB55" s="416">
        <v>3.570980915565714E-3</v>
      </c>
      <c r="AC55" s="416">
        <v>3.5419380549485714E-3</v>
      </c>
      <c r="AD55" s="416">
        <v>3.5128951943314288E-3</v>
      </c>
      <c r="AE55" s="416">
        <v>3.4838523337142858E-3</v>
      </c>
      <c r="AF55" s="416">
        <v>3.4548094730971427E-3</v>
      </c>
      <c r="AG55" s="416">
        <v>3.4257666124800001E-3</v>
      </c>
      <c r="AH55" s="416">
        <v>3.3967237518628571E-3</v>
      </c>
    </row>
    <row r="56" spans="2:48">
      <c r="B56" s="244" t="s">
        <v>61</v>
      </c>
      <c r="C56" s="63" t="s">
        <v>539</v>
      </c>
      <c r="D56" s="415">
        <v>2.2824921936960001E-2</v>
      </c>
      <c r="E56" s="414">
        <v>2.3202424571039999E-2</v>
      </c>
      <c r="F56" s="414">
        <v>2.376760372272E-2</v>
      </c>
      <c r="G56" s="414">
        <v>2.4719515254720003E-2</v>
      </c>
      <c r="H56" s="414">
        <v>2.6527673652480002E-2</v>
      </c>
      <c r="I56" s="414">
        <v>2.8093626372239999E-2</v>
      </c>
      <c r="J56" s="414">
        <v>3.173143164048E-2</v>
      </c>
      <c r="K56" s="414">
        <v>3.4614682605359999E-2</v>
      </c>
      <c r="L56" s="414">
        <v>3.9924184322880009E-2</v>
      </c>
      <c r="M56" s="414">
        <v>4.3727305770719989E-2</v>
      </c>
      <c r="N56" s="414">
        <v>4.7165649307919999E-2</v>
      </c>
      <c r="O56" s="416">
        <v>4.7657713536576003E-2</v>
      </c>
      <c r="P56" s="416">
        <v>5.0441405139216001E-2</v>
      </c>
      <c r="Q56" s="416">
        <v>5.3225096741856014E-2</v>
      </c>
      <c r="R56" s="416">
        <v>5.6008788344496012E-2</v>
      </c>
      <c r="S56" s="416">
        <v>5.879247994713601E-2</v>
      </c>
      <c r="T56" s="416">
        <v>6.1576171549775995E-2</v>
      </c>
      <c r="U56" s="416">
        <v>6.4359863152416E-2</v>
      </c>
      <c r="V56" s="416">
        <v>6.7143554755055998E-2</v>
      </c>
      <c r="W56" s="416">
        <v>6.992724635769601E-2</v>
      </c>
      <c r="X56" s="416">
        <v>7.2710937960335981E-2</v>
      </c>
      <c r="Y56" s="416">
        <v>7.5494629562975993E-2</v>
      </c>
      <c r="Z56" s="416">
        <v>7.8278321165616005E-2</v>
      </c>
      <c r="AA56" s="416">
        <v>8.1062012768256017E-2</v>
      </c>
      <c r="AB56" s="416">
        <v>8.3845704370896001E-2</v>
      </c>
      <c r="AC56" s="416">
        <v>8.6629395973536E-2</v>
      </c>
      <c r="AD56" s="416">
        <v>8.9413087576176012E-2</v>
      </c>
      <c r="AE56" s="416">
        <v>9.2196779178815996E-2</v>
      </c>
      <c r="AF56" s="416">
        <v>9.4980470781456008E-2</v>
      </c>
      <c r="AG56" s="416">
        <v>9.7764162384095979E-2</v>
      </c>
      <c r="AH56" s="416">
        <v>0.10054785398673602</v>
      </c>
    </row>
    <row r="57" spans="2:48">
      <c r="B57" s="244" t="s">
        <v>20</v>
      </c>
      <c r="C57" s="63" t="s">
        <v>539</v>
      </c>
      <c r="D57" s="415">
        <v>1.0942593007028574E-2</v>
      </c>
      <c r="E57" s="414">
        <v>8.6999810539714305E-3</v>
      </c>
      <c r="F57" s="414">
        <v>8.2795190119714299E-3</v>
      </c>
      <c r="G57" s="414">
        <v>8.7700706336571437E-3</v>
      </c>
      <c r="H57" s="414">
        <v>1.0788326153314286E-2</v>
      </c>
      <c r="I57" s="414">
        <v>9.4226024517428571E-3</v>
      </c>
      <c r="J57" s="414">
        <v>1.0830240344314287E-2</v>
      </c>
      <c r="K57" s="414">
        <v>1.2206063055685718E-2</v>
      </c>
      <c r="L57" s="414">
        <v>1.3493748097028574E-2</v>
      </c>
      <c r="M57" s="414">
        <v>1.5228684430457147E-2</v>
      </c>
      <c r="N57" s="414">
        <v>1.6985572673142862E-2</v>
      </c>
      <c r="O57" s="416">
        <v>1.6553604737811433E-2</v>
      </c>
      <c r="P57" s="416">
        <v>1.7477809091862855E-2</v>
      </c>
      <c r="Q57" s="416">
        <v>1.8402013445914286E-2</v>
      </c>
      <c r="R57" s="416">
        <v>1.9326217799965718E-2</v>
      </c>
      <c r="S57" s="416">
        <v>2.025042215401715E-2</v>
      </c>
      <c r="T57" s="416">
        <v>2.1174626508068579E-2</v>
      </c>
      <c r="U57" s="416">
        <v>2.2098830862120004E-2</v>
      </c>
      <c r="V57" s="416">
        <v>2.3023035216171432E-2</v>
      </c>
      <c r="W57" s="416">
        <v>2.3947239570222861E-2</v>
      </c>
      <c r="X57" s="416">
        <v>2.4871443924274289E-2</v>
      </c>
      <c r="Y57" s="416">
        <v>2.5795648278325718E-2</v>
      </c>
      <c r="Z57" s="416">
        <v>2.6719852632377156E-2</v>
      </c>
      <c r="AA57" s="416">
        <v>2.7644056986428567E-2</v>
      </c>
      <c r="AB57" s="416">
        <v>2.8568261340480003E-2</v>
      </c>
      <c r="AC57" s="416">
        <v>2.9492465694531435E-2</v>
      </c>
      <c r="AD57" s="416">
        <v>3.041667004858286E-2</v>
      </c>
      <c r="AE57" s="416">
        <v>3.1340874402634292E-2</v>
      </c>
      <c r="AF57" s="416">
        <v>3.2265078756685724E-2</v>
      </c>
      <c r="AG57" s="416">
        <v>3.3189283110737142E-2</v>
      </c>
      <c r="AH57" s="416">
        <v>3.4113487464788574E-2</v>
      </c>
    </row>
    <row r="58" spans="2:48">
      <c r="B58" s="244" t="s">
        <v>21</v>
      </c>
      <c r="C58" s="63" t="s">
        <v>539</v>
      </c>
      <c r="D58" s="415">
        <v>2.7034331192000001E-4</v>
      </c>
      <c r="E58" s="414">
        <v>2.9767152184000003E-4</v>
      </c>
      <c r="F58" s="414">
        <v>3.0048471992000003E-4</v>
      </c>
      <c r="G58" s="414">
        <v>3.0452869216000003E-4</v>
      </c>
      <c r="H58" s="414">
        <v>3.5772827727999999E-4</v>
      </c>
      <c r="I58" s="414">
        <v>3.1570613096000002E-4</v>
      </c>
      <c r="J58" s="414">
        <v>3.9070800120000003E-4</v>
      </c>
      <c r="K58" s="414">
        <v>3.9573156920000004E-4</v>
      </c>
      <c r="L58" s="414">
        <v>3.4454141127999999E-4</v>
      </c>
      <c r="M58" s="414">
        <v>3.4554612488000002E-4</v>
      </c>
      <c r="N58" s="414">
        <v>3.4986639336000001E-4</v>
      </c>
      <c r="O58" s="416">
        <v>3.7939325154133334E-4</v>
      </c>
      <c r="P58" s="416">
        <v>3.8650997287466662E-4</v>
      </c>
      <c r="Q58" s="416">
        <v>3.9362669420800006E-4</v>
      </c>
      <c r="R58" s="416">
        <v>4.0074341554133339E-4</v>
      </c>
      <c r="S58" s="416">
        <v>4.0786013687466667E-4</v>
      </c>
      <c r="T58" s="416">
        <v>4.1497685820800006E-4</v>
      </c>
      <c r="U58" s="416">
        <v>4.2209357954133334E-4</v>
      </c>
      <c r="V58" s="416">
        <v>4.2921030087466673E-4</v>
      </c>
      <c r="W58" s="416">
        <v>4.36327022208E-4</v>
      </c>
      <c r="X58" s="416">
        <v>4.4344374354133334E-4</v>
      </c>
      <c r="Y58" s="416">
        <v>4.5056046487466678E-4</v>
      </c>
      <c r="Z58" s="416">
        <v>4.5767718620799995E-4</v>
      </c>
      <c r="AA58" s="416">
        <v>4.6479390754133339E-4</v>
      </c>
      <c r="AB58" s="416">
        <v>4.7191062887466678E-4</v>
      </c>
      <c r="AC58" s="416">
        <v>4.79027350208E-4</v>
      </c>
      <c r="AD58" s="416">
        <v>4.8614407154133334E-4</v>
      </c>
      <c r="AE58" s="416">
        <v>4.9326079287466667E-4</v>
      </c>
      <c r="AF58" s="416">
        <v>5.0037751420800006E-4</v>
      </c>
      <c r="AG58" s="416">
        <v>5.0749423554133334E-4</v>
      </c>
      <c r="AH58" s="416">
        <v>5.1461095687466672E-4</v>
      </c>
    </row>
    <row r="59" spans="2:48">
      <c r="B59" s="244" t="s">
        <v>62</v>
      </c>
      <c r="C59" s="63" t="s">
        <v>539</v>
      </c>
      <c r="D59" s="415">
        <v>8.7251295685714298E-5</v>
      </c>
      <c r="E59" s="414">
        <v>1.1633191774285717E-4</v>
      </c>
      <c r="F59" s="414">
        <v>9.1485147600000021E-5</v>
      </c>
      <c r="G59" s="414">
        <v>1.0567656660000001E-4</v>
      </c>
      <c r="H59" s="414">
        <v>7.6303629600000001E-5</v>
      </c>
      <c r="I59" s="414">
        <v>8.540079684242191E-5</v>
      </c>
      <c r="J59" s="414">
        <v>1.1774634488571431E-4</v>
      </c>
      <c r="K59" s="414">
        <v>6.641206911428572E-5</v>
      </c>
      <c r="L59" s="414">
        <v>4.5007071685714288E-5</v>
      </c>
      <c r="M59" s="414">
        <v>7.6812823371428583E-5</v>
      </c>
      <c r="N59" s="414">
        <v>7.8519565457142859E-5</v>
      </c>
      <c r="O59" s="416">
        <v>6.1179791684732898E-5</v>
      </c>
      <c r="P59" s="416">
        <v>5.6672555029237687E-5</v>
      </c>
      <c r="Q59" s="416">
        <v>5.2165318373742489E-5</v>
      </c>
      <c r="R59" s="416">
        <v>4.7658081718247292E-5</v>
      </c>
      <c r="S59" s="416">
        <v>4.3150845062752101E-5</v>
      </c>
      <c r="T59" s="416">
        <v>3.8643608407256882E-5</v>
      </c>
      <c r="U59" s="416">
        <v>3.4136371751761678E-5</v>
      </c>
      <c r="V59" s="416">
        <v>2.962913509626649E-5</v>
      </c>
      <c r="W59" s="416">
        <v>2.5121898440771292E-5</v>
      </c>
      <c r="X59" s="416">
        <v>2.0614661785276081E-5</v>
      </c>
      <c r="Y59" s="416">
        <v>1.6107425129780887E-5</v>
      </c>
      <c r="Z59" s="416">
        <v>1.1600188474285687E-5</v>
      </c>
      <c r="AA59" s="416">
        <v>7.0929518187904927E-6</v>
      </c>
      <c r="AB59" s="416">
        <v>2.5857151632952801E-6</v>
      </c>
      <c r="AC59" s="416">
        <v>-1.9215214921999156E-6</v>
      </c>
      <c r="AD59" s="416">
        <v>-6.4287581476951117E-6</v>
      </c>
      <c r="AE59" s="416">
        <v>-1.0935994803190324E-5</v>
      </c>
      <c r="AF59" s="416">
        <v>-1.5443231458685522E-5</v>
      </c>
      <c r="AG59" s="416">
        <v>-1.9950468114180713E-5</v>
      </c>
      <c r="AH59" s="416">
        <v>-2.4457704769675911E-5</v>
      </c>
    </row>
    <row r="60" spans="2:48" ht="24">
      <c r="B60" s="244" t="s">
        <v>415</v>
      </c>
      <c r="C60" s="63" t="s">
        <v>539</v>
      </c>
      <c r="D60" s="415">
        <v>3.8011718097257143E-3</v>
      </c>
      <c r="E60" s="414">
        <v>3.9088606381157149E-3</v>
      </c>
      <c r="F60" s="414">
        <v>4.2715588900285716E-3</v>
      </c>
      <c r="G60" s="414">
        <v>4.4156493155657157E-3</v>
      </c>
      <c r="H60" s="414">
        <v>4.342889861828572E-3</v>
      </c>
      <c r="I60" s="414">
        <v>4.3802544567257146E-3</v>
      </c>
      <c r="J60" s="414">
        <v>4.1368917325842868E-3</v>
      </c>
      <c r="K60" s="414">
        <v>3.9210268624371427E-3</v>
      </c>
      <c r="L60" s="414">
        <v>3.917039557907143E-3</v>
      </c>
      <c r="M60" s="414">
        <v>4.0032359696999999E-3</v>
      </c>
      <c r="N60" s="414">
        <v>3.8653270725771431E-3</v>
      </c>
      <c r="O60" s="416">
        <v>3.8966809712235656E-3</v>
      </c>
      <c r="P60" s="416">
        <v>3.8955756124148993E-3</v>
      </c>
      <c r="Q60" s="416">
        <v>3.8944705671597689E-3</v>
      </c>
      <c r="R60" s="416">
        <v>3.8933658353692293E-3</v>
      </c>
      <c r="S60" s="416">
        <v>3.8922614169543601E-3</v>
      </c>
      <c r="T60" s="416">
        <v>3.8911573118262702E-3</v>
      </c>
      <c r="U60" s="416">
        <v>3.8900535198960876E-3</v>
      </c>
      <c r="V60" s="416">
        <v>3.8889500410749689E-3</v>
      </c>
      <c r="W60" s="416">
        <v>3.8878468752740962E-3</v>
      </c>
      <c r="X60" s="416">
        <v>3.8867440224046755E-3</v>
      </c>
      <c r="Y60" s="416">
        <v>3.8856414823779388E-3</v>
      </c>
      <c r="Z60" s="416">
        <v>3.8845392551051443E-3</v>
      </c>
      <c r="AA60" s="416">
        <v>3.8834373404975711E-3</v>
      </c>
      <c r="AB60" s="416">
        <v>3.8823357384665295E-3</v>
      </c>
      <c r="AC60" s="416">
        <v>3.8812344489233493E-3</v>
      </c>
      <c r="AD60" s="416">
        <v>3.8801334717793912E-3</v>
      </c>
      <c r="AE60" s="416">
        <v>3.8790328069460349E-3</v>
      </c>
      <c r="AF60" s="416">
        <v>3.8779324543346911E-3</v>
      </c>
      <c r="AG60" s="416">
        <v>3.8768324138567897E-3</v>
      </c>
      <c r="AH60" s="416">
        <v>3.8757326854237909E-3</v>
      </c>
    </row>
    <row r="61" spans="2:48">
      <c r="B61" s="244" t="s">
        <v>416</v>
      </c>
      <c r="C61" s="63" t="s">
        <v>539</v>
      </c>
      <c r="D61" s="415">
        <v>1.1285960062928575E-3</v>
      </c>
      <c r="E61" s="414">
        <v>1.4013223893428572E-3</v>
      </c>
      <c r="F61" s="414">
        <v>1.6256763621214287E-3</v>
      </c>
      <c r="G61" s="414">
        <v>1.5986708526642861E-3</v>
      </c>
      <c r="H61" s="414">
        <v>1.8399173701071432E-3</v>
      </c>
      <c r="I61" s="414">
        <v>1.9253234578285715E-3</v>
      </c>
      <c r="J61" s="414">
        <v>1.9592423671071432E-3</v>
      </c>
      <c r="K61" s="414">
        <v>2.1696518089714292E-3</v>
      </c>
      <c r="L61" s="414">
        <v>1.9502275965857145E-3</v>
      </c>
      <c r="M61" s="414">
        <v>1.9877594552357145E-3</v>
      </c>
      <c r="N61" s="414">
        <v>2.1298363043571432E-3</v>
      </c>
      <c r="O61" s="416">
        <v>2.2917282854714289E-3</v>
      </c>
      <c r="P61" s="416">
        <v>2.3726742760285715E-3</v>
      </c>
      <c r="Q61" s="416">
        <v>2.4536202665857141E-3</v>
      </c>
      <c r="R61" s="416">
        <v>2.5345662571428576E-3</v>
      </c>
      <c r="S61" s="416">
        <v>2.6155122477000007E-3</v>
      </c>
      <c r="T61" s="416">
        <v>2.6964582382571424E-3</v>
      </c>
      <c r="U61" s="416">
        <v>2.7774042288142859E-3</v>
      </c>
      <c r="V61" s="416">
        <v>2.8583502193714285E-3</v>
      </c>
      <c r="W61" s="416">
        <v>2.939296209928572E-3</v>
      </c>
      <c r="X61" s="416">
        <v>3.0202422004857142E-3</v>
      </c>
      <c r="Y61" s="416">
        <v>3.1011881910428577E-3</v>
      </c>
      <c r="Z61" s="416">
        <v>3.1821341815999999E-3</v>
      </c>
      <c r="AA61" s="416">
        <v>3.2630801721571425E-3</v>
      </c>
      <c r="AB61" s="416">
        <v>3.344026162714286E-3</v>
      </c>
      <c r="AC61" s="416">
        <v>3.4249721532714295E-3</v>
      </c>
      <c r="AD61" s="416">
        <v>3.5059181438285717E-3</v>
      </c>
      <c r="AE61" s="416">
        <v>3.5868641343857147E-3</v>
      </c>
      <c r="AF61" s="416">
        <v>3.6678101249428574E-3</v>
      </c>
      <c r="AG61" s="416">
        <v>3.7487561155E-3</v>
      </c>
      <c r="AH61" s="416">
        <v>3.8297021060571435E-3</v>
      </c>
    </row>
    <row r="62" spans="2:48" ht="24">
      <c r="B62" s="244" t="s">
        <v>417</v>
      </c>
      <c r="C62" s="63" t="s">
        <v>539</v>
      </c>
      <c r="D62" s="415">
        <v>3.9047845825842861E-3</v>
      </c>
      <c r="E62" s="414">
        <v>4.443268561364286E-3</v>
      </c>
      <c r="F62" s="414">
        <v>5.9467685405935724E-3</v>
      </c>
      <c r="G62" s="414">
        <v>6.5251227662185716E-3</v>
      </c>
      <c r="H62" s="414">
        <v>7.3262368082985703E-3</v>
      </c>
      <c r="I62" s="414">
        <v>7.6114210314292864E-3</v>
      </c>
      <c r="J62" s="414">
        <v>8.0885717893357141E-3</v>
      </c>
      <c r="K62" s="414">
        <v>8.1956357156692874E-3</v>
      </c>
      <c r="L62" s="414">
        <v>9.8151364049671452E-3</v>
      </c>
      <c r="M62" s="414">
        <v>1.0312680750829285E-2</v>
      </c>
      <c r="N62" s="414">
        <v>1.1706810994387142E-2</v>
      </c>
      <c r="O62" s="416">
        <v>1.1846121437729864E-2</v>
      </c>
      <c r="P62" s="416">
        <v>1.2545931637988152E-2</v>
      </c>
      <c r="Q62" s="416">
        <v>1.3245741838246439E-2</v>
      </c>
      <c r="R62" s="416">
        <v>1.3945552038504725E-2</v>
      </c>
      <c r="S62" s="416">
        <v>1.4645362238763011E-2</v>
      </c>
      <c r="T62" s="416">
        <v>1.5345172439021301E-2</v>
      </c>
      <c r="U62" s="416">
        <v>1.6044982639279587E-2</v>
      </c>
      <c r="V62" s="416">
        <v>1.6744792839537875E-2</v>
      </c>
      <c r="W62" s="416">
        <v>1.7444603039796162E-2</v>
      </c>
      <c r="X62" s="416">
        <v>1.8144413240054447E-2</v>
      </c>
      <c r="Y62" s="416">
        <v>1.8844223440312734E-2</v>
      </c>
      <c r="Z62" s="416">
        <v>1.9544033640571019E-2</v>
      </c>
      <c r="AA62" s="416">
        <v>2.024384384082931E-2</v>
      </c>
      <c r="AB62" s="416">
        <v>2.0943654041087598E-2</v>
      </c>
      <c r="AC62" s="416">
        <v>2.1643464241345882E-2</v>
      </c>
      <c r="AD62" s="416">
        <v>2.2343274441604166E-2</v>
      </c>
      <c r="AE62" s="416">
        <v>2.3043084641862457E-2</v>
      </c>
      <c r="AF62" s="416">
        <v>2.3742894842120742E-2</v>
      </c>
      <c r="AG62" s="416">
        <v>2.4442705042379033E-2</v>
      </c>
      <c r="AH62" s="416">
        <v>2.5142515242637317E-2</v>
      </c>
    </row>
    <row r="63" spans="2:48">
      <c r="B63" s="244" t="s">
        <v>73</v>
      </c>
      <c r="C63" s="63" t="s">
        <v>539</v>
      </c>
      <c r="D63" s="415">
        <v>4.9126317834000002E-4</v>
      </c>
      <c r="E63" s="414">
        <v>5.7223075927285722E-4</v>
      </c>
      <c r="F63" s="414">
        <v>6.0582604693285719E-4</v>
      </c>
      <c r="G63" s="414">
        <v>6.9875173179428582E-4</v>
      </c>
      <c r="H63" s="414">
        <v>6.8856370944428576E-4</v>
      </c>
      <c r="I63" s="414">
        <v>7.5288391652571435E-4</v>
      </c>
      <c r="J63" s="414">
        <v>7.4736484590428578E-4</v>
      </c>
      <c r="K63" s="414">
        <v>9.2204431293857144E-4</v>
      </c>
      <c r="L63" s="414">
        <v>1.1234402300785715E-3</v>
      </c>
      <c r="M63" s="414">
        <v>1.1589723778285715E-3</v>
      </c>
      <c r="N63" s="414">
        <v>1.3927968385414285E-3</v>
      </c>
      <c r="O63" s="416">
        <v>1.3354702856251432E-3</v>
      </c>
      <c r="P63" s="416">
        <v>1.4207762508431428E-3</v>
      </c>
      <c r="Q63" s="416">
        <v>1.5060822160611431E-3</v>
      </c>
      <c r="R63" s="416">
        <v>1.5913881812791427E-3</v>
      </c>
      <c r="S63" s="416">
        <v>1.6766941464971428E-3</v>
      </c>
      <c r="T63" s="416">
        <v>1.7620001117151431E-3</v>
      </c>
      <c r="U63" s="416">
        <v>1.8473060769331425E-3</v>
      </c>
      <c r="V63" s="416">
        <v>1.932612042151143E-3</v>
      </c>
      <c r="W63" s="416">
        <v>2.0179180073691435E-3</v>
      </c>
      <c r="X63" s="416">
        <v>2.1032239725871436E-3</v>
      </c>
      <c r="Y63" s="416">
        <v>2.1885299378051433E-3</v>
      </c>
      <c r="Z63" s="416">
        <v>2.2738359030231433E-3</v>
      </c>
      <c r="AA63" s="416">
        <v>2.3591418682411425E-3</v>
      </c>
      <c r="AB63" s="416">
        <v>2.444447833459143E-3</v>
      </c>
      <c r="AC63" s="416">
        <v>2.5297537986771431E-3</v>
      </c>
      <c r="AD63" s="416">
        <v>2.6150597638951432E-3</v>
      </c>
      <c r="AE63" s="416">
        <v>2.7003657291131433E-3</v>
      </c>
      <c r="AF63" s="416">
        <v>2.7856716943311433E-3</v>
      </c>
      <c r="AG63" s="416">
        <v>2.8709776595491434E-3</v>
      </c>
      <c r="AH63" s="416">
        <v>2.9562836247671431E-3</v>
      </c>
    </row>
    <row r="64" spans="2:48">
      <c r="B64" s="63"/>
      <c r="C64" s="63"/>
      <c r="D64" s="415"/>
      <c r="E64" s="414"/>
      <c r="F64" s="414"/>
      <c r="G64" s="414"/>
      <c r="H64" s="414"/>
      <c r="I64" s="414"/>
      <c r="J64" s="414"/>
      <c r="K64" s="414"/>
      <c r="L64" s="414"/>
      <c r="M64" s="414"/>
      <c r="N64" s="414"/>
      <c r="O64" s="416"/>
      <c r="P64" s="416"/>
      <c r="Q64" s="416"/>
      <c r="R64" s="416"/>
      <c r="S64" s="416"/>
      <c r="T64" s="416"/>
      <c r="U64" s="416"/>
      <c r="V64" s="416"/>
      <c r="W64" s="416"/>
      <c r="X64" s="416"/>
      <c r="Y64" s="416"/>
      <c r="Z64" s="416"/>
      <c r="AA64" s="416"/>
      <c r="AB64" s="416"/>
      <c r="AC64" s="416"/>
      <c r="AD64" s="416"/>
      <c r="AE64" s="416"/>
      <c r="AF64" s="416"/>
      <c r="AG64" s="416"/>
      <c r="AH64" s="416"/>
    </row>
    <row r="65" spans="2:34">
      <c r="B65" s="246" t="s">
        <v>420</v>
      </c>
      <c r="C65" s="63" t="s">
        <v>539</v>
      </c>
      <c r="D65" s="417">
        <v>5.5428808635702868E-2</v>
      </c>
      <c r="E65" s="417">
        <v>5.4842368779958579E-2</v>
      </c>
      <c r="F65" s="417">
        <v>5.7604464627670722E-2</v>
      </c>
      <c r="G65" s="417">
        <v>6.0406519570162867E-2</v>
      </c>
      <c r="H65" s="417">
        <v>6.5662736193387139E-2</v>
      </c>
      <c r="I65" s="417">
        <v>6.6039751148677425E-2</v>
      </c>
      <c r="J65" s="417">
        <v>7.2172728356394295E-2</v>
      </c>
      <c r="K65" s="417">
        <v>7.7329711078753582E-2</v>
      </c>
      <c r="L65" s="417">
        <v>8.6235438936161452E-2</v>
      </c>
      <c r="M65" s="417">
        <v>9.3002349600702125E-2</v>
      </c>
      <c r="N65" s="417">
        <v>0.10027515846731429</v>
      </c>
      <c r="O65" s="416">
        <v>0.10094912073048673</v>
      </c>
      <c r="P65" s="416">
        <v>0.10600689318588111</v>
      </c>
      <c r="Q65" s="416">
        <v>0.11106466595482911</v>
      </c>
      <c r="R65" s="416">
        <v>0.11612243903724163</v>
      </c>
      <c r="S65" s="416">
        <v>0.12118021243302983</v>
      </c>
      <c r="T65" s="416">
        <v>0.12623798614210482</v>
      </c>
      <c r="U65" s="416">
        <v>0.13129576016437772</v>
      </c>
      <c r="V65" s="416">
        <v>0.13635353449975968</v>
      </c>
      <c r="W65" s="416">
        <v>0.14141130914816188</v>
      </c>
      <c r="X65" s="416">
        <v>0.14646908410949552</v>
      </c>
      <c r="Y65" s="416">
        <v>0.15152685938367186</v>
      </c>
      <c r="Z65" s="416">
        <v>0.15658463497060221</v>
      </c>
      <c r="AA65" s="416">
        <v>0.16164241087019771</v>
      </c>
      <c r="AB65" s="416">
        <v>0.16670018708236972</v>
      </c>
      <c r="AC65" s="416">
        <v>0.17175796360702961</v>
      </c>
      <c r="AD65" s="416">
        <v>0.17681574044408876</v>
      </c>
      <c r="AE65" s="416">
        <v>0.18187351759345843</v>
      </c>
      <c r="AF65" s="416">
        <v>0.18693129505505018</v>
      </c>
      <c r="AG65" s="416">
        <v>0.19198907282877531</v>
      </c>
      <c r="AH65" s="416">
        <v>0.19704685091454543</v>
      </c>
    </row>
    <row r="66" spans="2:34">
      <c r="D66" s="2"/>
    </row>
    <row r="67" spans="2:34">
      <c r="D67" s="2"/>
    </row>
    <row r="68" spans="2:34">
      <c r="D68" s="2"/>
    </row>
  </sheetData>
  <mergeCells count="12">
    <mergeCell ref="I24:J24"/>
    <mergeCell ref="AJ22:AK22"/>
    <mergeCell ref="AM4:AN4"/>
    <mergeCell ref="K5:L5"/>
    <mergeCell ref="K7:L7"/>
    <mergeCell ref="K8:L8"/>
    <mergeCell ref="H4:L4"/>
    <mergeCell ref="AO4:AP4"/>
    <mergeCell ref="E4:G4"/>
    <mergeCell ref="B4:B7"/>
    <mergeCell ref="B22:C22"/>
    <mergeCell ref="AJ4:AJ7"/>
  </mergeCells>
  <pageMargins left="0.28000000000000003" right="0.21" top="0.35" bottom="0.32" header="0.3" footer="0.26"/>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sheetPr>
    <tabColor rgb="FFFFFF00"/>
  </sheetPr>
  <dimension ref="B2:P28"/>
  <sheetViews>
    <sheetView topLeftCell="A3" workbookViewId="0">
      <selection activeCell="B2" sqref="B2:G28"/>
    </sheetView>
  </sheetViews>
  <sheetFormatPr defaultRowHeight="15"/>
  <cols>
    <col min="3" max="7" width="13" customWidth="1"/>
  </cols>
  <sheetData>
    <row r="2" spans="2:16" ht="43.5" customHeight="1">
      <c r="B2" s="520" t="s">
        <v>456</v>
      </c>
      <c r="C2" s="517" t="s">
        <v>403</v>
      </c>
      <c r="D2" s="517"/>
      <c r="E2" s="518" t="s">
        <v>356</v>
      </c>
      <c r="F2" s="519"/>
      <c r="G2" s="465" t="s">
        <v>420</v>
      </c>
    </row>
    <row r="3" spans="2:16" ht="30">
      <c r="B3" s="521"/>
      <c r="C3" s="420" t="s">
        <v>540</v>
      </c>
      <c r="D3" s="465" t="s">
        <v>556</v>
      </c>
      <c r="E3" s="465" t="s">
        <v>541</v>
      </c>
      <c r="F3" s="465" t="s">
        <v>556</v>
      </c>
      <c r="G3" s="465" t="s">
        <v>556</v>
      </c>
    </row>
    <row r="4" spans="2:16">
      <c r="B4" s="473">
        <v>2006</v>
      </c>
      <c r="C4" s="258">
        <v>62.376535083333337</v>
      </c>
      <c r="D4" s="466">
        <v>1309.90723675</v>
      </c>
      <c r="E4" s="466">
        <v>7.2172728356394295E-2</v>
      </c>
      <c r="F4" s="466">
        <v>21.507473050205501</v>
      </c>
      <c r="G4" s="466">
        <f t="shared" ref="G4:G28" si="0">D4+F4</f>
        <v>1331.4147098002056</v>
      </c>
      <c r="H4" s="17"/>
      <c r="I4" s="17"/>
      <c r="J4" s="17"/>
      <c r="K4" s="17"/>
      <c r="L4" s="17"/>
      <c r="M4" s="17"/>
      <c r="N4" s="17"/>
      <c r="O4" s="17"/>
      <c r="P4" s="17"/>
    </row>
    <row r="5" spans="2:16">
      <c r="B5" s="474">
        <v>2007</v>
      </c>
      <c r="C5" s="258">
        <v>66.691821326666656</v>
      </c>
      <c r="D5" s="466">
        <v>1400.5282478599997</v>
      </c>
      <c r="E5" s="466">
        <v>7.7329711078753582E-2</v>
      </c>
      <c r="F5" s="466">
        <v>23.044253901468569</v>
      </c>
      <c r="G5" s="466">
        <f t="shared" si="0"/>
        <v>1423.5725017614684</v>
      </c>
    </row>
    <row r="6" spans="2:16">
      <c r="B6" s="473">
        <v>2008</v>
      </c>
      <c r="C6" s="258">
        <v>73.113194156666651</v>
      </c>
      <c r="D6" s="466">
        <v>1535.3770772899998</v>
      </c>
      <c r="E6" s="466">
        <v>8.6235438936161452E-2</v>
      </c>
      <c r="F6" s="466">
        <v>25.698160802976112</v>
      </c>
      <c r="G6" s="466">
        <f t="shared" si="0"/>
        <v>1561.075238092976</v>
      </c>
      <c r="H6" s="17"/>
      <c r="I6" s="17"/>
      <c r="J6" s="17"/>
      <c r="K6" s="17"/>
      <c r="L6" s="17"/>
      <c r="M6" s="17"/>
      <c r="N6" s="17"/>
      <c r="O6" s="17"/>
      <c r="P6" s="17"/>
    </row>
    <row r="7" spans="2:16">
      <c r="B7" s="474">
        <v>2009</v>
      </c>
      <c r="C7" s="258">
        <v>78.119209699999999</v>
      </c>
      <c r="D7" s="466">
        <v>1640.5034037</v>
      </c>
      <c r="E7" s="466">
        <v>9.3002349600702125E-2</v>
      </c>
      <c r="F7" s="466">
        <v>27.714700181009235</v>
      </c>
      <c r="G7" s="466">
        <f t="shared" si="0"/>
        <v>1668.2181038810093</v>
      </c>
    </row>
    <row r="8" spans="2:16">
      <c r="B8" s="474">
        <v>2010</v>
      </c>
      <c r="C8" s="258">
        <v>82.742088163333307</v>
      </c>
      <c r="D8" s="466">
        <v>1737.5838514299994</v>
      </c>
      <c r="E8" s="466">
        <v>0.10027515846731429</v>
      </c>
      <c r="F8" s="466">
        <v>29.881997223259656</v>
      </c>
      <c r="G8" s="466">
        <f t="shared" si="0"/>
        <v>1767.4658486532592</v>
      </c>
    </row>
    <row r="9" spans="2:16">
      <c r="B9" s="474">
        <v>2011</v>
      </c>
      <c r="C9" s="258">
        <v>83.626515777702139</v>
      </c>
      <c r="D9" s="466">
        <v>1756.1568313317448</v>
      </c>
      <c r="E9" s="466">
        <v>0.10094912073048673</v>
      </c>
      <c r="F9" s="466">
        <v>30.082837977685045</v>
      </c>
      <c r="G9" s="466">
        <f t="shared" si="0"/>
        <v>1786.2396693094299</v>
      </c>
    </row>
    <row r="10" spans="2:16">
      <c r="B10" s="474">
        <v>2012</v>
      </c>
      <c r="C10" s="258">
        <v>87.31788581040702</v>
      </c>
      <c r="D10" s="466">
        <v>1833.6756020185474</v>
      </c>
      <c r="E10" s="466">
        <v>0.10600689318588111</v>
      </c>
      <c r="F10" s="466">
        <v>31.59005416939257</v>
      </c>
      <c r="G10" s="466">
        <f t="shared" si="0"/>
        <v>1865.2656561879398</v>
      </c>
    </row>
    <row r="11" spans="2:16">
      <c r="B11" s="474">
        <v>2013</v>
      </c>
      <c r="C11" s="258">
        <v>91.009255887556492</v>
      </c>
      <c r="D11" s="466">
        <v>1911.1943736386863</v>
      </c>
      <c r="E11" s="466">
        <v>0.11106466595482911</v>
      </c>
      <c r="F11" s="466">
        <v>33.097270454539078</v>
      </c>
      <c r="G11" s="466">
        <f t="shared" si="0"/>
        <v>1944.2916440932254</v>
      </c>
    </row>
    <row r="12" spans="2:16">
      <c r="B12" s="474">
        <v>2014</v>
      </c>
      <c r="C12" s="258">
        <v>94.700626009137963</v>
      </c>
      <c r="D12" s="466">
        <v>1988.7131461918973</v>
      </c>
      <c r="E12" s="466">
        <v>0.11612243903724163</v>
      </c>
      <c r="F12" s="466">
        <v>34.604486833098008</v>
      </c>
      <c r="G12" s="466">
        <f t="shared" si="0"/>
        <v>2023.3176330249953</v>
      </c>
    </row>
    <row r="13" spans="2:16">
      <c r="B13" s="475">
        <v>2015</v>
      </c>
      <c r="C13" s="258">
        <v>98.391996175138829</v>
      </c>
      <c r="D13" s="466">
        <v>2066.2319196779154</v>
      </c>
      <c r="E13" s="466">
        <v>0.12118021243302983</v>
      </c>
      <c r="F13" s="466">
        <v>36.111703305042887</v>
      </c>
      <c r="G13" s="466">
        <f t="shared" si="0"/>
        <v>2102.3436229829581</v>
      </c>
      <c r="H13" s="167"/>
      <c r="I13" s="167"/>
      <c r="J13" s="167"/>
      <c r="K13" s="167"/>
      <c r="L13" s="167"/>
      <c r="M13" s="167"/>
      <c r="N13" s="167"/>
      <c r="O13" s="167"/>
      <c r="P13" s="167"/>
    </row>
    <row r="14" spans="2:16">
      <c r="B14" s="474">
        <v>2016</v>
      </c>
      <c r="C14" s="258">
        <v>102.08336638554648</v>
      </c>
      <c r="D14" s="466">
        <v>2143.7506940964763</v>
      </c>
      <c r="E14" s="466">
        <v>0.12623798614210482</v>
      </c>
      <c r="F14" s="466">
        <v>37.618919870347234</v>
      </c>
      <c r="G14" s="466">
        <f t="shared" si="0"/>
        <v>2181.3696139668236</v>
      </c>
    </row>
    <row r="15" spans="2:16">
      <c r="B15" s="474">
        <v>2017</v>
      </c>
      <c r="C15" s="258">
        <v>105.77473664034835</v>
      </c>
      <c r="D15" s="466">
        <v>2221.2694694473153</v>
      </c>
      <c r="E15" s="466">
        <v>0.13129576016437772</v>
      </c>
      <c r="F15" s="466">
        <v>39.12613652898456</v>
      </c>
      <c r="G15" s="466">
        <f t="shared" si="0"/>
        <v>2260.3956059763</v>
      </c>
    </row>
    <row r="16" spans="2:16">
      <c r="B16" s="474">
        <v>2018</v>
      </c>
      <c r="C16" s="258">
        <v>109.46610693953185</v>
      </c>
      <c r="D16" s="466">
        <v>2298.7882457301689</v>
      </c>
      <c r="E16" s="466">
        <v>0.13635353449975968</v>
      </c>
      <c r="F16" s="466">
        <v>40.633353280928382</v>
      </c>
      <c r="G16" s="466">
        <f t="shared" si="0"/>
        <v>2339.4215990110974</v>
      </c>
    </row>
    <row r="17" spans="2:7">
      <c r="B17" s="474">
        <v>2019</v>
      </c>
      <c r="C17" s="258">
        <v>113.15747728308433</v>
      </c>
      <c r="D17" s="466">
        <v>2376.3070229447708</v>
      </c>
      <c r="E17" s="466">
        <v>0.14141130914816188</v>
      </c>
      <c r="F17" s="466">
        <v>42.140570126152241</v>
      </c>
      <c r="G17" s="466">
        <f t="shared" si="0"/>
        <v>2418.4475930709232</v>
      </c>
    </row>
    <row r="18" spans="2:7">
      <c r="B18" s="474">
        <v>2020</v>
      </c>
      <c r="C18" s="258">
        <v>116.84884767099319</v>
      </c>
      <c r="D18" s="466">
        <v>2453.8258010908571</v>
      </c>
      <c r="E18" s="466">
        <v>0.14646908410949552</v>
      </c>
      <c r="F18" s="466">
        <v>43.647787064629668</v>
      </c>
      <c r="G18" s="466">
        <f t="shared" si="0"/>
        <v>2497.4735881554866</v>
      </c>
    </row>
    <row r="19" spans="2:7">
      <c r="B19" s="474">
        <v>2021</v>
      </c>
      <c r="C19" s="258">
        <v>120.54021810324602</v>
      </c>
      <c r="D19" s="466">
        <v>2531.3445801681664</v>
      </c>
      <c r="E19" s="466">
        <v>0.15152685938367186</v>
      </c>
      <c r="F19" s="466">
        <v>45.155004096334217</v>
      </c>
      <c r="G19" s="466">
        <f t="shared" si="0"/>
        <v>2576.4995842645008</v>
      </c>
    </row>
    <row r="20" spans="2:7">
      <c r="B20" s="474">
        <v>2022</v>
      </c>
      <c r="C20" s="258">
        <v>124.23158857983003</v>
      </c>
      <c r="D20" s="466">
        <v>2608.8633601764304</v>
      </c>
      <c r="E20" s="466">
        <v>0.15658463497060221</v>
      </c>
      <c r="F20" s="466">
        <v>46.662221221239456</v>
      </c>
      <c r="G20" s="466">
        <f t="shared" si="0"/>
        <v>2655.5255813976701</v>
      </c>
    </row>
    <row r="21" spans="2:7">
      <c r="B21" s="474">
        <v>2023</v>
      </c>
      <c r="C21" s="258">
        <v>127.92295910073277</v>
      </c>
      <c r="D21" s="466">
        <v>2686.3821411153881</v>
      </c>
      <c r="E21" s="466">
        <v>0.16164241087019771</v>
      </c>
      <c r="F21" s="466">
        <v>48.169438439318917</v>
      </c>
      <c r="G21" s="466">
        <f t="shared" si="0"/>
        <v>2734.5515795547071</v>
      </c>
    </row>
    <row r="22" spans="2:7">
      <c r="B22" s="474">
        <v>2024</v>
      </c>
      <c r="C22" s="258">
        <v>131.61432966594165</v>
      </c>
      <c r="D22" s="466">
        <v>2763.9009229847748</v>
      </c>
      <c r="E22" s="466">
        <v>0.16670018708236972</v>
      </c>
      <c r="F22" s="466">
        <v>49.676655750546175</v>
      </c>
      <c r="G22" s="466">
        <f t="shared" si="0"/>
        <v>2813.5775787353209</v>
      </c>
    </row>
    <row r="23" spans="2:7">
      <c r="B23" s="474">
        <v>2025</v>
      </c>
      <c r="C23" s="258">
        <v>135.30570027544408</v>
      </c>
      <c r="D23" s="466">
        <v>2841.4197057843257</v>
      </c>
      <c r="E23" s="466">
        <v>0.17175796360702961</v>
      </c>
      <c r="F23" s="466">
        <v>51.183873154894826</v>
      </c>
      <c r="G23" s="466">
        <f t="shared" si="0"/>
        <v>2892.6035789392204</v>
      </c>
    </row>
    <row r="24" spans="2:7">
      <c r="B24" s="474">
        <v>2026</v>
      </c>
      <c r="C24" s="258">
        <v>138.99707092922745</v>
      </c>
      <c r="D24" s="466">
        <v>2918.9384895137764</v>
      </c>
      <c r="E24" s="466">
        <v>0.17681574044408876</v>
      </c>
      <c r="F24" s="466">
        <v>52.691090652338453</v>
      </c>
      <c r="G24" s="466">
        <f t="shared" si="0"/>
        <v>2971.6295801661149</v>
      </c>
    </row>
    <row r="25" spans="2:7">
      <c r="B25" s="474">
        <v>2027</v>
      </c>
      <c r="C25" s="258">
        <v>142.68844162727925</v>
      </c>
      <c r="D25" s="466">
        <v>2996.4572741728643</v>
      </c>
      <c r="E25" s="466">
        <v>0.18187351759345843</v>
      </c>
      <c r="F25" s="466">
        <v>54.198308242850615</v>
      </c>
      <c r="G25" s="466">
        <f t="shared" si="0"/>
        <v>3050.6555824157149</v>
      </c>
    </row>
    <row r="26" spans="2:7">
      <c r="B26" s="474">
        <v>2028</v>
      </c>
      <c r="C26" s="258">
        <v>146.37981236958697</v>
      </c>
      <c r="D26" s="466">
        <v>3073.9760597613263</v>
      </c>
      <c r="E26" s="466">
        <v>0.18693129505505018</v>
      </c>
      <c r="F26" s="466">
        <v>55.705525926404952</v>
      </c>
      <c r="G26" s="466">
        <f t="shared" si="0"/>
        <v>3129.6815856877311</v>
      </c>
    </row>
    <row r="27" spans="2:7">
      <c r="B27" s="474">
        <v>2029</v>
      </c>
      <c r="C27" s="258">
        <v>150.07118315613801</v>
      </c>
      <c r="D27" s="466">
        <v>3151.494846278898</v>
      </c>
      <c r="E27" s="466">
        <v>0.19198907282877531</v>
      </c>
      <c r="F27" s="466">
        <v>57.21274370297504</v>
      </c>
      <c r="G27" s="466">
        <f t="shared" si="0"/>
        <v>3208.7075899818728</v>
      </c>
    </row>
    <row r="28" spans="2:7">
      <c r="B28" s="474">
        <v>2030</v>
      </c>
      <c r="C28" s="258">
        <v>153.76255398691981</v>
      </c>
      <c r="D28" s="466">
        <v>3229.0136337253161</v>
      </c>
      <c r="E28" s="466">
        <v>0.19704685091454543</v>
      </c>
      <c r="F28" s="466">
        <v>58.719961572534537</v>
      </c>
      <c r="G28" s="466">
        <f t="shared" si="0"/>
        <v>3287.7335952978506</v>
      </c>
    </row>
  </sheetData>
  <mergeCells count="3">
    <mergeCell ref="C2:D2"/>
    <mergeCell ref="E2:F2"/>
    <mergeCell ref="B2:B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B1:Z51"/>
  <sheetViews>
    <sheetView topLeftCell="A43" zoomScale="70" zoomScaleNormal="70" workbookViewId="0">
      <selection activeCell="G46" sqref="G46"/>
    </sheetView>
  </sheetViews>
  <sheetFormatPr defaultRowHeight="15"/>
  <cols>
    <col min="1" max="1" width="0.5703125" style="29" customWidth="1"/>
    <col min="2" max="2" width="26.28515625" style="29" customWidth="1"/>
    <col min="3" max="3" width="9.85546875" style="29" customWidth="1"/>
    <col min="4" max="4" width="11.7109375" style="29" customWidth="1"/>
    <col min="5" max="5" width="14.7109375" style="29" customWidth="1"/>
    <col min="6" max="6" width="16.28515625" style="29" customWidth="1"/>
    <col min="7" max="7" width="17.28515625" style="29" customWidth="1"/>
    <col min="8" max="8" width="14.28515625" style="29" customWidth="1"/>
    <col min="9" max="9" width="15.140625" style="29" customWidth="1"/>
    <col min="10" max="10" width="2.42578125" style="29" customWidth="1"/>
    <col min="11" max="11" width="4.140625" style="29"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29"/>
    <col min="25" max="25" width="15.7109375" customWidth="1"/>
    <col min="27" max="16384" width="9.140625" style="29"/>
  </cols>
  <sheetData>
    <row r="1" spans="2:19" ht="15.75">
      <c r="B1" s="103" t="s">
        <v>149</v>
      </c>
    </row>
    <row r="2" spans="2:19" ht="18.75">
      <c r="B2" s="103" t="s">
        <v>150</v>
      </c>
      <c r="K2" s="122" t="s">
        <v>206</v>
      </c>
      <c r="P2" s="122" t="s">
        <v>207</v>
      </c>
    </row>
    <row r="3" spans="2:19" ht="49.5" customHeight="1" thickBot="1">
      <c r="B3" s="104" t="s">
        <v>1</v>
      </c>
      <c r="C3" s="522" t="s">
        <v>182</v>
      </c>
      <c r="D3" s="523"/>
      <c r="E3" s="523"/>
      <c r="F3" s="106" t="s">
        <v>326</v>
      </c>
      <c r="G3" s="105" t="s">
        <v>183</v>
      </c>
      <c r="H3" s="105" t="s">
        <v>184</v>
      </c>
      <c r="I3" s="105" t="s">
        <v>309</v>
      </c>
      <c r="K3" s="123" t="s">
        <v>208</v>
      </c>
      <c r="L3" s="123" t="s">
        <v>209</v>
      </c>
      <c r="M3" s="124" t="s">
        <v>210</v>
      </c>
      <c r="N3" s="123" t="s">
        <v>211</v>
      </c>
      <c r="P3" s="123" t="s">
        <v>208</v>
      </c>
      <c r="Q3" s="123" t="s">
        <v>209</v>
      </c>
      <c r="R3" s="124" t="s">
        <v>210</v>
      </c>
      <c r="S3" s="123" t="s">
        <v>211</v>
      </c>
    </row>
    <row r="4" spans="2:19" ht="18.75" customHeight="1" thickTop="1">
      <c r="B4" s="107" t="s">
        <v>171</v>
      </c>
      <c r="C4" s="524" t="s">
        <v>175</v>
      </c>
      <c r="D4" s="525"/>
      <c r="E4" s="525"/>
      <c r="F4" s="108">
        <v>0</v>
      </c>
      <c r="G4" s="109"/>
      <c r="H4" s="109"/>
      <c r="I4" s="109"/>
      <c r="K4" s="125">
        <v>1</v>
      </c>
      <c r="L4" s="125" t="s">
        <v>212</v>
      </c>
      <c r="M4" s="126">
        <v>496.87</v>
      </c>
      <c r="N4" s="127">
        <f>M4/M10</f>
        <v>2.4562114425617327</v>
      </c>
      <c r="P4" s="125">
        <v>1</v>
      </c>
      <c r="Q4" s="125" t="s">
        <v>213</v>
      </c>
      <c r="R4" s="128">
        <v>584.79999999999995</v>
      </c>
      <c r="S4" s="127">
        <f>R4/R6</f>
        <v>2.4863945578231292</v>
      </c>
    </row>
    <row r="5" spans="2:19">
      <c r="B5" s="529" t="s">
        <v>172</v>
      </c>
      <c r="C5" s="530" t="s">
        <v>39</v>
      </c>
      <c r="D5" s="532" t="s">
        <v>176</v>
      </c>
      <c r="E5" s="533"/>
      <c r="F5" s="110" t="s">
        <v>151</v>
      </c>
      <c r="G5" s="111" t="s">
        <v>152</v>
      </c>
      <c r="H5" s="112"/>
      <c r="I5" s="112"/>
      <c r="K5" s="125">
        <v>2</v>
      </c>
      <c r="L5" s="125" t="s">
        <v>214</v>
      </c>
      <c r="M5" s="126">
        <v>365.86</v>
      </c>
      <c r="N5" s="127">
        <f>M5/M10</f>
        <v>1.8085807522604214</v>
      </c>
      <c r="P5" s="125">
        <v>2</v>
      </c>
      <c r="Q5" s="125" t="s">
        <v>215</v>
      </c>
      <c r="R5" s="126">
        <v>517.81658811578177</v>
      </c>
      <c r="S5" s="127">
        <f>R5/R6</f>
        <v>2.201601139948052</v>
      </c>
    </row>
    <row r="6" spans="2:19" ht="17.25" customHeight="1">
      <c r="B6" s="529"/>
      <c r="C6" s="531"/>
      <c r="D6" s="530" t="s">
        <v>177</v>
      </c>
      <c r="E6" s="176" t="s">
        <v>153</v>
      </c>
      <c r="F6" s="113" t="s">
        <v>154</v>
      </c>
      <c r="G6" s="536">
        <v>0.46</v>
      </c>
      <c r="H6" s="112"/>
      <c r="I6" s="526" t="s">
        <v>199</v>
      </c>
      <c r="K6" s="125">
        <v>3</v>
      </c>
      <c r="L6" s="125" t="s">
        <v>216</v>
      </c>
      <c r="M6" s="126">
        <v>273.60000000000002</v>
      </c>
      <c r="N6" s="127">
        <f>M6/M10</f>
        <v>1.3525055863402704</v>
      </c>
      <c r="P6" s="129">
        <v>3</v>
      </c>
      <c r="Q6" s="129" t="s">
        <v>217</v>
      </c>
      <c r="R6" s="130">
        <v>235.2</v>
      </c>
      <c r="S6" s="131">
        <v>1</v>
      </c>
    </row>
    <row r="7" spans="2:19" ht="16.5" customHeight="1">
      <c r="B7" s="529"/>
      <c r="C7" s="531"/>
      <c r="D7" s="531"/>
      <c r="E7" s="114" t="s">
        <v>155</v>
      </c>
      <c r="F7" s="113" t="s">
        <v>156</v>
      </c>
      <c r="G7" s="527"/>
      <c r="H7" s="112"/>
      <c r="I7" s="527"/>
      <c r="K7" s="125">
        <v>4</v>
      </c>
      <c r="L7" s="125" t="s">
        <v>218</v>
      </c>
      <c r="M7" s="126">
        <v>244.16499999999999</v>
      </c>
      <c r="N7" s="127">
        <f>M7/M10</f>
        <v>1.2069975383361553</v>
      </c>
      <c r="P7" s="125">
        <v>4</v>
      </c>
      <c r="Q7" s="125" t="s">
        <v>219</v>
      </c>
      <c r="R7" s="126">
        <v>152.56</v>
      </c>
      <c r="S7" s="127">
        <f>R7/R6</f>
        <v>0.64863945578231297</v>
      </c>
    </row>
    <row r="8" spans="2:19">
      <c r="B8" s="529"/>
      <c r="C8" s="534" t="s">
        <v>40</v>
      </c>
      <c r="D8" s="530" t="s">
        <v>178</v>
      </c>
      <c r="E8" s="531"/>
      <c r="F8" s="113" t="s">
        <v>157</v>
      </c>
      <c r="G8" s="526">
        <v>0.49</v>
      </c>
      <c r="H8" s="112"/>
      <c r="I8" s="526" t="s">
        <v>200</v>
      </c>
      <c r="K8" s="125">
        <v>5</v>
      </c>
      <c r="L8" s="125" t="s">
        <v>220</v>
      </c>
      <c r="M8" s="126">
        <v>223.2</v>
      </c>
      <c r="N8" s="127">
        <f>M8/M10</f>
        <v>1.1033598204354835</v>
      </c>
      <c r="P8" s="125">
        <v>5</v>
      </c>
      <c r="Q8" s="125" t="s">
        <v>221</v>
      </c>
      <c r="R8" s="132">
        <v>144.22</v>
      </c>
      <c r="S8" s="127">
        <f>R8/R6</f>
        <v>0.61318027210884352</v>
      </c>
    </row>
    <row r="9" spans="2:19">
      <c r="B9" s="529"/>
      <c r="C9" s="535"/>
      <c r="D9" s="530" t="s">
        <v>179</v>
      </c>
      <c r="E9" s="531"/>
      <c r="F9" s="113" t="s">
        <v>158</v>
      </c>
      <c r="G9" s="528"/>
      <c r="H9" s="112"/>
      <c r="I9" s="528"/>
      <c r="K9" s="125">
        <v>6</v>
      </c>
      <c r="L9" s="125" t="s">
        <v>222</v>
      </c>
      <c r="M9" s="126">
        <v>204.64</v>
      </c>
      <c r="N9" s="127">
        <f>M9/M10</f>
        <v>1.0116109034673717</v>
      </c>
      <c r="P9" s="125">
        <v>6</v>
      </c>
      <c r="Q9" s="125" t="s">
        <v>223</v>
      </c>
      <c r="R9" s="126">
        <v>141.12</v>
      </c>
      <c r="S9" s="127">
        <f>R9/R6</f>
        <v>0.60000000000000009</v>
      </c>
    </row>
    <row r="10" spans="2:19">
      <c r="B10" s="529"/>
      <c r="C10" s="534" t="s">
        <v>174</v>
      </c>
      <c r="D10" s="530" t="s">
        <v>180</v>
      </c>
      <c r="E10" s="531"/>
      <c r="F10" s="113" t="s">
        <v>159</v>
      </c>
      <c r="G10" s="112"/>
      <c r="H10" s="112"/>
      <c r="I10" s="112"/>
      <c r="K10" s="129">
        <v>7</v>
      </c>
      <c r="L10" s="129" t="s">
        <v>224</v>
      </c>
      <c r="M10" s="133">
        <v>202.2912162162163</v>
      </c>
      <c r="N10" s="131">
        <f>M10/M10</f>
        <v>1</v>
      </c>
      <c r="P10" s="125">
        <v>7</v>
      </c>
      <c r="Q10" s="125" t="s">
        <v>225</v>
      </c>
      <c r="R10" s="126">
        <v>140.02000000000001</v>
      </c>
      <c r="S10" s="127">
        <f>R10/R6</f>
        <v>0.59532312925170072</v>
      </c>
    </row>
    <row r="11" spans="2:19">
      <c r="B11" s="529"/>
      <c r="C11" s="534"/>
      <c r="D11" s="530" t="s">
        <v>181</v>
      </c>
      <c r="E11" s="531"/>
      <c r="F11" s="113" t="s">
        <v>160</v>
      </c>
      <c r="G11" s="112"/>
      <c r="H11" s="112"/>
      <c r="I11" s="112"/>
      <c r="K11" s="125">
        <v>8</v>
      </c>
      <c r="L11" s="125" t="s">
        <v>226</v>
      </c>
      <c r="M11" s="126">
        <v>187.2</v>
      </c>
      <c r="N11" s="127">
        <f>M11/M10</f>
        <v>0.92539855907492163</v>
      </c>
      <c r="P11" s="125">
        <v>8</v>
      </c>
      <c r="Q11" s="125" t="s">
        <v>227</v>
      </c>
      <c r="R11" s="126">
        <v>125.66249999999999</v>
      </c>
      <c r="S11" s="127">
        <f>R11/R6</f>
        <v>0.53427933673469385</v>
      </c>
    </row>
    <row r="12" spans="2:19">
      <c r="B12" s="538" t="s">
        <v>173</v>
      </c>
      <c r="C12" s="229" t="s">
        <v>161</v>
      </c>
      <c r="D12" s="537"/>
      <c r="E12" s="537"/>
      <c r="F12" s="51"/>
      <c r="G12" s="112"/>
      <c r="H12" s="115">
        <v>1.1200000000000001</v>
      </c>
      <c r="I12" s="112" t="s">
        <v>186</v>
      </c>
      <c r="K12" s="125">
        <v>9</v>
      </c>
      <c r="L12" s="125" t="s">
        <v>228</v>
      </c>
      <c r="M12" s="126">
        <v>186.655</v>
      </c>
      <c r="N12" s="127">
        <f>M12/M10</f>
        <v>0.92270442331265767</v>
      </c>
    </row>
    <row r="13" spans="2:19">
      <c r="B13" s="538"/>
      <c r="C13" s="229" t="s">
        <v>352</v>
      </c>
      <c r="D13" s="537"/>
      <c r="E13" s="537"/>
      <c r="F13" s="51"/>
      <c r="G13" s="112"/>
      <c r="H13" s="115">
        <v>0.28999999999999998</v>
      </c>
      <c r="I13" s="112" t="s">
        <v>187</v>
      </c>
      <c r="K13" s="125">
        <v>10</v>
      </c>
      <c r="L13" s="125" t="s">
        <v>229</v>
      </c>
      <c r="M13" s="126">
        <v>157.77000000000001</v>
      </c>
      <c r="N13" s="127">
        <f>M13/M10</f>
        <v>0.77991522791266243</v>
      </c>
    </row>
    <row r="14" spans="2:19">
      <c r="B14" s="538"/>
      <c r="C14" s="229" t="s">
        <v>162</v>
      </c>
      <c r="D14" s="537"/>
      <c r="E14" s="537"/>
      <c r="F14" s="51"/>
      <c r="G14" s="112"/>
      <c r="H14" s="115">
        <v>1.02</v>
      </c>
      <c r="I14" s="112" t="s">
        <v>188</v>
      </c>
      <c r="K14" s="125">
        <v>11</v>
      </c>
      <c r="L14" s="125" t="s">
        <v>230</v>
      </c>
      <c r="M14" s="126">
        <v>153.5</v>
      </c>
      <c r="N14" s="127">
        <f>M14/M10</f>
        <v>0.75880704496795126</v>
      </c>
    </row>
    <row r="15" spans="2:19">
      <c r="B15" s="538"/>
      <c r="C15" s="230" t="s">
        <v>163</v>
      </c>
      <c r="D15" s="539"/>
      <c r="E15" s="539"/>
      <c r="F15" s="51"/>
      <c r="G15" s="112"/>
      <c r="H15" s="116">
        <v>1.02</v>
      </c>
      <c r="I15" s="116" t="s">
        <v>189</v>
      </c>
      <c r="K15" s="125">
        <v>12</v>
      </c>
      <c r="L15" s="125" t="s">
        <v>231</v>
      </c>
      <c r="M15" s="126">
        <v>147.54</v>
      </c>
      <c r="N15" s="127">
        <f>M15/M10</f>
        <v>0.72934456947603599</v>
      </c>
    </row>
    <row r="16" spans="2:19">
      <c r="B16" s="538"/>
      <c r="C16" s="230" t="s">
        <v>164</v>
      </c>
      <c r="D16" s="537"/>
      <c r="E16" s="537"/>
      <c r="F16" s="51"/>
      <c r="G16" s="112"/>
      <c r="H16" s="116">
        <v>0.84</v>
      </c>
      <c r="I16" s="116" t="s">
        <v>190</v>
      </c>
      <c r="K16" s="125">
        <v>13</v>
      </c>
      <c r="L16" s="125" t="s">
        <v>232</v>
      </c>
      <c r="M16" s="126">
        <v>146.18671875000001</v>
      </c>
      <c r="N16" s="127">
        <f>M16/M10</f>
        <v>0.72265480174754726</v>
      </c>
    </row>
    <row r="17" spans="2:26">
      <c r="B17" s="538"/>
      <c r="C17" s="230" t="s">
        <v>165</v>
      </c>
      <c r="D17" s="537"/>
      <c r="E17" s="537"/>
      <c r="F17" s="51"/>
      <c r="G17" s="51"/>
      <c r="H17" s="112">
        <v>2.39</v>
      </c>
      <c r="I17" s="112" t="s">
        <v>191</v>
      </c>
      <c r="K17" s="125">
        <v>14</v>
      </c>
      <c r="L17" s="125" t="s">
        <v>233</v>
      </c>
      <c r="M17" s="134">
        <v>145.63885714285715</v>
      </c>
      <c r="N17" s="127">
        <f>M17/M10</f>
        <v>0.71994652000704262</v>
      </c>
      <c r="Y17" s="175"/>
      <c r="Z17" s="175"/>
    </row>
    <row r="18" spans="2:26">
      <c r="B18" s="538"/>
      <c r="C18" s="230" t="s">
        <v>166</v>
      </c>
      <c r="D18" s="537"/>
      <c r="E18" s="537"/>
      <c r="F18" s="51"/>
      <c r="G18" s="51"/>
      <c r="H18" s="115" t="s">
        <v>81</v>
      </c>
      <c r="I18" s="115" t="s">
        <v>81</v>
      </c>
      <c r="K18" s="125">
        <v>15</v>
      </c>
      <c r="L18" s="125" t="s">
        <v>234</v>
      </c>
      <c r="M18" s="126">
        <v>145.53861111111109</v>
      </c>
      <c r="N18" s="127">
        <f>M18/M10</f>
        <v>0.71945096694437816</v>
      </c>
      <c r="Y18" s="175"/>
      <c r="Z18" s="175"/>
    </row>
    <row r="19" spans="2:26">
      <c r="B19" s="538"/>
      <c r="C19" s="230" t="s">
        <v>167</v>
      </c>
      <c r="D19" s="537"/>
      <c r="E19" s="537"/>
      <c r="F19" s="51"/>
      <c r="G19" s="51"/>
      <c r="H19" s="112" t="s">
        <v>168</v>
      </c>
      <c r="I19" s="112" t="s">
        <v>168</v>
      </c>
      <c r="K19" s="125">
        <v>16</v>
      </c>
      <c r="L19" s="125" t="s">
        <v>235</v>
      </c>
      <c r="M19" s="126">
        <v>127</v>
      </c>
      <c r="N19" s="127">
        <f>M19/M10</f>
        <v>0.62780778313309327</v>
      </c>
      <c r="Y19" s="175"/>
      <c r="Z19" s="175"/>
    </row>
    <row r="20" spans="2:26">
      <c r="B20" s="538"/>
      <c r="C20" s="230" t="s">
        <v>169</v>
      </c>
      <c r="D20" s="537"/>
      <c r="E20" s="537"/>
      <c r="F20" s="51"/>
      <c r="G20" s="51"/>
      <c r="H20" s="115" t="s">
        <v>170</v>
      </c>
      <c r="I20" s="115" t="s">
        <v>170</v>
      </c>
      <c r="K20" s="125">
        <v>17</v>
      </c>
      <c r="L20" s="125" t="s">
        <v>236</v>
      </c>
      <c r="M20" s="126">
        <v>115.55500000000001</v>
      </c>
      <c r="N20" s="127">
        <f>M20/M10</f>
        <v>0.57123093212554799</v>
      </c>
      <c r="Y20" s="175"/>
      <c r="Z20" s="175"/>
    </row>
    <row r="21" spans="2:26">
      <c r="K21" s="125">
        <v>18</v>
      </c>
      <c r="L21" s="125" t="s">
        <v>237</v>
      </c>
      <c r="M21" s="126">
        <v>115.2</v>
      </c>
      <c r="N21" s="127">
        <f>M21/M10</f>
        <v>0.56947603635379795</v>
      </c>
      <c r="Y21" s="175"/>
      <c r="Z21" s="175"/>
    </row>
    <row r="22" spans="2:26" ht="17.25">
      <c r="B22" s="117"/>
      <c r="K22" s="125">
        <v>19</v>
      </c>
      <c r="L22" s="125" t="s">
        <v>238</v>
      </c>
      <c r="M22" s="126">
        <v>114.79275862068967</v>
      </c>
      <c r="N22" s="127">
        <f>M22/M10</f>
        <v>0.56746289219990131</v>
      </c>
      <c r="Y22" s="175"/>
      <c r="Z22" s="175"/>
    </row>
    <row r="23" spans="2:26" ht="15" customHeight="1">
      <c r="K23" s="125">
        <v>20</v>
      </c>
      <c r="L23" s="125" t="s">
        <v>239</v>
      </c>
      <c r="M23" s="126">
        <v>99.233333333333334</v>
      </c>
      <c r="N23" s="127">
        <f>M23/M10</f>
        <v>0.49054692136147471</v>
      </c>
      <c r="Y23" s="175"/>
      <c r="Z23" s="175"/>
    </row>
    <row r="24" spans="2:26" ht="15" customHeight="1">
      <c r="B24" s="118"/>
      <c r="K24" s="125">
        <v>21</v>
      </c>
      <c r="L24" s="125" t="s">
        <v>240</v>
      </c>
      <c r="M24" s="126">
        <v>91.616666666666674</v>
      </c>
      <c r="N24" s="127">
        <f>M24/M10</f>
        <v>0.45289493226805955</v>
      </c>
    </row>
    <row r="25" spans="2:26" ht="15" customHeight="1">
      <c r="B25" s="118"/>
      <c r="K25" s="125">
        <v>22</v>
      </c>
      <c r="L25" s="125" t="s">
        <v>241</v>
      </c>
      <c r="M25" s="126">
        <v>73.849999999999994</v>
      </c>
      <c r="N25" s="127">
        <f t="shared" ref="N25:N40" si="0">M25/M$10</f>
        <v>0.36506775420770815</v>
      </c>
    </row>
    <row r="26" spans="2:26" ht="15" customHeight="1">
      <c r="K26" s="125">
        <v>23</v>
      </c>
      <c r="L26" s="125" t="s">
        <v>242</v>
      </c>
      <c r="M26" s="137">
        <v>254.73860016589424</v>
      </c>
      <c r="N26" s="127">
        <f t="shared" si="0"/>
        <v>1.259266738965177</v>
      </c>
    </row>
    <row r="27" spans="2:26" ht="15" customHeight="1">
      <c r="K27" s="125">
        <v>24</v>
      </c>
      <c r="L27" s="125" t="s">
        <v>243</v>
      </c>
      <c r="M27" s="137">
        <v>234.02811016643966</v>
      </c>
      <c r="N27" s="127">
        <f t="shared" si="0"/>
        <v>1.1568871577513371</v>
      </c>
    </row>
    <row r="28" spans="2:26" ht="15" customHeight="1">
      <c r="K28" s="125">
        <v>25</v>
      </c>
      <c r="L28" s="125" t="s">
        <v>232</v>
      </c>
      <c r="M28" s="137">
        <v>286.09021533633802</v>
      </c>
      <c r="N28" s="127">
        <f t="shared" si="0"/>
        <v>1.4142493217824854</v>
      </c>
      <c r="P28" s="82"/>
    </row>
    <row r="29" spans="2:26" ht="15" customHeight="1">
      <c r="K29" s="125">
        <v>26</v>
      </c>
      <c r="L29" s="125" t="s">
        <v>244</v>
      </c>
      <c r="M29" s="137">
        <v>269</v>
      </c>
      <c r="N29" s="127">
        <f t="shared" si="0"/>
        <v>1.3297660918330874</v>
      </c>
    </row>
    <row r="30" spans="2:26" ht="15" customHeight="1">
      <c r="K30" s="226"/>
      <c r="L30" s="226"/>
      <c r="M30" s="227"/>
      <c r="N30" s="228"/>
    </row>
    <row r="31" spans="2:26" ht="15" customHeight="1">
      <c r="K31" s="125">
        <v>28</v>
      </c>
      <c r="L31" s="125" t="s">
        <v>245</v>
      </c>
      <c r="M31" s="137">
        <v>215.05436144815866</v>
      </c>
      <c r="N31" s="127">
        <f t="shared" si="0"/>
        <v>1.0630929284556807</v>
      </c>
    </row>
    <row r="32" spans="2:26" ht="15" customHeight="1">
      <c r="K32" s="125">
        <v>29</v>
      </c>
      <c r="L32" s="125" t="s">
        <v>246</v>
      </c>
      <c r="M32" s="137">
        <v>196</v>
      </c>
      <c r="N32" s="127">
        <f t="shared" si="0"/>
        <v>0.96890020074083683</v>
      </c>
    </row>
    <row r="33" spans="2:14" ht="15" customHeight="1">
      <c r="K33" s="125">
        <v>30</v>
      </c>
      <c r="L33" s="125" t="s">
        <v>247</v>
      </c>
      <c r="M33" s="137">
        <v>197.3</v>
      </c>
      <c r="N33" s="127">
        <f t="shared" si="0"/>
        <v>0.9753265796233016</v>
      </c>
    </row>
    <row r="34" spans="2:14" ht="15" customHeight="1">
      <c r="K34" s="125">
        <v>31</v>
      </c>
      <c r="L34" s="125" t="s">
        <v>248</v>
      </c>
      <c r="M34" s="137">
        <v>219.3</v>
      </c>
      <c r="N34" s="127">
        <f t="shared" si="0"/>
        <v>1.0840806837880894</v>
      </c>
    </row>
    <row r="35" spans="2:14" ht="15" customHeight="1">
      <c r="B35" s="28" t="s">
        <v>327</v>
      </c>
      <c r="D35" s="118"/>
      <c r="K35" s="125">
        <v>32</v>
      </c>
      <c r="L35" s="125" t="s">
        <v>249</v>
      </c>
      <c r="M35" s="137">
        <v>307.5</v>
      </c>
      <c r="N35" s="127">
        <f t="shared" si="0"/>
        <v>1.5200857741214659</v>
      </c>
    </row>
    <row r="36" spans="2:14" ht="15" customHeight="1">
      <c r="B36" s="541" t="s">
        <v>255</v>
      </c>
      <c r="C36" s="540" t="s">
        <v>256</v>
      </c>
      <c r="D36" s="540"/>
      <c r="E36" s="540" t="s">
        <v>258</v>
      </c>
      <c r="F36" s="540"/>
      <c r="K36" s="125">
        <v>33</v>
      </c>
      <c r="L36" s="125" t="s">
        <v>250</v>
      </c>
      <c r="M36" s="137">
        <v>323.44704032083536</v>
      </c>
      <c r="N36" s="127">
        <f t="shared" si="0"/>
        <v>1.5989178688565659</v>
      </c>
    </row>
    <row r="37" spans="2:14" ht="15" customHeight="1">
      <c r="B37" s="541"/>
      <c r="C37" s="138" t="s">
        <v>257</v>
      </c>
      <c r="D37" s="186" t="s">
        <v>185</v>
      </c>
      <c r="E37" s="140" t="s">
        <v>257</v>
      </c>
      <c r="F37" s="139" t="s">
        <v>185</v>
      </c>
      <c r="K37" s="125">
        <v>34</v>
      </c>
      <c r="L37" s="125" t="s">
        <v>251</v>
      </c>
      <c r="M37" s="137">
        <v>300.52614924226964</v>
      </c>
      <c r="N37" s="127">
        <f t="shared" si="0"/>
        <v>1.4856114608607436</v>
      </c>
    </row>
    <row r="38" spans="2:14" ht="30" customHeight="1">
      <c r="B38" s="141" t="s">
        <v>260</v>
      </c>
      <c r="C38" s="542" t="s">
        <v>262</v>
      </c>
      <c r="D38" s="543">
        <v>1.4</v>
      </c>
      <c r="E38" s="112">
        <v>1</v>
      </c>
      <c r="F38" s="112" t="s">
        <v>263</v>
      </c>
      <c r="K38" s="125">
        <v>35</v>
      </c>
      <c r="L38" s="125" t="s">
        <v>252</v>
      </c>
      <c r="M38" s="137">
        <v>270.79611936186569</v>
      </c>
      <c r="N38" s="127">
        <f t="shared" si="0"/>
        <v>1.3386449714773025</v>
      </c>
    </row>
    <row r="39" spans="2:14" ht="30.75" customHeight="1">
      <c r="B39" s="141" t="s">
        <v>259</v>
      </c>
      <c r="C39" s="542"/>
      <c r="D39" s="543"/>
      <c r="E39" s="112">
        <v>0.68</v>
      </c>
      <c r="F39" s="112" t="s">
        <v>264</v>
      </c>
      <c r="K39" s="125">
        <v>36</v>
      </c>
      <c r="L39" s="125" t="s">
        <v>253</v>
      </c>
      <c r="M39" s="137">
        <v>271.88698926542628</v>
      </c>
      <c r="N39" s="127">
        <f t="shared" si="0"/>
        <v>1.344037543255578</v>
      </c>
    </row>
    <row r="40" spans="2:14" ht="30.75" customHeight="1">
      <c r="B40" s="141" t="s">
        <v>261</v>
      </c>
      <c r="C40" s="542"/>
      <c r="D40" s="543"/>
      <c r="E40" s="112">
        <v>1.9</v>
      </c>
      <c r="F40" s="112" t="s">
        <v>265</v>
      </c>
      <c r="K40" s="125">
        <v>37</v>
      </c>
      <c r="L40" s="125" t="s">
        <v>254</v>
      </c>
      <c r="M40" s="137">
        <v>358.70448021420998</v>
      </c>
      <c r="N40" s="127">
        <f t="shared" si="0"/>
        <v>1.7732083820723754</v>
      </c>
    </row>
    <row r="41" spans="2:14" ht="15" customHeight="1"/>
    <row r="42" spans="2:14" ht="15" customHeight="1">
      <c r="B42" s="28" t="s">
        <v>328</v>
      </c>
    </row>
    <row r="43" spans="2:14" ht="32.25" customHeight="1">
      <c r="B43" s="139" t="s">
        <v>266</v>
      </c>
      <c r="C43" s="186" t="s">
        <v>272</v>
      </c>
      <c r="D43" s="186" t="s">
        <v>185</v>
      </c>
    </row>
    <row r="44" spans="2:14" ht="59.25" customHeight="1">
      <c r="B44" s="142" t="s">
        <v>268</v>
      </c>
      <c r="C44" s="143">
        <v>1</v>
      </c>
      <c r="D44" s="143" t="s">
        <v>273</v>
      </c>
    </row>
    <row r="45" spans="2:14" ht="48" customHeight="1">
      <c r="B45" s="142" t="s">
        <v>267</v>
      </c>
      <c r="C45" s="143">
        <v>2.9000000000000001E-2</v>
      </c>
      <c r="D45" s="143" t="s">
        <v>274</v>
      </c>
    </row>
    <row r="46" spans="2:14" ht="47.25" customHeight="1">
      <c r="B46" s="142" t="s">
        <v>269</v>
      </c>
      <c r="C46" s="143">
        <v>0.05</v>
      </c>
      <c r="D46" s="143" t="s">
        <v>275</v>
      </c>
      <c r="L46" s="135"/>
      <c r="N46" s="136"/>
    </row>
    <row r="47" spans="2:14">
      <c r="B47" s="142" t="s">
        <v>270</v>
      </c>
      <c r="C47" s="143">
        <v>0.14000000000000001</v>
      </c>
      <c r="D47" s="143" t="s">
        <v>276</v>
      </c>
    </row>
    <row r="48" spans="2:14">
      <c r="B48" s="142" t="s">
        <v>271</v>
      </c>
      <c r="C48" s="143">
        <v>0.5</v>
      </c>
      <c r="D48" s="143" t="s">
        <v>277</v>
      </c>
    </row>
    <row r="50" ht="48" customHeight="1"/>
    <row r="51" ht="45.75" customHeight="1"/>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B4:D7"/>
  <sheetViews>
    <sheetView topLeftCell="A7" zoomScale="85" zoomScaleNormal="85" workbookViewId="0">
      <selection activeCell="M28" sqref="M28"/>
    </sheetView>
  </sheetViews>
  <sheetFormatPr defaultRowHeight="15"/>
  <cols>
    <col min="2" max="2" width="22.140625" customWidth="1"/>
    <col min="3" max="3" width="27" customWidth="1"/>
    <col min="4" max="4" width="25.85546875" customWidth="1"/>
  </cols>
  <sheetData>
    <row r="4" spans="2:4">
      <c r="B4" t="s">
        <v>434</v>
      </c>
      <c r="C4" t="s">
        <v>435</v>
      </c>
      <c r="D4" t="s">
        <v>436</v>
      </c>
    </row>
    <row r="6" spans="2:4" ht="60">
      <c r="B6" s="506" t="s">
        <v>437</v>
      </c>
      <c r="C6" s="16" t="s">
        <v>438</v>
      </c>
      <c r="D6" s="16" t="s">
        <v>439</v>
      </c>
    </row>
    <row r="7" spans="2:4" ht="75">
      <c r="B7" s="506"/>
      <c r="C7" s="16" t="s">
        <v>440</v>
      </c>
    </row>
  </sheetData>
  <mergeCells count="1">
    <mergeCell ref="B6:B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B1:AF108"/>
  <sheetViews>
    <sheetView topLeftCell="B59" zoomScale="55" zoomScaleNormal="55" workbookViewId="0">
      <selection activeCell="H77" sqref="H77:H101"/>
    </sheetView>
  </sheetViews>
  <sheetFormatPr defaultRowHeight="15"/>
  <cols>
    <col min="1" max="1" width="2.7109375" customWidth="1"/>
    <col min="2" max="2" width="12.7109375" customWidth="1"/>
    <col min="3" max="3" width="16.28515625" customWidth="1"/>
    <col min="4" max="4" width="17.140625" customWidth="1"/>
    <col min="5" max="5" width="15.85546875" customWidth="1"/>
    <col min="6" max="6" width="16.5703125" customWidth="1"/>
    <col min="7" max="7" width="15.85546875" customWidth="1"/>
    <col min="8" max="8" width="12.7109375" customWidth="1"/>
    <col min="9" max="9" width="12.42578125" customWidth="1"/>
    <col min="10" max="10" width="21.7109375" customWidth="1"/>
    <col min="11" max="11" width="22.7109375" customWidth="1"/>
    <col min="27" max="27" width="14.42578125" customWidth="1"/>
    <col min="28" max="28" width="17.28515625" customWidth="1"/>
    <col min="31" max="31" width="11.42578125" bestFit="1" customWidth="1"/>
    <col min="32" max="32" width="12.7109375" customWidth="1"/>
  </cols>
  <sheetData>
    <row r="1" spans="2:32" ht="15.75">
      <c r="E1" s="421" t="s">
        <v>536</v>
      </c>
    </row>
    <row r="2" spans="2:32">
      <c r="B2" t="s">
        <v>0</v>
      </c>
      <c r="C2" t="s">
        <v>2</v>
      </c>
    </row>
    <row r="3" spans="2:32" ht="21">
      <c r="B3" t="s">
        <v>1</v>
      </c>
      <c r="C3" s="167" t="s">
        <v>468</v>
      </c>
      <c r="Z3" s="280" t="s">
        <v>432</v>
      </c>
    </row>
    <row r="4" spans="2:32" ht="15.75" thickBot="1"/>
    <row r="5" spans="2:32">
      <c r="B5" s="120" t="s">
        <v>3</v>
      </c>
      <c r="C5" s="19" t="s">
        <v>23</v>
      </c>
      <c r="D5" s="545" t="s">
        <v>24</v>
      </c>
      <c r="E5" s="546"/>
      <c r="F5" s="545" t="s">
        <v>25</v>
      </c>
      <c r="G5" s="547"/>
      <c r="H5" s="161"/>
      <c r="I5" s="545" t="s">
        <v>25</v>
      </c>
      <c r="J5" s="546"/>
      <c r="K5" s="78" t="s">
        <v>24</v>
      </c>
      <c r="Z5" t="s">
        <v>427</v>
      </c>
      <c r="AD5" s="63" t="s">
        <v>428</v>
      </c>
      <c r="AE5" s="63"/>
      <c r="AF5" s="63"/>
    </row>
    <row r="6" spans="2:32" s="17" customFormat="1" ht="78.75" customHeight="1">
      <c r="B6" s="548" t="s">
        <v>404</v>
      </c>
      <c r="C6" s="550" t="s">
        <v>192</v>
      </c>
      <c r="D6" s="21" t="s">
        <v>471</v>
      </c>
      <c r="E6" s="22" t="s">
        <v>411</v>
      </c>
      <c r="F6" s="21" t="s">
        <v>26</v>
      </c>
      <c r="G6" s="21" t="s">
        <v>27</v>
      </c>
      <c r="H6" s="21" t="s">
        <v>348</v>
      </c>
      <c r="I6" s="21" t="s">
        <v>350</v>
      </c>
      <c r="J6" s="22" t="s">
        <v>28</v>
      </c>
      <c r="K6" s="18" t="s">
        <v>29</v>
      </c>
      <c r="Z6" s="63"/>
      <c r="AA6" s="63" t="s">
        <v>425</v>
      </c>
      <c r="AB6" s="269" t="s">
        <v>426</v>
      </c>
      <c r="AD6" s="63"/>
      <c r="AE6" s="283" t="s">
        <v>425</v>
      </c>
      <c r="AF6" s="283" t="s">
        <v>426</v>
      </c>
    </row>
    <row r="7" spans="2:32">
      <c r="B7" s="548"/>
      <c r="C7" s="550"/>
      <c r="D7" s="9" t="s">
        <v>30</v>
      </c>
      <c r="E7" s="7"/>
      <c r="F7" s="9" t="s">
        <v>412</v>
      </c>
      <c r="G7" s="9"/>
      <c r="H7" s="7"/>
      <c r="I7" s="9"/>
      <c r="J7" s="7" t="s">
        <v>41</v>
      </c>
      <c r="K7" s="1" t="s">
        <v>530</v>
      </c>
      <c r="Z7" s="63">
        <v>2006</v>
      </c>
      <c r="AA7" s="281">
        <v>750487</v>
      </c>
      <c r="AB7" s="281">
        <v>176295</v>
      </c>
      <c r="AD7" s="63">
        <f>Z7</f>
        <v>2006</v>
      </c>
      <c r="AE7" s="281">
        <f>AA7*2</f>
        <v>1500974</v>
      </c>
      <c r="AF7" s="281">
        <f>AB7</f>
        <v>176295</v>
      </c>
    </row>
    <row r="8" spans="2:32" s="16" customFormat="1" ht="28.5" customHeight="1">
      <c r="B8" s="548"/>
      <c r="C8" s="550"/>
      <c r="D8" s="23"/>
      <c r="E8" s="24"/>
      <c r="F8" s="23"/>
      <c r="G8" s="23"/>
      <c r="H8" s="23"/>
      <c r="I8" s="23"/>
      <c r="J8" s="24" t="s">
        <v>37</v>
      </c>
      <c r="K8" s="25" t="s">
        <v>36</v>
      </c>
      <c r="Z8" s="63">
        <f>+Z7+1</f>
        <v>2007</v>
      </c>
      <c r="AA8" s="281">
        <v>756991</v>
      </c>
      <c r="AB8" s="282">
        <v>177854</v>
      </c>
      <c r="AD8" s="63">
        <f>Z8</f>
        <v>2007</v>
      </c>
      <c r="AE8" s="281">
        <f>AA8*2</f>
        <v>1513982</v>
      </c>
      <c r="AF8" s="281">
        <f>AB8</f>
        <v>177854</v>
      </c>
    </row>
    <row r="9" spans="2:32" ht="15.75" thickBot="1">
      <c r="B9" s="549"/>
      <c r="C9" s="551"/>
      <c r="D9" s="14" t="s">
        <v>31</v>
      </c>
      <c r="E9" s="13" t="s">
        <v>32</v>
      </c>
      <c r="F9" s="14" t="s">
        <v>33</v>
      </c>
      <c r="G9" s="14" t="s">
        <v>34</v>
      </c>
      <c r="H9" s="14" t="s">
        <v>349</v>
      </c>
      <c r="I9" s="14" t="s">
        <v>351</v>
      </c>
      <c r="J9" s="13" t="s">
        <v>38</v>
      </c>
      <c r="K9" s="15" t="s">
        <v>35</v>
      </c>
      <c r="Z9" s="63">
        <f>+Z8+1</f>
        <v>2008</v>
      </c>
      <c r="AA9" s="281">
        <v>762954</v>
      </c>
      <c r="AB9" s="281">
        <v>182950</v>
      </c>
      <c r="AD9" s="63">
        <f>Z9</f>
        <v>2008</v>
      </c>
      <c r="AE9" s="281">
        <f>AA9*2</f>
        <v>1525908</v>
      </c>
      <c r="AF9" s="281">
        <f>AB9</f>
        <v>182950</v>
      </c>
    </row>
    <row r="10" spans="2:32">
      <c r="B10" s="3"/>
      <c r="C10" s="6"/>
      <c r="D10" s="10"/>
      <c r="E10" s="8"/>
      <c r="F10" s="119" t="s">
        <v>193</v>
      </c>
      <c r="G10" s="119" t="s">
        <v>194</v>
      </c>
      <c r="H10" s="10"/>
      <c r="I10" s="10"/>
      <c r="J10" s="8"/>
      <c r="K10" s="2"/>
      <c r="Z10" s="63">
        <f>+Z9+1</f>
        <v>2009</v>
      </c>
      <c r="AA10" s="281">
        <v>759552</v>
      </c>
      <c r="AB10" s="281">
        <v>177874</v>
      </c>
      <c r="AD10" s="63">
        <f>Z10</f>
        <v>2009</v>
      </c>
      <c r="AE10" s="281">
        <f>AA10*2</f>
        <v>1519104</v>
      </c>
      <c r="AF10" s="281">
        <f>AB10</f>
        <v>177874</v>
      </c>
    </row>
    <row r="11" spans="2:32">
      <c r="B11" s="238">
        <v>2006</v>
      </c>
      <c r="C11" s="8"/>
      <c r="D11" s="339">
        <f>data!B58</f>
        <v>750487</v>
      </c>
      <c r="E11" s="270">
        <v>2</v>
      </c>
      <c r="F11" s="271">
        <v>160.9</v>
      </c>
      <c r="G11" s="270">
        <v>1</v>
      </c>
      <c r="H11" s="272">
        <v>0.28999999999999998</v>
      </c>
      <c r="I11" s="273">
        <v>0.56999999999999995</v>
      </c>
      <c r="J11" s="274">
        <v>24.68</v>
      </c>
      <c r="K11" s="274">
        <f>D11*E11*J11*10^-6</f>
        <v>37.044038319999999</v>
      </c>
      <c r="Z11" s="63"/>
      <c r="AA11" s="281"/>
      <c r="AB11" s="281"/>
      <c r="AD11" s="63"/>
      <c r="AE11" s="281"/>
      <c r="AF11" s="281"/>
    </row>
    <row r="12" spans="2:32">
      <c r="B12" s="238">
        <v>2007</v>
      </c>
      <c r="C12" s="8"/>
      <c r="D12" s="339">
        <f>data!B59</f>
        <v>756991</v>
      </c>
      <c r="E12" s="270">
        <v>2</v>
      </c>
      <c r="F12" s="271">
        <v>160.9</v>
      </c>
      <c r="G12" s="270">
        <v>1</v>
      </c>
      <c r="H12" s="272">
        <v>0.28999999999999998</v>
      </c>
      <c r="I12" s="273">
        <v>0.56999999999999995</v>
      </c>
      <c r="J12" s="274">
        <v>24.68</v>
      </c>
      <c r="K12" s="274">
        <f t="shared" ref="K12:K35" si="0">D12*E12*J12*10^-6</f>
        <v>37.365075759999996</v>
      </c>
      <c r="Z12" s="63"/>
      <c r="AA12" s="281"/>
      <c r="AB12" s="281"/>
      <c r="AD12" s="63"/>
      <c r="AE12" s="281"/>
      <c r="AF12" s="281"/>
    </row>
    <row r="13" spans="2:32">
      <c r="B13" s="238">
        <v>2008</v>
      </c>
      <c r="C13" s="8"/>
      <c r="D13" s="339">
        <f>data!B60</f>
        <v>762954</v>
      </c>
      <c r="E13" s="270">
        <v>2</v>
      </c>
      <c r="F13" s="271">
        <v>160.9</v>
      </c>
      <c r="G13" s="270">
        <v>1</v>
      </c>
      <c r="H13" s="272">
        <v>0.28999999999999998</v>
      </c>
      <c r="I13" s="273">
        <v>0.56999999999999995</v>
      </c>
      <c r="J13" s="274">
        <v>24.68</v>
      </c>
      <c r="K13" s="274">
        <f t="shared" si="0"/>
        <v>37.659409439999997</v>
      </c>
      <c r="Z13" s="63"/>
      <c r="AA13" s="281"/>
      <c r="AB13" s="281"/>
      <c r="AD13" s="63"/>
      <c r="AE13" s="281"/>
      <c r="AF13" s="281"/>
    </row>
    <row r="14" spans="2:32">
      <c r="B14" s="238">
        <v>2009</v>
      </c>
      <c r="C14" s="8"/>
      <c r="D14" s="339">
        <f>data!B61</f>
        <v>759552</v>
      </c>
      <c r="E14" s="270">
        <v>2</v>
      </c>
      <c r="F14" s="271">
        <v>160.9</v>
      </c>
      <c r="G14" s="270">
        <v>1</v>
      </c>
      <c r="H14" s="272">
        <v>0.28999999999999998</v>
      </c>
      <c r="I14" s="273">
        <v>0.56999999999999995</v>
      </c>
      <c r="J14" s="274">
        <v>24.68</v>
      </c>
      <c r="K14" s="274">
        <f t="shared" si="0"/>
        <v>37.491486719999997</v>
      </c>
      <c r="Z14" s="63"/>
      <c r="AA14" s="281"/>
      <c r="AB14" s="281"/>
      <c r="AD14" s="63"/>
      <c r="AE14" s="281"/>
      <c r="AF14" s="281"/>
    </row>
    <row r="15" spans="2:32">
      <c r="B15" s="238">
        <v>2010</v>
      </c>
      <c r="C15" s="8"/>
      <c r="D15" s="339">
        <f>data!B62</f>
        <v>755956</v>
      </c>
      <c r="E15" s="270">
        <v>2</v>
      </c>
      <c r="F15" s="271">
        <v>160.9</v>
      </c>
      <c r="G15" s="270">
        <v>1</v>
      </c>
      <c r="H15" s="272">
        <v>0.28999999999999998</v>
      </c>
      <c r="I15" s="273">
        <v>0.56999999999999995</v>
      </c>
      <c r="J15" s="274">
        <v>24.68</v>
      </c>
      <c r="K15" s="274">
        <f t="shared" si="0"/>
        <v>37.313988159999994</v>
      </c>
      <c r="Z15" s="63"/>
      <c r="AA15" s="281"/>
      <c r="AB15" s="281"/>
      <c r="AD15" s="63"/>
      <c r="AE15" s="281"/>
      <c r="AF15" s="281"/>
    </row>
    <row r="16" spans="2:32">
      <c r="B16" s="238">
        <v>2011</v>
      </c>
      <c r="C16" s="8"/>
      <c r="D16" s="339">
        <f>data!B63</f>
        <v>757323.25</v>
      </c>
      <c r="E16" s="270">
        <v>2</v>
      </c>
      <c r="F16" s="271">
        <v>160.9</v>
      </c>
      <c r="G16" s="270">
        <v>1</v>
      </c>
      <c r="H16" s="272">
        <v>0.28999999999999998</v>
      </c>
      <c r="I16" s="273">
        <v>0.56999999999999995</v>
      </c>
      <c r="J16" s="274">
        <v>24.68</v>
      </c>
      <c r="K16" s="274">
        <f t="shared" si="0"/>
        <v>37.381475619999996</v>
      </c>
      <c r="Z16" s="63"/>
      <c r="AA16" s="281"/>
      <c r="AB16" s="281"/>
      <c r="AD16" s="63"/>
      <c r="AE16" s="281"/>
      <c r="AF16" s="281"/>
    </row>
    <row r="17" spans="2:32">
      <c r="B17" s="238">
        <v>2012</v>
      </c>
      <c r="C17" s="8"/>
      <c r="D17" s="339">
        <f>data!B64</f>
        <v>758690.5</v>
      </c>
      <c r="E17" s="270">
        <v>2</v>
      </c>
      <c r="F17" s="271">
        <v>160.9</v>
      </c>
      <c r="G17" s="270">
        <v>1</v>
      </c>
      <c r="H17" s="272">
        <v>0.28999999999999998</v>
      </c>
      <c r="I17" s="273">
        <v>0.56999999999999995</v>
      </c>
      <c r="J17" s="274">
        <v>24.68</v>
      </c>
      <c r="K17" s="274">
        <f t="shared" si="0"/>
        <v>37.448963079999999</v>
      </c>
      <c r="Z17" s="63"/>
      <c r="AA17" s="281"/>
      <c r="AB17" s="281"/>
      <c r="AD17" s="63"/>
      <c r="AE17" s="281"/>
      <c r="AF17" s="281"/>
    </row>
    <row r="18" spans="2:32">
      <c r="B18" s="238">
        <v>2013</v>
      </c>
      <c r="C18" s="8"/>
      <c r="D18" s="339">
        <f>data!B65</f>
        <v>760057.75</v>
      </c>
      <c r="E18" s="270">
        <v>2</v>
      </c>
      <c r="F18" s="271">
        <v>160.9</v>
      </c>
      <c r="G18" s="270">
        <v>1</v>
      </c>
      <c r="H18" s="272">
        <v>0.28999999999999998</v>
      </c>
      <c r="I18" s="273">
        <v>0.56999999999999995</v>
      </c>
      <c r="J18" s="274">
        <v>24.68</v>
      </c>
      <c r="K18" s="274">
        <f t="shared" si="0"/>
        <v>37.516450539999994</v>
      </c>
      <c r="Z18" s="63"/>
      <c r="AA18" s="281"/>
      <c r="AB18" s="281"/>
      <c r="AD18" s="63"/>
      <c r="AE18" s="281"/>
      <c r="AF18" s="281"/>
    </row>
    <row r="19" spans="2:32">
      <c r="B19" s="238">
        <v>2014</v>
      </c>
      <c r="C19" s="8"/>
      <c r="D19" s="339">
        <f>data!B66</f>
        <v>761425</v>
      </c>
      <c r="E19" s="270">
        <v>2</v>
      </c>
      <c r="F19" s="271">
        <v>160.9</v>
      </c>
      <c r="G19" s="270">
        <v>1</v>
      </c>
      <c r="H19" s="272">
        <v>0.28999999999999998</v>
      </c>
      <c r="I19" s="273">
        <v>0.56999999999999995</v>
      </c>
      <c r="J19" s="274">
        <v>24.68</v>
      </c>
      <c r="K19" s="274">
        <f t="shared" si="0"/>
        <v>37.583937999999996</v>
      </c>
      <c r="Z19" s="63"/>
      <c r="AA19" s="281"/>
      <c r="AB19" s="281"/>
      <c r="AD19" s="63"/>
      <c r="AE19" s="281"/>
      <c r="AF19" s="281"/>
    </row>
    <row r="20" spans="2:32">
      <c r="B20" s="238">
        <v>2015</v>
      </c>
      <c r="C20" s="8"/>
      <c r="D20" s="339">
        <f>data!B67</f>
        <v>762792.25</v>
      </c>
      <c r="E20" s="270">
        <v>2</v>
      </c>
      <c r="F20" s="271">
        <v>160.9</v>
      </c>
      <c r="G20" s="270">
        <v>1</v>
      </c>
      <c r="H20" s="272">
        <v>0.28999999999999998</v>
      </c>
      <c r="I20" s="273">
        <v>0.56999999999999995</v>
      </c>
      <c r="J20" s="274">
        <v>24.68</v>
      </c>
      <c r="K20" s="274">
        <f t="shared" si="0"/>
        <v>37.651425459999999</v>
      </c>
      <c r="Z20" s="63"/>
      <c r="AA20" s="281"/>
      <c r="AB20" s="281"/>
      <c r="AD20" s="63"/>
      <c r="AE20" s="281"/>
      <c r="AF20" s="281"/>
    </row>
    <row r="21" spans="2:32">
      <c r="B21" s="238">
        <v>2016</v>
      </c>
      <c r="C21" s="8"/>
      <c r="D21" s="339">
        <f>data!B68</f>
        <v>764159.5</v>
      </c>
      <c r="E21" s="270">
        <v>2</v>
      </c>
      <c r="F21" s="271">
        <v>160.9</v>
      </c>
      <c r="G21" s="270">
        <v>1</v>
      </c>
      <c r="H21" s="272">
        <v>0.28999999999999998</v>
      </c>
      <c r="I21" s="273">
        <v>0.56999999999999995</v>
      </c>
      <c r="J21" s="274">
        <v>24.68</v>
      </c>
      <c r="K21" s="274">
        <f t="shared" si="0"/>
        <v>37.718912920000001</v>
      </c>
      <c r="Z21" s="63"/>
      <c r="AA21" s="281"/>
      <c r="AB21" s="281"/>
      <c r="AD21" s="63"/>
      <c r="AE21" s="281"/>
      <c r="AF21" s="281"/>
    </row>
    <row r="22" spans="2:32">
      <c r="B22" s="238">
        <v>2017</v>
      </c>
      <c r="C22" s="8"/>
      <c r="D22" s="339">
        <f>data!B69</f>
        <v>765526.75</v>
      </c>
      <c r="E22" s="270">
        <v>2</v>
      </c>
      <c r="F22" s="271">
        <v>160.9</v>
      </c>
      <c r="G22" s="270">
        <v>1</v>
      </c>
      <c r="H22" s="272">
        <v>0.28999999999999998</v>
      </c>
      <c r="I22" s="273">
        <v>0.56999999999999995</v>
      </c>
      <c r="J22" s="274">
        <v>24.68</v>
      </c>
      <c r="K22" s="274">
        <f t="shared" si="0"/>
        <v>37.786400380000003</v>
      </c>
      <c r="Z22" s="63"/>
      <c r="AA22" s="281"/>
      <c r="AB22" s="281"/>
      <c r="AD22" s="63"/>
      <c r="AE22" s="281"/>
      <c r="AF22" s="281"/>
    </row>
    <row r="23" spans="2:32">
      <c r="B23" s="238">
        <v>2018</v>
      </c>
      <c r="C23" s="8"/>
      <c r="D23" s="339">
        <f>data!B70</f>
        <v>766894</v>
      </c>
      <c r="E23" s="270">
        <v>2</v>
      </c>
      <c r="F23" s="271">
        <v>160.9</v>
      </c>
      <c r="G23" s="270">
        <v>1</v>
      </c>
      <c r="H23" s="272">
        <v>0.28999999999999998</v>
      </c>
      <c r="I23" s="273">
        <v>0.56999999999999995</v>
      </c>
      <c r="J23" s="274">
        <v>24.68</v>
      </c>
      <c r="K23" s="274">
        <f t="shared" si="0"/>
        <v>37.853887839999992</v>
      </c>
      <c r="Z23" s="63"/>
      <c r="AA23" s="281"/>
      <c r="AB23" s="281"/>
      <c r="AD23" s="63"/>
      <c r="AE23" s="281"/>
      <c r="AF23" s="281"/>
    </row>
    <row r="24" spans="2:32">
      <c r="B24" s="238">
        <v>2019</v>
      </c>
      <c r="C24" s="8"/>
      <c r="D24" s="339">
        <f>data!B71</f>
        <v>768261.25</v>
      </c>
      <c r="E24" s="270">
        <v>2</v>
      </c>
      <c r="F24" s="271">
        <v>160.9</v>
      </c>
      <c r="G24" s="270">
        <v>1</v>
      </c>
      <c r="H24" s="272">
        <v>0.28999999999999998</v>
      </c>
      <c r="I24" s="273">
        <v>0.56999999999999995</v>
      </c>
      <c r="J24" s="274">
        <v>24.68</v>
      </c>
      <c r="K24" s="274">
        <f t="shared" si="0"/>
        <v>37.921375299999994</v>
      </c>
      <c r="Z24" s="63"/>
      <c r="AA24" s="281"/>
      <c r="AB24" s="281"/>
      <c r="AD24" s="63"/>
      <c r="AE24" s="281"/>
      <c r="AF24" s="281"/>
    </row>
    <row r="25" spans="2:32">
      <c r="B25" s="238">
        <v>2020</v>
      </c>
      <c r="C25" s="8"/>
      <c r="D25" s="339">
        <f>data!B72</f>
        <v>769628.5</v>
      </c>
      <c r="E25" s="270">
        <v>2</v>
      </c>
      <c r="F25" s="271">
        <v>160.9</v>
      </c>
      <c r="G25" s="270">
        <v>1</v>
      </c>
      <c r="H25" s="272">
        <v>0.28999999999999998</v>
      </c>
      <c r="I25" s="273">
        <v>0.56999999999999995</v>
      </c>
      <c r="J25" s="274">
        <v>24.68</v>
      </c>
      <c r="K25" s="274">
        <f>D25*E25*J25*10^-6</f>
        <v>37.988862759999996</v>
      </c>
      <c r="Z25" s="63"/>
      <c r="AA25" s="281"/>
      <c r="AB25" s="281"/>
      <c r="AD25" s="63"/>
      <c r="AE25" s="281"/>
      <c r="AF25" s="281"/>
    </row>
    <row r="26" spans="2:32">
      <c r="B26" s="238">
        <v>2021</v>
      </c>
      <c r="C26" s="8"/>
      <c r="D26" s="339">
        <f>data!B73</f>
        <v>770995.75</v>
      </c>
      <c r="E26" s="270">
        <v>2</v>
      </c>
      <c r="F26" s="271">
        <v>160.9</v>
      </c>
      <c r="G26" s="270">
        <v>1</v>
      </c>
      <c r="H26" s="272">
        <v>0.28999999999999998</v>
      </c>
      <c r="I26" s="273">
        <v>0.56999999999999995</v>
      </c>
      <c r="J26" s="274">
        <v>24.68</v>
      </c>
      <c r="K26" s="274">
        <f t="shared" si="0"/>
        <v>38.056350219999999</v>
      </c>
      <c r="Z26" s="63"/>
      <c r="AA26" s="281"/>
      <c r="AB26" s="281"/>
      <c r="AD26" s="63"/>
      <c r="AE26" s="281"/>
      <c r="AF26" s="281"/>
    </row>
    <row r="27" spans="2:32">
      <c r="B27" s="238">
        <v>2022</v>
      </c>
      <c r="C27" s="8"/>
      <c r="D27" s="339">
        <f>data!B74</f>
        <v>772363</v>
      </c>
      <c r="E27" s="270">
        <v>2</v>
      </c>
      <c r="F27" s="271">
        <v>160.9</v>
      </c>
      <c r="G27" s="270">
        <v>1</v>
      </c>
      <c r="H27" s="272">
        <v>0.28999999999999998</v>
      </c>
      <c r="I27" s="273">
        <v>0.56999999999999995</v>
      </c>
      <c r="J27" s="274">
        <v>24.68</v>
      </c>
      <c r="K27" s="274">
        <f t="shared" si="0"/>
        <v>38.123837680000001</v>
      </c>
      <c r="Z27" s="63"/>
      <c r="AA27" s="281"/>
      <c r="AB27" s="281"/>
      <c r="AD27" s="63"/>
      <c r="AE27" s="281"/>
      <c r="AF27" s="281"/>
    </row>
    <row r="28" spans="2:32">
      <c r="B28" s="238">
        <v>2023</v>
      </c>
      <c r="C28" s="8"/>
      <c r="D28" s="339">
        <f>data!B75</f>
        <v>773730.25</v>
      </c>
      <c r="E28" s="270">
        <v>2</v>
      </c>
      <c r="F28" s="271">
        <v>160.9</v>
      </c>
      <c r="G28" s="270">
        <v>1</v>
      </c>
      <c r="H28" s="272">
        <v>0.28999999999999998</v>
      </c>
      <c r="I28" s="273">
        <v>0.56999999999999995</v>
      </c>
      <c r="J28" s="274">
        <v>24.68</v>
      </c>
      <c r="K28" s="274">
        <f t="shared" si="0"/>
        <v>38.191325139999996</v>
      </c>
      <c r="Z28" s="63"/>
      <c r="AA28" s="281"/>
      <c r="AB28" s="281"/>
      <c r="AD28" s="63"/>
      <c r="AE28" s="281"/>
      <c r="AF28" s="281"/>
    </row>
    <row r="29" spans="2:32">
      <c r="B29" s="238">
        <v>2024</v>
      </c>
      <c r="C29" s="8"/>
      <c r="D29" s="339">
        <f>data!B76</f>
        <v>775097.5</v>
      </c>
      <c r="E29" s="270">
        <v>2</v>
      </c>
      <c r="F29" s="271">
        <v>160.9</v>
      </c>
      <c r="G29" s="270">
        <v>1</v>
      </c>
      <c r="H29" s="272">
        <v>0.28999999999999998</v>
      </c>
      <c r="I29" s="273">
        <v>0.56999999999999995</v>
      </c>
      <c r="J29" s="274">
        <v>24.68</v>
      </c>
      <c r="K29" s="274">
        <f t="shared" si="0"/>
        <v>38.258812599999999</v>
      </c>
      <c r="Z29" s="63"/>
      <c r="AA29" s="281"/>
      <c r="AB29" s="281"/>
      <c r="AD29" s="63"/>
      <c r="AE29" s="281"/>
      <c r="AF29" s="281"/>
    </row>
    <row r="30" spans="2:32">
      <c r="B30" s="238">
        <v>2025</v>
      </c>
      <c r="C30" s="8"/>
      <c r="D30" s="339">
        <f>data!B77</f>
        <v>776464.75</v>
      </c>
      <c r="E30" s="270">
        <v>2</v>
      </c>
      <c r="F30" s="271">
        <v>160.9</v>
      </c>
      <c r="G30" s="270">
        <v>1</v>
      </c>
      <c r="H30" s="272">
        <v>0.28999999999999998</v>
      </c>
      <c r="I30" s="273">
        <v>0.56999999999999995</v>
      </c>
      <c r="J30" s="274">
        <v>24.68</v>
      </c>
      <c r="K30" s="274">
        <f t="shared" si="0"/>
        <v>38.326300060000001</v>
      </c>
      <c r="Z30" s="63"/>
      <c r="AA30" s="281"/>
      <c r="AB30" s="281"/>
      <c r="AD30" s="63"/>
      <c r="AE30" s="281"/>
      <c r="AF30" s="281"/>
    </row>
    <row r="31" spans="2:32">
      <c r="B31" s="238">
        <v>2026</v>
      </c>
      <c r="C31" s="8"/>
      <c r="D31" s="339">
        <f>data!B78</f>
        <v>777832</v>
      </c>
      <c r="E31" s="270">
        <v>2</v>
      </c>
      <c r="F31" s="271">
        <v>160.9</v>
      </c>
      <c r="G31" s="270">
        <v>1</v>
      </c>
      <c r="H31" s="272">
        <v>0.28999999999999998</v>
      </c>
      <c r="I31" s="273">
        <v>0.56999999999999995</v>
      </c>
      <c r="J31" s="274">
        <v>24.68</v>
      </c>
      <c r="K31" s="274">
        <f t="shared" si="0"/>
        <v>38.393787520000004</v>
      </c>
      <c r="Z31" s="63"/>
      <c r="AA31" s="281"/>
      <c r="AB31" s="281"/>
      <c r="AD31" s="63"/>
      <c r="AE31" s="281"/>
      <c r="AF31" s="281"/>
    </row>
    <row r="32" spans="2:32">
      <c r="B32" s="238">
        <v>2027</v>
      </c>
      <c r="C32" s="418"/>
      <c r="D32" s="339">
        <f>data!B79</f>
        <v>779199.25</v>
      </c>
      <c r="E32" s="270">
        <v>2</v>
      </c>
      <c r="F32" s="271">
        <v>160.9</v>
      </c>
      <c r="G32" s="270">
        <v>1</v>
      </c>
      <c r="H32" s="272">
        <v>0.28999999999999998</v>
      </c>
      <c r="I32" s="273">
        <v>0.56999999999999995</v>
      </c>
      <c r="J32" s="274">
        <v>24.68</v>
      </c>
      <c r="K32" s="274">
        <f t="shared" si="0"/>
        <v>38.461274979999992</v>
      </c>
      <c r="Z32" s="63"/>
      <c r="AA32" s="281"/>
      <c r="AB32" s="281"/>
      <c r="AD32" s="63"/>
      <c r="AE32" s="281"/>
      <c r="AF32" s="281"/>
    </row>
    <row r="33" spans="2:32">
      <c r="B33" s="238">
        <v>2028</v>
      </c>
      <c r="C33" s="373"/>
      <c r="D33" s="339">
        <f>data!B80</f>
        <v>780566.5</v>
      </c>
      <c r="E33" s="270">
        <v>2</v>
      </c>
      <c r="F33" s="271">
        <v>160.9</v>
      </c>
      <c r="G33" s="270">
        <v>1</v>
      </c>
      <c r="H33" s="272">
        <v>0.28999999999999998</v>
      </c>
      <c r="I33" s="273">
        <v>0.56999999999999995</v>
      </c>
      <c r="J33" s="274">
        <v>24.68</v>
      </c>
      <c r="K33" s="274">
        <f t="shared" si="0"/>
        <v>38.528762439999994</v>
      </c>
      <c r="Z33" s="63">
        <f>+Z10+1</f>
        <v>2010</v>
      </c>
      <c r="AA33" s="281">
        <v>755956</v>
      </c>
      <c r="AB33" s="281">
        <v>174312</v>
      </c>
      <c r="AD33" s="63">
        <f>Z33</f>
        <v>2010</v>
      </c>
      <c r="AE33" s="281">
        <f>AA33*2</f>
        <v>1511912</v>
      </c>
      <c r="AF33" s="281">
        <f>AB33</f>
        <v>174312</v>
      </c>
    </row>
    <row r="34" spans="2:32">
      <c r="B34" s="238">
        <v>2029</v>
      </c>
      <c r="C34" s="373"/>
      <c r="D34" s="339">
        <f>data!B81</f>
        <v>781933.75</v>
      </c>
      <c r="E34" s="270">
        <v>2</v>
      </c>
      <c r="F34" s="271">
        <v>160.9</v>
      </c>
      <c r="G34" s="270">
        <v>1</v>
      </c>
      <c r="H34" s="272">
        <v>0.28999999999999998</v>
      </c>
      <c r="I34" s="273">
        <v>0.56999999999999995</v>
      </c>
      <c r="J34" s="274">
        <v>24.68</v>
      </c>
      <c r="K34" s="274">
        <f t="shared" si="0"/>
        <v>38.596249899999997</v>
      </c>
      <c r="Z34" s="63">
        <f>+Z33+1</f>
        <v>2011</v>
      </c>
      <c r="AA34" s="281">
        <v>761237.7</v>
      </c>
      <c r="AB34" s="281">
        <v>176673.2</v>
      </c>
      <c r="AD34" s="63">
        <f>Z34</f>
        <v>2011</v>
      </c>
      <c r="AE34" s="281">
        <f>AA34*2</f>
        <v>1522475.4</v>
      </c>
      <c r="AF34" s="281">
        <f>AB34</f>
        <v>176673.2</v>
      </c>
    </row>
    <row r="35" spans="2:32">
      <c r="B35" s="238">
        <v>2030</v>
      </c>
      <c r="C35" s="373"/>
      <c r="D35" s="339">
        <f>data!B82</f>
        <v>783301</v>
      </c>
      <c r="E35" s="270">
        <v>2</v>
      </c>
      <c r="F35" s="271">
        <v>160.9</v>
      </c>
      <c r="G35" s="270">
        <v>1</v>
      </c>
      <c r="H35" s="272">
        <v>0.28999999999999998</v>
      </c>
      <c r="I35" s="273">
        <v>0.56999999999999995</v>
      </c>
      <c r="J35" s="274">
        <v>24.68</v>
      </c>
      <c r="K35" s="274">
        <f t="shared" si="0"/>
        <v>38.663737359999999</v>
      </c>
      <c r="Z35" s="63">
        <f>+Z34+1</f>
        <v>2012</v>
      </c>
      <c r="AA35" s="281">
        <v>762587.6</v>
      </c>
      <c r="AB35" s="281">
        <v>176278.6</v>
      </c>
      <c r="AD35" s="63">
        <f>Z35</f>
        <v>2012</v>
      </c>
      <c r="AE35" s="281">
        <f>AA35*2</f>
        <v>1525175.2</v>
      </c>
      <c r="AF35" s="281">
        <f>AB35</f>
        <v>176278.6</v>
      </c>
    </row>
    <row r="37" spans="2:32">
      <c r="B37" t="s">
        <v>0</v>
      </c>
      <c r="C37" t="s">
        <v>2</v>
      </c>
    </row>
    <row r="38" spans="2:32" ht="18">
      <c r="B38" t="s">
        <v>1</v>
      </c>
      <c r="C38" s="167" t="s">
        <v>469</v>
      </c>
    </row>
    <row r="39" spans="2:32" ht="15.75" thickBot="1"/>
    <row r="40" spans="2:32">
      <c r="B40" s="120" t="s">
        <v>3</v>
      </c>
      <c r="C40" s="19" t="s">
        <v>23</v>
      </c>
      <c r="D40" s="545" t="s">
        <v>24</v>
      </c>
      <c r="E40" s="546"/>
      <c r="F40" s="545" t="s">
        <v>25</v>
      </c>
      <c r="G40" s="547"/>
      <c r="H40" s="231"/>
      <c r="I40" s="545" t="s">
        <v>25</v>
      </c>
      <c r="J40" s="546"/>
      <c r="K40" s="232" t="s">
        <v>24</v>
      </c>
    </row>
    <row r="41" spans="2:32" ht="75">
      <c r="B41" s="548" t="s">
        <v>404</v>
      </c>
      <c r="C41" s="550" t="s">
        <v>192</v>
      </c>
      <c r="D41" s="21" t="s">
        <v>410</v>
      </c>
      <c r="E41" s="22" t="s">
        <v>411</v>
      </c>
      <c r="F41" s="21" t="s">
        <v>26</v>
      </c>
      <c r="G41" s="21" t="s">
        <v>27</v>
      </c>
      <c r="H41" s="21" t="s">
        <v>348</v>
      </c>
      <c r="I41" s="21" t="s">
        <v>350</v>
      </c>
      <c r="J41" s="22" t="s">
        <v>28</v>
      </c>
      <c r="K41" s="18" t="s">
        <v>29</v>
      </c>
    </row>
    <row r="42" spans="2:32">
      <c r="B42" s="548"/>
      <c r="C42" s="550"/>
      <c r="D42" s="9" t="s">
        <v>30</v>
      </c>
      <c r="E42" s="7"/>
      <c r="F42" s="9" t="s">
        <v>412</v>
      </c>
      <c r="G42" s="9"/>
      <c r="H42" s="7"/>
      <c r="I42" s="9"/>
      <c r="J42" s="7" t="s">
        <v>41</v>
      </c>
      <c r="K42" s="1" t="s">
        <v>530</v>
      </c>
    </row>
    <row r="43" spans="2:32" ht="30">
      <c r="B43" s="548"/>
      <c r="C43" s="550"/>
      <c r="D43" s="23"/>
      <c r="E43" s="24"/>
      <c r="F43" s="23"/>
      <c r="G43" s="23"/>
      <c r="H43" s="23"/>
      <c r="I43" s="23"/>
      <c r="J43" s="24" t="s">
        <v>37</v>
      </c>
      <c r="K43" s="25" t="s">
        <v>36</v>
      </c>
    </row>
    <row r="44" spans="2:32" ht="15.75" thickBot="1">
      <c r="B44" s="549"/>
      <c r="C44" s="551"/>
      <c r="D44" s="14" t="s">
        <v>31</v>
      </c>
      <c r="E44" s="13" t="s">
        <v>32</v>
      </c>
      <c r="F44" s="14" t="s">
        <v>33</v>
      </c>
      <c r="G44" s="14" t="s">
        <v>34</v>
      </c>
      <c r="H44" s="14" t="s">
        <v>349</v>
      </c>
      <c r="I44" s="14" t="s">
        <v>351</v>
      </c>
      <c r="J44" s="13" t="s">
        <v>38</v>
      </c>
      <c r="K44" s="15" t="s">
        <v>35</v>
      </c>
    </row>
    <row r="45" spans="2:32">
      <c r="B45" s="3"/>
      <c r="C45" s="6"/>
      <c r="D45" s="10"/>
      <c r="E45" s="8"/>
      <c r="F45" s="119" t="s">
        <v>193</v>
      </c>
      <c r="G45" s="119" t="s">
        <v>194</v>
      </c>
      <c r="H45" s="10"/>
      <c r="I45" s="10"/>
      <c r="J45" s="8"/>
      <c r="K45" s="2"/>
    </row>
    <row r="46" spans="2:32">
      <c r="B46" s="238">
        <v>2006</v>
      </c>
      <c r="C46" s="8"/>
      <c r="D46" s="339">
        <f>data!C58</f>
        <v>176295</v>
      </c>
      <c r="E46" s="270">
        <v>1</v>
      </c>
      <c r="F46" s="271">
        <v>160.9</v>
      </c>
      <c r="G46" s="270">
        <v>1</v>
      </c>
      <c r="H46" s="272">
        <v>0.28999999999999998</v>
      </c>
      <c r="I46" s="273">
        <v>0.56999999999999995</v>
      </c>
      <c r="J46" s="274">
        <v>25.67</v>
      </c>
      <c r="K46" s="274">
        <f>D46*E46*J46*10^-6</f>
        <v>4.5254926500000003</v>
      </c>
    </row>
    <row r="47" spans="2:32">
      <c r="B47" s="238">
        <v>2007</v>
      </c>
      <c r="C47" s="8"/>
      <c r="D47" s="339">
        <f>data!C59</f>
        <v>177854</v>
      </c>
      <c r="E47" s="270">
        <v>1</v>
      </c>
      <c r="F47" s="271">
        <v>160.9</v>
      </c>
      <c r="G47" s="270">
        <v>1</v>
      </c>
      <c r="H47" s="272">
        <v>0.28999999999999998</v>
      </c>
      <c r="I47" s="273">
        <v>0.56999999999999995</v>
      </c>
      <c r="J47" s="274">
        <v>25.67</v>
      </c>
      <c r="K47" s="274">
        <f t="shared" ref="K47:K70" si="1">D47*E47*J47*10^-6</f>
        <v>4.5655121800000007</v>
      </c>
    </row>
    <row r="48" spans="2:32">
      <c r="B48" s="238">
        <v>2008</v>
      </c>
      <c r="C48" s="8"/>
      <c r="D48" s="339">
        <f>data!C60</f>
        <v>182950</v>
      </c>
      <c r="E48" s="270">
        <v>1</v>
      </c>
      <c r="F48" s="271">
        <v>160.9</v>
      </c>
      <c r="G48" s="270">
        <v>1</v>
      </c>
      <c r="H48" s="272">
        <v>0.28999999999999998</v>
      </c>
      <c r="I48" s="273">
        <v>0.56999999999999995</v>
      </c>
      <c r="J48" s="274">
        <v>25.67</v>
      </c>
      <c r="K48" s="274">
        <f t="shared" si="1"/>
        <v>4.6963264999999996</v>
      </c>
    </row>
    <row r="49" spans="2:11">
      <c r="B49" s="238">
        <v>2009</v>
      </c>
      <c r="C49" s="8"/>
      <c r="D49" s="339">
        <f>data!C61</f>
        <v>177874</v>
      </c>
      <c r="E49" s="270">
        <v>1</v>
      </c>
      <c r="F49" s="271">
        <v>160.9</v>
      </c>
      <c r="G49" s="270">
        <v>1</v>
      </c>
      <c r="H49" s="272">
        <v>0.28999999999999998</v>
      </c>
      <c r="I49" s="273">
        <v>0.56999999999999995</v>
      </c>
      <c r="J49" s="274">
        <v>25.67</v>
      </c>
      <c r="K49" s="274">
        <f t="shared" si="1"/>
        <v>4.5660255799999998</v>
      </c>
    </row>
    <row r="50" spans="2:11">
      <c r="B50" s="238">
        <v>2010</v>
      </c>
      <c r="C50" s="8"/>
      <c r="D50" s="339">
        <f>data!C62</f>
        <v>174312</v>
      </c>
      <c r="E50" s="270">
        <v>1</v>
      </c>
      <c r="F50" s="271">
        <v>160.9</v>
      </c>
      <c r="G50" s="270">
        <v>1</v>
      </c>
      <c r="H50" s="272">
        <v>0.28999999999999998</v>
      </c>
      <c r="I50" s="273">
        <v>0.56999999999999995</v>
      </c>
      <c r="J50" s="274">
        <v>25.67</v>
      </c>
      <c r="K50" s="274">
        <f t="shared" si="1"/>
        <v>4.4745890399999997</v>
      </c>
    </row>
    <row r="51" spans="2:11">
      <c r="B51" s="238">
        <v>2011</v>
      </c>
      <c r="C51" s="8"/>
      <c r="D51" s="339">
        <f>data!C63</f>
        <v>173816.25</v>
      </c>
      <c r="E51" s="270">
        <v>1</v>
      </c>
      <c r="F51" s="271">
        <v>160.9</v>
      </c>
      <c r="G51" s="270">
        <v>1</v>
      </c>
      <c r="H51" s="272">
        <v>0.28999999999999998</v>
      </c>
      <c r="I51" s="273">
        <v>0.56999999999999995</v>
      </c>
      <c r="J51" s="274">
        <v>25.67</v>
      </c>
      <c r="K51" s="274">
        <f t="shared" si="1"/>
        <v>4.4618631375</v>
      </c>
    </row>
    <row r="52" spans="2:11">
      <c r="B52" s="238">
        <v>2012</v>
      </c>
      <c r="C52" s="8"/>
      <c r="D52" s="339">
        <f>data!C64</f>
        <v>173320.5</v>
      </c>
      <c r="E52" s="270">
        <v>1</v>
      </c>
      <c r="F52" s="271">
        <v>160.9</v>
      </c>
      <c r="G52" s="270">
        <v>1</v>
      </c>
      <c r="H52" s="272">
        <v>0.28999999999999998</v>
      </c>
      <c r="I52" s="273">
        <v>0.56999999999999995</v>
      </c>
      <c r="J52" s="274">
        <v>25.67</v>
      </c>
      <c r="K52" s="274">
        <f t="shared" si="1"/>
        <v>4.4491372350000002</v>
      </c>
    </row>
    <row r="53" spans="2:11">
      <c r="B53" s="238">
        <v>2013</v>
      </c>
      <c r="C53" s="8"/>
      <c r="D53" s="339">
        <f>data!C65</f>
        <v>172824.75</v>
      </c>
      <c r="E53" s="270">
        <v>1</v>
      </c>
      <c r="F53" s="271">
        <v>160.9</v>
      </c>
      <c r="G53" s="270">
        <v>1</v>
      </c>
      <c r="H53" s="272">
        <v>0.28999999999999998</v>
      </c>
      <c r="I53" s="273">
        <v>0.56999999999999995</v>
      </c>
      <c r="J53" s="274">
        <v>25.67</v>
      </c>
      <c r="K53" s="274">
        <f t="shared" si="1"/>
        <v>4.4364113325000005</v>
      </c>
    </row>
    <row r="54" spans="2:11">
      <c r="B54" s="238">
        <v>2014</v>
      </c>
      <c r="C54" s="8"/>
      <c r="D54" s="339">
        <f>data!C66</f>
        <v>172329</v>
      </c>
      <c r="E54" s="270">
        <v>1</v>
      </c>
      <c r="F54" s="271">
        <v>160.9</v>
      </c>
      <c r="G54" s="270">
        <v>1</v>
      </c>
      <c r="H54" s="272">
        <v>0.28999999999999998</v>
      </c>
      <c r="I54" s="273">
        <v>0.56999999999999995</v>
      </c>
      <c r="J54" s="274">
        <v>25.67</v>
      </c>
      <c r="K54" s="274">
        <f t="shared" si="1"/>
        <v>4.4236854300000008</v>
      </c>
    </row>
    <row r="55" spans="2:11">
      <c r="B55" s="238">
        <v>2015</v>
      </c>
      <c r="C55" s="8"/>
      <c r="D55" s="339">
        <f>data!C67</f>
        <v>171833.25</v>
      </c>
      <c r="E55" s="270">
        <v>1</v>
      </c>
      <c r="F55" s="271">
        <v>160.9</v>
      </c>
      <c r="G55" s="270">
        <v>1</v>
      </c>
      <c r="H55" s="272">
        <v>0.28999999999999998</v>
      </c>
      <c r="I55" s="273">
        <v>0.56999999999999995</v>
      </c>
      <c r="J55" s="274">
        <v>25.67</v>
      </c>
      <c r="K55" s="274">
        <f t="shared" si="1"/>
        <v>4.4109595274999993</v>
      </c>
    </row>
    <row r="56" spans="2:11">
      <c r="B56" s="238">
        <v>2016</v>
      </c>
      <c r="C56" s="8"/>
      <c r="D56" s="339">
        <f>data!C68</f>
        <v>171337.5</v>
      </c>
      <c r="E56" s="270">
        <v>1</v>
      </c>
      <c r="F56" s="271">
        <v>160.9</v>
      </c>
      <c r="G56" s="270">
        <v>1</v>
      </c>
      <c r="H56" s="272">
        <v>0.28999999999999998</v>
      </c>
      <c r="I56" s="273">
        <v>0.56999999999999995</v>
      </c>
      <c r="J56" s="274">
        <v>25.67</v>
      </c>
      <c r="K56" s="274">
        <f t="shared" si="1"/>
        <v>4.3982336249999996</v>
      </c>
    </row>
    <row r="57" spans="2:11">
      <c r="B57" s="238">
        <v>2017</v>
      </c>
      <c r="C57" s="8"/>
      <c r="D57" s="339">
        <f>data!C69</f>
        <v>170841.75</v>
      </c>
      <c r="E57" s="270">
        <v>1</v>
      </c>
      <c r="F57" s="271">
        <v>160.9</v>
      </c>
      <c r="G57" s="270">
        <v>1</v>
      </c>
      <c r="H57" s="272">
        <v>0.28999999999999998</v>
      </c>
      <c r="I57" s="273">
        <v>0.56999999999999995</v>
      </c>
      <c r="J57" s="274">
        <v>25.67</v>
      </c>
      <c r="K57" s="274">
        <f t="shared" si="1"/>
        <v>4.3855077224999999</v>
      </c>
    </row>
    <row r="58" spans="2:11">
      <c r="B58" s="238">
        <v>2018</v>
      </c>
      <c r="C58" s="8"/>
      <c r="D58" s="339">
        <f>data!C70</f>
        <v>170346</v>
      </c>
      <c r="E58" s="270">
        <v>1</v>
      </c>
      <c r="F58" s="271">
        <v>160.9</v>
      </c>
      <c r="G58" s="270">
        <v>1</v>
      </c>
      <c r="H58" s="272">
        <v>0.28999999999999998</v>
      </c>
      <c r="I58" s="273">
        <v>0.56999999999999995</v>
      </c>
      <c r="J58" s="274">
        <v>25.67</v>
      </c>
      <c r="K58" s="274">
        <f t="shared" si="1"/>
        <v>4.3727818200000002</v>
      </c>
    </row>
    <row r="59" spans="2:11">
      <c r="B59" s="238">
        <v>2019</v>
      </c>
      <c r="C59" s="8"/>
      <c r="D59" s="339">
        <f>data!C71</f>
        <v>169850.25</v>
      </c>
      <c r="E59" s="270">
        <v>1</v>
      </c>
      <c r="F59" s="271">
        <v>160.9</v>
      </c>
      <c r="G59" s="270">
        <v>1</v>
      </c>
      <c r="H59" s="272">
        <v>0.28999999999999998</v>
      </c>
      <c r="I59" s="273">
        <v>0.56999999999999995</v>
      </c>
      <c r="J59" s="274">
        <v>25.67</v>
      </c>
      <c r="K59" s="274">
        <f t="shared" si="1"/>
        <v>4.3600559175000004</v>
      </c>
    </row>
    <row r="60" spans="2:11">
      <c r="B60" s="238">
        <v>2020</v>
      </c>
      <c r="C60" s="8"/>
      <c r="D60" s="339">
        <f>data!C72</f>
        <v>169354.5</v>
      </c>
      <c r="E60" s="270">
        <v>1</v>
      </c>
      <c r="F60" s="271">
        <v>160.9</v>
      </c>
      <c r="G60" s="270">
        <v>1</v>
      </c>
      <c r="H60" s="272">
        <v>0.28999999999999998</v>
      </c>
      <c r="I60" s="273">
        <v>0.56999999999999995</v>
      </c>
      <c r="J60" s="274">
        <v>25.67</v>
      </c>
      <c r="K60" s="274">
        <f t="shared" si="1"/>
        <v>4.3473300150000007</v>
      </c>
    </row>
    <row r="61" spans="2:11">
      <c r="B61" s="238">
        <v>2021</v>
      </c>
      <c r="C61" s="8"/>
      <c r="D61" s="339">
        <f>data!C73</f>
        <v>168858.75</v>
      </c>
      <c r="E61" s="270">
        <v>1</v>
      </c>
      <c r="F61" s="271">
        <v>160.9</v>
      </c>
      <c r="G61" s="270">
        <v>1</v>
      </c>
      <c r="H61" s="272">
        <v>0.28999999999999998</v>
      </c>
      <c r="I61" s="273">
        <v>0.56999999999999995</v>
      </c>
      <c r="J61" s="274">
        <v>25.67</v>
      </c>
      <c r="K61" s="274">
        <f t="shared" si="1"/>
        <v>4.3346041125000001</v>
      </c>
    </row>
    <row r="62" spans="2:11">
      <c r="B62" s="238">
        <v>2022</v>
      </c>
      <c r="C62" s="8"/>
      <c r="D62" s="339">
        <f>data!C74</f>
        <v>168363</v>
      </c>
      <c r="E62" s="270">
        <v>1</v>
      </c>
      <c r="F62" s="271">
        <v>160.9</v>
      </c>
      <c r="G62" s="270">
        <v>1</v>
      </c>
      <c r="H62" s="272">
        <v>0.28999999999999998</v>
      </c>
      <c r="I62" s="273">
        <v>0.56999999999999995</v>
      </c>
      <c r="J62" s="274">
        <v>25.67</v>
      </c>
      <c r="K62" s="274">
        <f t="shared" si="1"/>
        <v>4.3218782099999995</v>
      </c>
    </row>
    <row r="63" spans="2:11">
      <c r="B63" s="238">
        <v>2023</v>
      </c>
      <c r="C63" s="8"/>
      <c r="D63" s="339">
        <f>data!C75</f>
        <v>167867.25</v>
      </c>
      <c r="E63" s="270">
        <v>1</v>
      </c>
      <c r="F63" s="271">
        <v>160.9</v>
      </c>
      <c r="G63" s="270">
        <v>1</v>
      </c>
      <c r="H63" s="272">
        <v>0.28999999999999998</v>
      </c>
      <c r="I63" s="273">
        <v>0.56999999999999995</v>
      </c>
      <c r="J63" s="274">
        <v>25.67</v>
      </c>
      <c r="K63" s="274">
        <f t="shared" si="1"/>
        <v>4.3091523074999998</v>
      </c>
    </row>
    <row r="64" spans="2:11">
      <c r="B64" s="238">
        <v>2024</v>
      </c>
      <c r="C64" s="8"/>
      <c r="D64" s="339">
        <f>data!C76</f>
        <v>167371.5</v>
      </c>
      <c r="E64" s="270">
        <v>1</v>
      </c>
      <c r="F64" s="271">
        <v>160.9</v>
      </c>
      <c r="G64" s="270">
        <v>1</v>
      </c>
      <c r="H64" s="272">
        <v>0.28999999999999998</v>
      </c>
      <c r="I64" s="273">
        <v>0.56999999999999995</v>
      </c>
      <c r="J64" s="274">
        <v>25.67</v>
      </c>
      <c r="K64" s="274">
        <f t="shared" si="1"/>
        <v>4.2964264050000001</v>
      </c>
    </row>
    <row r="65" spans="2:11">
      <c r="B65" s="238">
        <v>2025</v>
      </c>
      <c r="C65" s="8"/>
      <c r="D65" s="339">
        <f>data!C77</f>
        <v>166875.75</v>
      </c>
      <c r="E65" s="270">
        <v>1</v>
      </c>
      <c r="F65" s="271">
        <v>160.9</v>
      </c>
      <c r="G65" s="270">
        <v>1</v>
      </c>
      <c r="H65" s="272">
        <v>0.28999999999999998</v>
      </c>
      <c r="I65" s="273">
        <v>0.56999999999999995</v>
      </c>
      <c r="J65" s="274">
        <v>25.67</v>
      </c>
      <c r="K65" s="274">
        <f t="shared" si="1"/>
        <v>4.2837005025000003</v>
      </c>
    </row>
    <row r="66" spans="2:11">
      <c r="B66" s="238">
        <v>2026</v>
      </c>
      <c r="C66" s="418"/>
      <c r="D66" s="339">
        <f>data!C78</f>
        <v>166380</v>
      </c>
      <c r="E66" s="270">
        <v>1</v>
      </c>
      <c r="F66" s="271">
        <v>160.9</v>
      </c>
      <c r="G66" s="270">
        <v>1</v>
      </c>
      <c r="H66" s="272">
        <v>0.28999999999999998</v>
      </c>
      <c r="I66" s="273">
        <v>0.56999999999999995</v>
      </c>
      <c r="J66" s="274">
        <v>25.67</v>
      </c>
      <c r="K66" s="274">
        <f t="shared" si="1"/>
        <v>4.2709746000000006</v>
      </c>
    </row>
    <row r="67" spans="2:11">
      <c r="B67" s="238">
        <v>2027</v>
      </c>
      <c r="C67" s="418"/>
      <c r="D67" s="339">
        <f>data!C79</f>
        <v>165884.25</v>
      </c>
      <c r="E67" s="270">
        <v>1</v>
      </c>
      <c r="F67" s="271">
        <v>160.9</v>
      </c>
      <c r="G67" s="270">
        <v>1</v>
      </c>
      <c r="H67" s="272">
        <v>0.28999999999999998</v>
      </c>
      <c r="I67" s="273">
        <v>0.56999999999999995</v>
      </c>
      <c r="J67" s="274">
        <v>25.67</v>
      </c>
      <c r="K67" s="274">
        <f t="shared" si="1"/>
        <v>4.2582486975000009</v>
      </c>
    </row>
    <row r="68" spans="2:11">
      <c r="B68" s="238">
        <v>2028</v>
      </c>
      <c r="C68" s="373"/>
      <c r="D68" s="339">
        <f>data!C80</f>
        <v>165388.5</v>
      </c>
      <c r="E68" s="270">
        <v>1</v>
      </c>
      <c r="F68" s="271">
        <v>160.9</v>
      </c>
      <c r="G68" s="270">
        <v>1</v>
      </c>
      <c r="H68" s="272">
        <v>0.28999999999999998</v>
      </c>
      <c r="I68" s="273">
        <v>0.56999999999999995</v>
      </c>
      <c r="J68" s="274">
        <v>25.67</v>
      </c>
      <c r="K68" s="274">
        <f t="shared" si="1"/>
        <v>4.2455227949999994</v>
      </c>
    </row>
    <row r="69" spans="2:11">
      <c r="B69" s="238">
        <v>2029</v>
      </c>
      <c r="C69" s="373"/>
      <c r="D69" s="339">
        <f>data!C81</f>
        <v>164892.75</v>
      </c>
      <c r="E69" s="270">
        <v>1</v>
      </c>
      <c r="F69" s="271">
        <v>160.9</v>
      </c>
      <c r="G69" s="270">
        <v>1</v>
      </c>
      <c r="H69" s="272">
        <v>0.28999999999999998</v>
      </c>
      <c r="I69" s="273">
        <v>0.56999999999999995</v>
      </c>
      <c r="J69" s="274">
        <v>25.67</v>
      </c>
      <c r="K69" s="274">
        <f t="shared" si="1"/>
        <v>4.2327968924999997</v>
      </c>
    </row>
    <row r="70" spans="2:11">
      <c r="B70" s="238">
        <v>2030</v>
      </c>
      <c r="C70" s="373"/>
      <c r="D70" s="339">
        <f>data!C82</f>
        <v>164397</v>
      </c>
      <c r="E70" s="270">
        <v>1</v>
      </c>
      <c r="F70" s="271">
        <v>160.9</v>
      </c>
      <c r="G70" s="270">
        <v>1</v>
      </c>
      <c r="H70" s="272">
        <v>0.28999999999999998</v>
      </c>
      <c r="I70" s="273">
        <v>0.56999999999999995</v>
      </c>
      <c r="J70" s="274">
        <v>25.67</v>
      </c>
      <c r="K70" s="274">
        <f t="shared" si="1"/>
        <v>4.22007099</v>
      </c>
    </row>
    <row r="72" spans="2:11">
      <c r="B72" t="s">
        <v>0</v>
      </c>
      <c r="C72" t="s">
        <v>2</v>
      </c>
    </row>
    <row r="73" spans="2:11">
      <c r="B73" t="s">
        <v>1</v>
      </c>
      <c r="C73" t="s">
        <v>558</v>
      </c>
    </row>
    <row r="75" spans="2:11" ht="15" customHeight="1">
      <c r="B75" s="544" t="s">
        <v>404</v>
      </c>
      <c r="C75" s="544" t="s">
        <v>429</v>
      </c>
      <c r="D75" s="544"/>
      <c r="E75" s="544" t="s">
        <v>430</v>
      </c>
      <c r="F75" s="544"/>
      <c r="G75" s="435" t="s">
        <v>431</v>
      </c>
      <c r="H75" s="435"/>
      <c r="I75" s="276"/>
      <c r="J75" s="276"/>
      <c r="K75" s="276"/>
    </row>
    <row r="76" spans="2:11" ht="15" customHeight="1">
      <c r="B76" s="544"/>
      <c r="C76" s="435" t="s">
        <v>530</v>
      </c>
      <c r="D76" s="454" t="s">
        <v>557</v>
      </c>
      <c r="E76" s="435" t="s">
        <v>530</v>
      </c>
      <c r="F76" s="454" t="s">
        <v>557</v>
      </c>
      <c r="G76" s="435" t="s">
        <v>530</v>
      </c>
      <c r="H76" s="454" t="s">
        <v>557</v>
      </c>
      <c r="I76" s="275"/>
      <c r="J76" s="275"/>
      <c r="K76" s="275"/>
    </row>
    <row r="77" spans="2:11">
      <c r="B77" s="283">
        <v>2006</v>
      </c>
      <c r="C77" s="419">
        <f>K11</f>
        <v>37.044038319999999</v>
      </c>
      <c r="D77" s="455">
        <f>C77*21</f>
        <v>777.92480472</v>
      </c>
      <c r="E77" s="419">
        <f t="shared" ref="E77:E101" si="2">K46</f>
        <v>4.5254926500000003</v>
      </c>
      <c r="F77" s="63">
        <f>E77*21</f>
        <v>95.035345650000011</v>
      </c>
      <c r="G77" s="420">
        <f t="shared" ref="G77:G101" si="3">C77+E77</f>
        <v>41.569530970000002</v>
      </c>
      <c r="H77" s="467">
        <f t="shared" ref="H77:H101" si="4">G77*21</f>
        <v>872.96015037000006</v>
      </c>
      <c r="I77" s="277"/>
      <c r="J77" s="277"/>
      <c r="K77" s="277"/>
    </row>
    <row r="78" spans="2:11">
      <c r="B78" s="283">
        <v>2007</v>
      </c>
      <c r="C78" s="419">
        <f t="shared" ref="C78:C101" si="5">K12</f>
        <v>37.365075759999996</v>
      </c>
      <c r="D78" s="455">
        <f t="shared" ref="D78:D101" si="6">C78*21</f>
        <v>784.66659095999989</v>
      </c>
      <c r="E78" s="419">
        <f t="shared" si="2"/>
        <v>4.5655121800000007</v>
      </c>
      <c r="F78" s="63">
        <f t="shared" ref="F78:F101" si="7">E78*21</f>
        <v>95.87575578000002</v>
      </c>
      <c r="G78" s="420">
        <f t="shared" si="3"/>
        <v>41.930587939999995</v>
      </c>
      <c r="H78" s="467">
        <f t="shared" si="4"/>
        <v>880.54234673999986</v>
      </c>
      <c r="I78" s="275"/>
      <c r="J78" s="275"/>
      <c r="K78" s="275"/>
    </row>
    <row r="79" spans="2:11">
      <c r="B79" s="283">
        <v>2008</v>
      </c>
      <c r="C79" s="419">
        <f t="shared" si="5"/>
        <v>37.659409439999997</v>
      </c>
      <c r="D79" s="455">
        <f t="shared" si="6"/>
        <v>790.84759823999991</v>
      </c>
      <c r="E79" s="419">
        <f t="shared" si="2"/>
        <v>4.6963264999999996</v>
      </c>
      <c r="F79" s="63">
        <f t="shared" si="7"/>
        <v>98.622856499999997</v>
      </c>
      <c r="G79" s="420">
        <f t="shared" si="3"/>
        <v>42.355735939999995</v>
      </c>
      <c r="H79" s="467">
        <f t="shared" si="4"/>
        <v>889.47045473999992</v>
      </c>
      <c r="I79" s="278"/>
      <c r="J79" s="278"/>
      <c r="K79" s="278"/>
    </row>
    <row r="80" spans="2:11">
      <c r="B80" s="283">
        <v>2009</v>
      </c>
      <c r="C80" s="419">
        <f t="shared" si="5"/>
        <v>37.491486719999997</v>
      </c>
      <c r="D80" s="455">
        <f t="shared" si="6"/>
        <v>787.3212211199999</v>
      </c>
      <c r="E80" s="419">
        <f t="shared" si="2"/>
        <v>4.5660255799999998</v>
      </c>
      <c r="F80" s="63">
        <f t="shared" si="7"/>
        <v>95.886537179999991</v>
      </c>
      <c r="G80" s="420">
        <f t="shared" si="3"/>
        <v>42.057512299999999</v>
      </c>
      <c r="H80" s="467">
        <f t="shared" si="4"/>
        <v>883.20775830000002</v>
      </c>
      <c r="I80" s="278"/>
      <c r="J80" s="278"/>
      <c r="K80" s="278"/>
    </row>
    <row r="81" spans="2:11">
      <c r="B81" s="283">
        <v>2010</v>
      </c>
      <c r="C81" s="419">
        <f t="shared" si="5"/>
        <v>37.313988159999994</v>
      </c>
      <c r="D81" s="455">
        <f t="shared" si="6"/>
        <v>783.59375135999983</v>
      </c>
      <c r="E81" s="419">
        <f t="shared" si="2"/>
        <v>4.4745890399999997</v>
      </c>
      <c r="F81" s="63">
        <f t="shared" si="7"/>
        <v>93.966369839999999</v>
      </c>
      <c r="G81" s="420">
        <f t="shared" si="3"/>
        <v>41.788577199999992</v>
      </c>
      <c r="H81" s="467">
        <f t="shared" si="4"/>
        <v>877.5601211999998</v>
      </c>
      <c r="I81" s="278"/>
      <c r="J81" s="278"/>
      <c r="K81" s="278"/>
    </row>
    <row r="82" spans="2:11">
      <c r="B82" s="283">
        <v>2011</v>
      </c>
      <c r="C82" s="419">
        <f t="shared" si="5"/>
        <v>37.381475619999996</v>
      </c>
      <c r="D82" s="455">
        <f t="shared" si="6"/>
        <v>785.0109880199999</v>
      </c>
      <c r="E82" s="419">
        <f t="shared" si="2"/>
        <v>4.4618631375</v>
      </c>
      <c r="F82" s="63">
        <f t="shared" si="7"/>
        <v>93.699125887500003</v>
      </c>
      <c r="G82" s="420">
        <f t="shared" si="3"/>
        <v>41.843338757499993</v>
      </c>
      <c r="H82" s="467">
        <f t="shared" si="4"/>
        <v>878.71011390749982</v>
      </c>
      <c r="I82" s="278"/>
      <c r="J82" s="278"/>
      <c r="K82" s="278"/>
    </row>
    <row r="83" spans="2:11">
      <c r="B83" s="283">
        <v>2012</v>
      </c>
      <c r="C83" s="419">
        <f t="shared" si="5"/>
        <v>37.448963079999999</v>
      </c>
      <c r="D83" s="455">
        <f t="shared" si="6"/>
        <v>786.42822467999997</v>
      </c>
      <c r="E83" s="419">
        <f t="shared" si="2"/>
        <v>4.4491372350000002</v>
      </c>
      <c r="F83" s="63">
        <f t="shared" si="7"/>
        <v>93.431881935000007</v>
      </c>
      <c r="G83" s="420">
        <f t="shared" si="3"/>
        <v>41.898100315000001</v>
      </c>
      <c r="H83" s="467">
        <f t="shared" si="4"/>
        <v>879.86010661500006</v>
      </c>
      <c r="I83" s="278"/>
      <c r="J83" s="278"/>
      <c r="K83" s="278"/>
    </row>
    <row r="84" spans="2:11">
      <c r="B84" s="283">
        <v>2013</v>
      </c>
      <c r="C84" s="419">
        <f t="shared" si="5"/>
        <v>37.516450539999994</v>
      </c>
      <c r="D84" s="455">
        <f t="shared" si="6"/>
        <v>787.84546133999993</v>
      </c>
      <c r="E84" s="419">
        <f t="shared" si="2"/>
        <v>4.4364113325000005</v>
      </c>
      <c r="F84" s="63">
        <f t="shared" si="7"/>
        <v>93.164637982500011</v>
      </c>
      <c r="G84" s="420">
        <f t="shared" si="3"/>
        <v>41.952861872499994</v>
      </c>
      <c r="H84" s="467">
        <f t="shared" si="4"/>
        <v>881.01009932249985</v>
      </c>
      <c r="I84" s="278"/>
      <c r="J84" s="278"/>
      <c r="K84" s="278"/>
    </row>
    <row r="85" spans="2:11">
      <c r="B85" s="283">
        <v>2014</v>
      </c>
      <c r="C85" s="419">
        <f t="shared" si="5"/>
        <v>37.583937999999996</v>
      </c>
      <c r="D85" s="455">
        <f t="shared" si="6"/>
        <v>789.26269799999989</v>
      </c>
      <c r="E85" s="419">
        <f t="shared" si="2"/>
        <v>4.4236854300000008</v>
      </c>
      <c r="F85" s="63">
        <f t="shared" si="7"/>
        <v>92.897394030000015</v>
      </c>
      <c r="G85" s="420">
        <f t="shared" si="3"/>
        <v>42.007623429999995</v>
      </c>
      <c r="H85" s="467">
        <f t="shared" si="4"/>
        <v>882.16009202999987</v>
      </c>
      <c r="I85" s="278"/>
      <c r="J85" s="278"/>
      <c r="K85" s="278"/>
    </row>
    <row r="86" spans="2:11">
      <c r="B86" s="283">
        <v>2015</v>
      </c>
      <c r="C86" s="419">
        <f t="shared" si="5"/>
        <v>37.651425459999999</v>
      </c>
      <c r="D86" s="455">
        <f t="shared" si="6"/>
        <v>790.67993465999996</v>
      </c>
      <c r="E86" s="419">
        <f t="shared" si="2"/>
        <v>4.4109595274999993</v>
      </c>
      <c r="F86" s="63">
        <f t="shared" si="7"/>
        <v>92.630150077499991</v>
      </c>
      <c r="G86" s="420">
        <f t="shared" si="3"/>
        <v>42.062384987499996</v>
      </c>
      <c r="H86" s="467">
        <f t="shared" si="4"/>
        <v>883.31008473749989</v>
      </c>
      <c r="I86" s="278"/>
      <c r="J86" s="278"/>
      <c r="K86" s="278"/>
    </row>
    <row r="87" spans="2:11">
      <c r="B87" s="283">
        <v>2016</v>
      </c>
      <c r="C87" s="419">
        <f t="shared" si="5"/>
        <v>37.718912920000001</v>
      </c>
      <c r="D87" s="455">
        <f t="shared" si="6"/>
        <v>792.09717132000003</v>
      </c>
      <c r="E87" s="419">
        <f t="shared" si="2"/>
        <v>4.3982336249999996</v>
      </c>
      <c r="F87" s="63">
        <f t="shared" si="7"/>
        <v>92.362906124999995</v>
      </c>
      <c r="G87" s="420">
        <f t="shared" si="3"/>
        <v>42.117146544999997</v>
      </c>
      <c r="H87" s="467">
        <f t="shared" si="4"/>
        <v>884.46007744499991</v>
      </c>
      <c r="I87" s="278"/>
      <c r="J87" s="278"/>
      <c r="K87" s="278"/>
    </row>
    <row r="88" spans="2:11">
      <c r="B88" s="283">
        <v>2017</v>
      </c>
      <c r="C88" s="419">
        <f t="shared" si="5"/>
        <v>37.786400380000003</v>
      </c>
      <c r="D88" s="455">
        <f t="shared" si="6"/>
        <v>793.5144079800001</v>
      </c>
      <c r="E88" s="419">
        <f t="shared" si="2"/>
        <v>4.3855077224999999</v>
      </c>
      <c r="F88" s="63">
        <f t="shared" si="7"/>
        <v>92.095662172499999</v>
      </c>
      <c r="G88" s="420">
        <f t="shared" si="3"/>
        <v>42.171908102500005</v>
      </c>
      <c r="H88" s="467">
        <f t="shared" si="4"/>
        <v>885.61007015250016</v>
      </c>
      <c r="I88" s="278"/>
      <c r="J88" s="278"/>
      <c r="K88" s="278"/>
    </row>
    <row r="89" spans="2:11">
      <c r="B89" s="283">
        <v>2018</v>
      </c>
      <c r="C89" s="419">
        <f t="shared" si="5"/>
        <v>37.853887839999992</v>
      </c>
      <c r="D89" s="455">
        <f t="shared" si="6"/>
        <v>794.93164463999983</v>
      </c>
      <c r="E89" s="419">
        <f t="shared" si="2"/>
        <v>4.3727818200000002</v>
      </c>
      <c r="F89" s="63">
        <f t="shared" si="7"/>
        <v>91.828418220000003</v>
      </c>
      <c r="G89" s="420">
        <f t="shared" si="3"/>
        <v>42.226669659999992</v>
      </c>
      <c r="H89" s="467">
        <f t="shared" si="4"/>
        <v>886.76006285999983</v>
      </c>
      <c r="I89" s="278"/>
      <c r="J89" s="278"/>
      <c r="K89" s="278"/>
    </row>
    <row r="90" spans="2:11">
      <c r="B90" s="283">
        <v>2019</v>
      </c>
      <c r="C90" s="419">
        <f t="shared" si="5"/>
        <v>37.921375299999994</v>
      </c>
      <c r="D90" s="455">
        <f t="shared" si="6"/>
        <v>796.3488812999999</v>
      </c>
      <c r="E90" s="419">
        <f t="shared" si="2"/>
        <v>4.3600559175000004</v>
      </c>
      <c r="F90" s="63">
        <f t="shared" si="7"/>
        <v>91.561174267500007</v>
      </c>
      <c r="G90" s="420">
        <f t="shared" si="3"/>
        <v>42.281431217499993</v>
      </c>
      <c r="H90" s="467">
        <f t="shared" si="4"/>
        <v>887.91005556749985</v>
      </c>
      <c r="I90" s="278"/>
      <c r="J90" s="278"/>
      <c r="K90" s="278"/>
    </row>
    <row r="91" spans="2:11">
      <c r="B91" s="283">
        <v>2020</v>
      </c>
      <c r="C91" s="419">
        <f t="shared" si="5"/>
        <v>37.988862759999996</v>
      </c>
      <c r="D91" s="455">
        <f t="shared" si="6"/>
        <v>797.76611795999997</v>
      </c>
      <c r="E91" s="419">
        <f t="shared" si="2"/>
        <v>4.3473300150000007</v>
      </c>
      <c r="F91" s="63">
        <f t="shared" si="7"/>
        <v>91.293930315000011</v>
      </c>
      <c r="G91" s="420">
        <f t="shared" si="3"/>
        <v>42.336192775000001</v>
      </c>
      <c r="H91" s="467">
        <f t="shared" si="4"/>
        <v>889.06004827499999</v>
      </c>
      <c r="I91" s="279"/>
      <c r="J91" s="279"/>
      <c r="K91" s="279"/>
    </row>
    <row r="92" spans="2:11">
      <c r="B92" s="283">
        <v>2021</v>
      </c>
      <c r="C92" s="419">
        <f t="shared" si="5"/>
        <v>38.056350219999999</v>
      </c>
      <c r="D92" s="455">
        <f t="shared" si="6"/>
        <v>799.18335461999993</v>
      </c>
      <c r="E92" s="419">
        <f t="shared" si="2"/>
        <v>4.3346041125000001</v>
      </c>
      <c r="F92" s="63">
        <f t="shared" si="7"/>
        <v>91.026686362500001</v>
      </c>
      <c r="G92" s="420">
        <f t="shared" si="3"/>
        <v>42.390954332500002</v>
      </c>
      <c r="H92" s="467">
        <f t="shared" si="4"/>
        <v>890.2100409825</v>
      </c>
      <c r="I92" s="279"/>
      <c r="J92" s="279"/>
      <c r="K92" s="279"/>
    </row>
    <row r="93" spans="2:11">
      <c r="B93" s="283">
        <v>2022</v>
      </c>
      <c r="C93" s="419">
        <f t="shared" si="5"/>
        <v>38.123837680000001</v>
      </c>
      <c r="D93" s="455">
        <f t="shared" si="6"/>
        <v>800.60059128</v>
      </c>
      <c r="E93" s="419">
        <f t="shared" si="2"/>
        <v>4.3218782099999995</v>
      </c>
      <c r="F93" s="63">
        <f t="shared" si="7"/>
        <v>90.759442409999991</v>
      </c>
      <c r="G93" s="420">
        <f t="shared" si="3"/>
        <v>42.445715890000002</v>
      </c>
      <c r="H93" s="467">
        <f t="shared" si="4"/>
        <v>891.36003369000002</v>
      </c>
      <c r="I93" s="279"/>
      <c r="J93" s="279"/>
      <c r="K93" s="279"/>
    </row>
    <row r="94" spans="2:11">
      <c r="B94" s="283">
        <v>2023</v>
      </c>
      <c r="C94" s="419">
        <f t="shared" si="5"/>
        <v>38.191325139999996</v>
      </c>
      <c r="D94" s="455">
        <f t="shared" si="6"/>
        <v>802.01782793999996</v>
      </c>
      <c r="E94" s="419">
        <f t="shared" si="2"/>
        <v>4.3091523074999998</v>
      </c>
      <c r="F94" s="63">
        <f t="shared" si="7"/>
        <v>90.492198457499995</v>
      </c>
      <c r="G94" s="420">
        <f t="shared" si="3"/>
        <v>42.500477447499996</v>
      </c>
      <c r="H94" s="467">
        <f t="shared" si="4"/>
        <v>892.51002639749993</v>
      </c>
      <c r="I94" s="279"/>
      <c r="J94" s="279"/>
      <c r="K94" s="279"/>
    </row>
    <row r="95" spans="2:11">
      <c r="B95" s="283">
        <v>2024</v>
      </c>
      <c r="C95" s="419">
        <f t="shared" si="5"/>
        <v>38.258812599999999</v>
      </c>
      <c r="D95" s="455">
        <f t="shared" si="6"/>
        <v>803.43506460000003</v>
      </c>
      <c r="E95" s="419">
        <f t="shared" si="2"/>
        <v>4.2964264050000001</v>
      </c>
      <c r="F95" s="63">
        <f t="shared" si="7"/>
        <v>90.224954504999999</v>
      </c>
      <c r="G95" s="420">
        <f t="shared" si="3"/>
        <v>42.555239004999997</v>
      </c>
      <c r="H95" s="467">
        <f t="shared" si="4"/>
        <v>893.66001910499995</v>
      </c>
      <c r="I95" s="279"/>
      <c r="J95" s="279"/>
      <c r="K95" s="279"/>
    </row>
    <row r="96" spans="2:11">
      <c r="B96" s="283">
        <v>2025</v>
      </c>
      <c r="C96" s="419">
        <f t="shared" si="5"/>
        <v>38.326300060000001</v>
      </c>
      <c r="D96" s="455">
        <f t="shared" si="6"/>
        <v>804.85230125999999</v>
      </c>
      <c r="E96" s="419">
        <f t="shared" si="2"/>
        <v>4.2837005025000003</v>
      </c>
      <c r="F96" s="63">
        <f t="shared" si="7"/>
        <v>89.957710552500004</v>
      </c>
      <c r="G96" s="420">
        <f t="shared" si="3"/>
        <v>42.610000562500005</v>
      </c>
      <c r="H96" s="467">
        <f t="shared" si="4"/>
        <v>894.81001181250008</v>
      </c>
      <c r="I96" s="279"/>
      <c r="J96" s="279"/>
      <c r="K96" s="279"/>
    </row>
    <row r="97" spans="2:11">
      <c r="B97" s="283">
        <v>2026</v>
      </c>
      <c r="C97" s="419">
        <f t="shared" si="5"/>
        <v>38.393787520000004</v>
      </c>
      <c r="D97" s="455">
        <f t="shared" si="6"/>
        <v>806.26953792000006</v>
      </c>
      <c r="E97" s="419">
        <f t="shared" si="2"/>
        <v>4.2709746000000006</v>
      </c>
      <c r="F97" s="63">
        <f t="shared" si="7"/>
        <v>89.690466600000008</v>
      </c>
      <c r="G97" s="420">
        <f t="shared" si="3"/>
        <v>42.664762120000006</v>
      </c>
      <c r="H97" s="467">
        <f t="shared" si="4"/>
        <v>895.9600045200001</v>
      </c>
      <c r="I97" s="279"/>
      <c r="J97" s="279"/>
      <c r="K97" s="279"/>
    </row>
    <row r="98" spans="2:11">
      <c r="B98" s="283">
        <v>2027</v>
      </c>
      <c r="C98" s="419">
        <f t="shared" si="5"/>
        <v>38.461274979999992</v>
      </c>
      <c r="D98" s="455">
        <f t="shared" si="6"/>
        <v>807.68677457999979</v>
      </c>
      <c r="E98" s="419">
        <f t="shared" si="2"/>
        <v>4.2582486975000009</v>
      </c>
      <c r="F98" s="63">
        <f t="shared" si="7"/>
        <v>89.423222647500012</v>
      </c>
      <c r="G98" s="420">
        <f t="shared" si="3"/>
        <v>42.719523677499993</v>
      </c>
      <c r="H98" s="467">
        <f t="shared" si="4"/>
        <v>897.10999722749989</v>
      </c>
      <c r="I98" s="279"/>
      <c r="J98" s="279"/>
      <c r="K98" s="279"/>
    </row>
    <row r="99" spans="2:11">
      <c r="B99" s="283">
        <v>2028</v>
      </c>
      <c r="C99" s="419">
        <f t="shared" si="5"/>
        <v>38.528762439999994</v>
      </c>
      <c r="D99" s="455">
        <f t="shared" si="6"/>
        <v>809.10401123999986</v>
      </c>
      <c r="E99" s="419">
        <f t="shared" si="2"/>
        <v>4.2455227949999994</v>
      </c>
      <c r="F99" s="63">
        <f t="shared" si="7"/>
        <v>89.155978694999988</v>
      </c>
      <c r="G99" s="420">
        <f t="shared" si="3"/>
        <v>42.774285234999994</v>
      </c>
      <c r="H99" s="467">
        <f t="shared" si="4"/>
        <v>898.25998993499991</v>
      </c>
      <c r="I99" s="279"/>
      <c r="J99" s="279"/>
      <c r="K99" s="279"/>
    </row>
    <row r="100" spans="2:11">
      <c r="B100" s="283">
        <v>2029</v>
      </c>
      <c r="C100" s="419">
        <f t="shared" si="5"/>
        <v>38.596249899999997</v>
      </c>
      <c r="D100" s="455">
        <f t="shared" si="6"/>
        <v>810.52124789999993</v>
      </c>
      <c r="E100" s="419">
        <f t="shared" si="2"/>
        <v>4.2327968924999997</v>
      </c>
      <c r="F100" s="63">
        <f t="shared" si="7"/>
        <v>88.888734742499992</v>
      </c>
      <c r="G100" s="420">
        <f t="shared" si="3"/>
        <v>42.829046792499994</v>
      </c>
      <c r="H100" s="467">
        <f t="shared" si="4"/>
        <v>899.40998264249993</v>
      </c>
      <c r="I100" s="279"/>
      <c r="J100" s="279"/>
      <c r="K100" s="279"/>
    </row>
    <row r="101" spans="2:11">
      <c r="B101" s="283">
        <v>2030</v>
      </c>
      <c r="C101" s="419">
        <f t="shared" si="5"/>
        <v>38.663737359999999</v>
      </c>
      <c r="D101" s="455">
        <f t="shared" si="6"/>
        <v>811.93848456000001</v>
      </c>
      <c r="E101" s="419">
        <f t="shared" si="2"/>
        <v>4.22007099</v>
      </c>
      <c r="F101" s="63">
        <f t="shared" si="7"/>
        <v>88.621490789999996</v>
      </c>
      <c r="G101" s="420">
        <f t="shared" si="3"/>
        <v>42.883808349999995</v>
      </c>
      <c r="H101" s="467">
        <f t="shared" si="4"/>
        <v>900.55997534999995</v>
      </c>
      <c r="I101" s="279"/>
      <c r="J101" s="279"/>
      <c r="K101" s="279"/>
    </row>
    <row r="102" spans="2:11">
      <c r="B102" s="338"/>
    </row>
    <row r="103" spans="2:11">
      <c r="B103" t="s">
        <v>195</v>
      </c>
      <c r="F103" s="121">
        <v>520000</v>
      </c>
      <c r="G103" t="s">
        <v>196</v>
      </c>
    </row>
    <row r="104" spans="2:11">
      <c r="B104" t="s">
        <v>197</v>
      </c>
      <c r="F104">
        <v>200</v>
      </c>
      <c r="G104" t="s">
        <v>198</v>
      </c>
    </row>
    <row r="105" spans="2:11">
      <c r="B105" t="s">
        <v>201</v>
      </c>
      <c r="F105">
        <v>2</v>
      </c>
      <c r="G105" t="s">
        <v>202</v>
      </c>
    </row>
    <row r="106" spans="2:11">
      <c r="B106" t="s">
        <v>203</v>
      </c>
    </row>
    <row r="107" spans="2:11">
      <c r="B107" t="s">
        <v>204</v>
      </c>
    </row>
    <row r="108" spans="2:11">
      <c r="B108" t="s">
        <v>205</v>
      </c>
    </row>
  </sheetData>
  <mergeCells count="13">
    <mergeCell ref="D5:E5"/>
    <mergeCell ref="I5:J5"/>
    <mergeCell ref="F5:G5"/>
    <mergeCell ref="B6:B9"/>
    <mergeCell ref="C6:C9"/>
    <mergeCell ref="B75:B76"/>
    <mergeCell ref="D40:E40"/>
    <mergeCell ref="F40:G40"/>
    <mergeCell ref="I40:J40"/>
    <mergeCell ref="B41:B44"/>
    <mergeCell ref="C41:C44"/>
    <mergeCell ref="E75:F75"/>
    <mergeCell ref="C75:D75"/>
  </mergeCells>
  <pageMargins left="0.27" right="0.21" top="0.75" bottom="0.75" header="0.3" footer="0.3"/>
  <pageSetup orientation="landscape"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Horti dominan sayur buah</vt:lpstr>
      <vt:lpstr>data</vt:lpstr>
      <vt:lpstr>EF peternakan</vt:lpstr>
      <vt:lpstr>Peternakan-CH4</vt:lpstr>
      <vt:lpstr>Peternakan-N2O</vt:lpstr>
      <vt:lpstr>REKAP PETERNAKAN</vt:lpstr>
      <vt:lpstr>EF&amp;SF lahan sawah</vt:lpstr>
      <vt:lpstr>proses bau baseline pertanian</vt:lpstr>
      <vt:lpstr>Lahan sawah</vt:lpstr>
      <vt:lpstr>EF pupuk-kapur</vt:lpstr>
      <vt:lpstr>Kapur pertanian-CO2</vt:lpstr>
      <vt:lpstr>Pupuk Urea-CO2</vt:lpstr>
      <vt:lpstr>Direct N2O</vt:lpstr>
      <vt:lpstr>Perhitungan ke CO2-eq</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dc:creator>
  <cp:lastModifiedBy>GIGABYTE</cp:lastModifiedBy>
  <cp:lastPrinted>2012-09-08T20:51:12Z</cp:lastPrinted>
  <dcterms:created xsi:type="dcterms:W3CDTF">2012-08-01T00:54:49Z</dcterms:created>
  <dcterms:modified xsi:type="dcterms:W3CDTF">2017-03-20T06:15:35Z</dcterms:modified>
</cp:coreProperties>
</file>