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f2b9aa2aaf898ec/Documents/EE/Projects/2stageCMOSOpAmp/"/>
    </mc:Choice>
  </mc:AlternateContent>
  <xr:revisionPtr revIDLastSave="48" documentId="11_F25DC773A252ABDACC1048BC29DA792C5BDE58E8" xr6:coauthVersionLast="47" xr6:coauthVersionMax="47" xr10:uidLastSave="{4AAD81E0-A3C8-44BF-8412-0EB4BCFAD443}"/>
  <bookViews>
    <workbookView xWindow="-110" yWindow="-110" windowWidth="19420" windowHeight="11020" activeTab="1" xr2:uid="{00000000-000D-0000-FFFF-FFFF00000000}"/>
  </bookViews>
  <sheets>
    <sheet name="C_c=0.45pF" sheetId="1" r:id="rId1"/>
    <sheet name="C_c=0.8pF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3" l="1"/>
  <c r="C32" i="3" s="1"/>
  <c r="G28" i="3"/>
  <c r="G29" i="3" s="1"/>
  <c r="C23" i="3"/>
  <c r="G22" i="3"/>
  <c r="C20" i="3"/>
  <c r="C27" i="3" s="1"/>
  <c r="K16" i="3"/>
  <c r="C16" i="3"/>
  <c r="K15" i="3"/>
  <c r="G15" i="3"/>
  <c r="G16" i="3" s="1"/>
  <c r="G17" i="3" s="1"/>
  <c r="G28" i="1"/>
  <c r="G22" i="1"/>
  <c r="C23" i="1"/>
  <c r="K16" i="1"/>
  <c r="K15" i="1"/>
  <c r="G15" i="1"/>
  <c r="G16" i="1" s="1"/>
  <c r="G17" i="1" s="1"/>
  <c r="C31" i="1"/>
  <c r="C32" i="1" s="1"/>
  <c r="C20" i="1"/>
  <c r="G21" i="1" s="1"/>
  <c r="C16" i="1"/>
  <c r="G21" i="3" l="1"/>
  <c r="G23" i="3" s="1"/>
  <c r="C27" i="1"/>
  <c r="G23" i="1"/>
  <c r="G29" i="1"/>
</calcChain>
</file>

<file path=xl/sharedStrings.xml><?xml version="1.0" encoding="utf-8"?>
<sst xmlns="http://schemas.openxmlformats.org/spreadsheetml/2006/main" count="182" uniqueCount="55">
  <si>
    <t>Parameter</t>
  </si>
  <si>
    <t>Value</t>
  </si>
  <si>
    <t>Unit</t>
  </si>
  <si>
    <t>DC Gain</t>
  </si>
  <si>
    <t>GBW</t>
  </si>
  <si>
    <t>Phase Margin</t>
  </si>
  <si>
    <t>C_L</t>
  </si>
  <si>
    <t>SR</t>
  </si>
  <si>
    <t>dB</t>
  </si>
  <si>
    <t>MHz</t>
  </si>
  <si>
    <t>deg</t>
  </si>
  <si>
    <t>V</t>
  </si>
  <si>
    <t>pF</t>
  </si>
  <si>
    <t>V/us</t>
  </si>
  <si>
    <t>VDD</t>
  </si>
  <si>
    <t>VSS</t>
  </si>
  <si>
    <t>for a phase margin of 60,</t>
  </si>
  <si>
    <t>C_c</t>
  </si>
  <si>
    <t>C_c &gt;=</t>
  </si>
  <si>
    <t>g_m1</t>
  </si>
  <si>
    <t>uS</t>
  </si>
  <si>
    <t>&lt;- Siemens</t>
  </si>
  <si>
    <t>tail current, I5</t>
  </si>
  <si>
    <t>compensation cap, C_c</t>
  </si>
  <si>
    <t>M1 transconductance, g_m1</t>
  </si>
  <si>
    <t>I5</t>
  </si>
  <si>
    <t>uA</t>
  </si>
  <si>
    <t>unCox</t>
  </si>
  <si>
    <t>u</t>
  </si>
  <si>
    <t>upCox</t>
  </si>
  <si>
    <t>-</t>
  </si>
  <si>
    <t>W/L for M1, M2</t>
  </si>
  <si>
    <t>W/L for M3, M4</t>
  </si>
  <si>
    <t>ICMR (min)</t>
  </si>
  <si>
    <t>ICMR (max)</t>
  </si>
  <si>
    <t>min Vsg3</t>
  </si>
  <si>
    <t>S3, S4</t>
  </si>
  <si>
    <t>S1, S2</t>
  </si>
  <si>
    <t>W/L for M5</t>
  </si>
  <si>
    <t>b1</t>
  </si>
  <si>
    <t>Vds5(sat)</t>
  </si>
  <si>
    <t>S5</t>
  </si>
  <si>
    <t>Vtp (max)</t>
  </si>
  <si>
    <t>Vtn(max)</t>
  </si>
  <si>
    <t>Vtn (min)</t>
  </si>
  <si>
    <t>gm6</t>
  </si>
  <si>
    <t>S6</t>
  </si>
  <si>
    <t>gm4</t>
  </si>
  <si>
    <t>S7</t>
  </si>
  <si>
    <t>I6</t>
  </si>
  <si>
    <t>Balance conditions</t>
  </si>
  <si>
    <t>S6/S4</t>
  </si>
  <si>
    <t>2*S7/S5</t>
  </si>
  <si>
    <t>W/L for M6</t>
  </si>
  <si>
    <t>W/L for 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</si>
</sst>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"/>
  <sheetViews>
    <sheetView topLeftCell="A13" workbookViewId="0">
      <selection activeCell="C9" sqref="C9"/>
    </sheetView>
  </sheetViews>
  <sheetFormatPr defaultRowHeight="14.5" x14ac:dyDescent="0.35"/>
  <cols>
    <col min="1" max="1" width="8.7265625" style="1"/>
    <col min="2" max="2" width="12.26953125" style="1" bestFit="1" customWidth="1"/>
    <col min="3" max="3" width="10.81640625" style="1" bestFit="1" customWidth="1"/>
    <col min="4" max="4" width="8.7265625" style="1"/>
    <col min="5" max="6" width="10.1796875" style="1" bestFit="1" customWidth="1"/>
    <col min="7" max="7" width="11.81640625" style="1" bestFit="1" customWidth="1"/>
    <col min="8" max="16384" width="8.7265625" style="1"/>
  </cols>
  <sheetData>
    <row r="2" spans="2:12" x14ac:dyDescent="0.35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2</v>
      </c>
    </row>
    <row r="3" spans="2:12" x14ac:dyDescent="0.35">
      <c r="B3" s="1" t="s">
        <v>3</v>
      </c>
      <c r="C3" s="1">
        <v>50</v>
      </c>
      <c r="D3" s="1" t="s">
        <v>8</v>
      </c>
      <c r="F3" s="1" t="s">
        <v>27</v>
      </c>
      <c r="G3" s="1">
        <v>240</v>
      </c>
      <c r="H3" s="1" t="s">
        <v>28</v>
      </c>
    </row>
    <row r="4" spans="2:12" x14ac:dyDescent="0.35">
      <c r="B4" s="1" t="s">
        <v>4</v>
      </c>
      <c r="C4" s="1">
        <v>5</v>
      </c>
      <c r="D4" s="1" t="s">
        <v>9</v>
      </c>
      <c r="F4" s="1" t="s">
        <v>29</v>
      </c>
      <c r="G4" s="1">
        <v>70</v>
      </c>
      <c r="H4" s="1" t="s">
        <v>28</v>
      </c>
    </row>
    <row r="5" spans="2:12" x14ac:dyDescent="0.35">
      <c r="B5" s="1" t="s">
        <v>5</v>
      </c>
      <c r="C5" s="1">
        <v>60</v>
      </c>
      <c r="D5" s="1" t="s">
        <v>10</v>
      </c>
      <c r="F5" s="1" t="s">
        <v>44</v>
      </c>
      <c r="G5" s="1">
        <v>0.6</v>
      </c>
      <c r="H5" s="1" t="s">
        <v>11</v>
      </c>
    </row>
    <row r="6" spans="2:12" x14ac:dyDescent="0.35">
      <c r="B6" s="1" t="s">
        <v>33</v>
      </c>
      <c r="C6" s="1">
        <v>0.8</v>
      </c>
      <c r="D6" s="1" t="s">
        <v>11</v>
      </c>
      <c r="F6" s="1" t="s">
        <v>43</v>
      </c>
      <c r="G6" s="1">
        <v>0.62</v>
      </c>
      <c r="H6" s="1" t="s">
        <v>11</v>
      </c>
    </row>
    <row r="7" spans="2:12" x14ac:dyDescent="0.35">
      <c r="B7" s="1" t="s">
        <v>34</v>
      </c>
      <c r="C7" s="1">
        <v>1.2</v>
      </c>
      <c r="D7" s="1" t="s">
        <v>11</v>
      </c>
      <c r="F7" s="1" t="s">
        <v>42</v>
      </c>
      <c r="G7" s="1">
        <v>0.65</v>
      </c>
      <c r="H7" s="1" t="s">
        <v>11</v>
      </c>
    </row>
    <row r="8" spans="2:12" x14ac:dyDescent="0.35">
      <c r="B8" s="1" t="s">
        <v>6</v>
      </c>
      <c r="C8" s="1">
        <v>2</v>
      </c>
      <c r="D8" s="1" t="s">
        <v>12</v>
      </c>
    </row>
    <row r="9" spans="2:12" x14ac:dyDescent="0.35">
      <c r="B9" s="1" t="s">
        <v>7</v>
      </c>
      <c r="C9" s="1">
        <v>10</v>
      </c>
      <c r="D9" s="1" t="s">
        <v>13</v>
      </c>
    </row>
    <row r="10" spans="2:12" x14ac:dyDescent="0.35">
      <c r="B10" s="1" t="s">
        <v>14</v>
      </c>
      <c r="C10" s="1">
        <v>1.8</v>
      </c>
      <c r="D10" s="1" t="s">
        <v>11</v>
      </c>
    </row>
    <row r="11" spans="2:12" x14ac:dyDescent="0.35">
      <c r="B11" s="1" t="s">
        <v>15</v>
      </c>
      <c r="C11" s="1">
        <v>-1.8</v>
      </c>
      <c r="D11" s="1" t="s">
        <v>11</v>
      </c>
    </row>
    <row r="14" spans="2:12" x14ac:dyDescent="0.35">
      <c r="B14" s="3" t="s">
        <v>23</v>
      </c>
      <c r="C14" s="3"/>
      <c r="D14" s="3"/>
      <c r="F14" s="3" t="s">
        <v>38</v>
      </c>
      <c r="G14" s="3"/>
      <c r="H14" s="3"/>
      <c r="J14" s="3" t="s">
        <v>50</v>
      </c>
      <c r="K14" s="3"/>
      <c r="L14" s="3"/>
    </row>
    <row r="15" spans="2:12" x14ac:dyDescent="0.35">
      <c r="B15" s="4" t="s">
        <v>16</v>
      </c>
      <c r="C15" s="4"/>
      <c r="D15" s="4"/>
      <c r="F15" s="1" t="s">
        <v>39</v>
      </c>
      <c r="G15" s="1">
        <f>((G3*10^-6)*C28)</f>
        <v>7.1999999999999988E-5</v>
      </c>
      <c r="H15" s="1" t="s">
        <v>30</v>
      </c>
      <c r="J15" s="1" t="s">
        <v>51</v>
      </c>
      <c r="K15" s="1">
        <f>(G24/C33)</f>
        <v>20</v>
      </c>
      <c r="L15" s="1" t="s">
        <v>30</v>
      </c>
    </row>
    <row r="16" spans="2:12" x14ac:dyDescent="0.35">
      <c r="B16" s="1" t="s">
        <v>18</v>
      </c>
      <c r="C16" s="1">
        <f>(0.22*C8)</f>
        <v>0.44</v>
      </c>
      <c r="D16" s="1" t="s">
        <v>12</v>
      </c>
      <c r="F16" s="1" t="s">
        <v>40</v>
      </c>
      <c r="G16" s="1">
        <f>(C6-ABS(SQRT((C24*10^-6)/G15)-G6))</f>
        <v>0.44352313834736501</v>
      </c>
      <c r="H16" s="1" t="s">
        <v>11</v>
      </c>
      <c r="J16" s="1" t="s">
        <v>52</v>
      </c>
      <c r="K16" s="1">
        <f>(2*G30/G18)</f>
        <v>20</v>
      </c>
      <c r="L16" s="1" t="s">
        <v>30</v>
      </c>
    </row>
    <row r="17" spans="2:8" x14ac:dyDescent="0.35">
      <c r="B17" s="1" t="s">
        <v>17</v>
      </c>
      <c r="C17" s="1">
        <v>0.45</v>
      </c>
      <c r="D17" s="1" t="s">
        <v>12</v>
      </c>
      <c r="F17" s="1" t="s">
        <v>41</v>
      </c>
      <c r="G17" s="1">
        <f>((C24*10^-6)/((G3*10^-6)*(G16)^2))</f>
        <v>0.10590737389992722</v>
      </c>
      <c r="H17" s="1" t="s">
        <v>30</v>
      </c>
    </row>
    <row r="18" spans="2:8" x14ac:dyDescent="0.35">
      <c r="F18" s="1" t="s">
        <v>41</v>
      </c>
      <c r="G18" s="1">
        <v>0.2</v>
      </c>
      <c r="H18" s="1" t="s">
        <v>30</v>
      </c>
    </row>
    <row r="19" spans="2:8" x14ac:dyDescent="0.35">
      <c r="B19" s="3" t="s">
        <v>24</v>
      </c>
      <c r="C19" s="3"/>
      <c r="D19" s="3"/>
    </row>
    <row r="20" spans="2:8" x14ac:dyDescent="0.35">
      <c r="B20" s="1" t="s">
        <v>19</v>
      </c>
      <c r="C20" s="1">
        <f>(((C4*10^6) *(C17*10^-12)*2*PI())*1000000)</f>
        <v>14.137166941154069</v>
      </c>
      <c r="D20" s="1" t="s">
        <v>20</v>
      </c>
      <c r="E20" s="1" t="s">
        <v>21</v>
      </c>
      <c r="F20" s="3" t="s">
        <v>53</v>
      </c>
      <c r="G20" s="3"/>
      <c r="H20" s="3"/>
    </row>
    <row r="21" spans="2:8" x14ac:dyDescent="0.35">
      <c r="F21" s="1" t="s">
        <v>45</v>
      </c>
      <c r="G21" s="1">
        <f>(10*C20)</f>
        <v>141.37166941154069</v>
      </c>
      <c r="H21" s="1" t="s">
        <v>20</v>
      </c>
    </row>
    <row r="22" spans="2:8" x14ac:dyDescent="0.35">
      <c r="B22" s="3" t="s">
        <v>22</v>
      </c>
      <c r="C22" s="3"/>
      <c r="D22" s="3"/>
      <c r="F22" s="1" t="s">
        <v>47</v>
      </c>
      <c r="G22" s="1">
        <f>(SQRT((G4*10^-6)*(C24*10^-6)*(C33))*1000000)</f>
        <v>11.83215956619923</v>
      </c>
      <c r="H22" s="1" t="s">
        <v>20</v>
      </c>
    </row>
    <row r="23" spans="2:8" x14ac:dyDescent="0.35">
      <c r="B23" s="1" t="s">
        <v>25</v>
      </c>
      <c r="C23" s="1">
        <f>(((C9*10^6)*(C17*10^-12))*1000000)</f>
        <v>4.5</v>
      </c>
      <c r="D23" s="1" t="s">
        <v>26</v>
      </c>
      <c r="F23" s="1" t="s">
        <v>46</v>
      </c>
      <c r="G23" s="1">
        <f>(G21/G22*C33)</f>
        <v>4.7792347160494764</v>
      </c>
      <c r="H23" s="1" t="s">
        <v>30</v>
      </c>
    </row>
    <row r="24" spans="2:8" x14ac:dyDescent="0.35">
      <c r="B24" s="1" t="s">
        <v>25</v>
      </c>
      <c r="C24" s="1">
        <v>5</v>
      </c>
      <c r="D24" s="1" t="s">
        <v>26</v>
      </c>
      <c r="F24" s="1" t="s">
        <v>46</v>
      </c>
      <c r="G24" s="1">
        <v>8</v>
      </c>
      <c r="H24" s="1" t="s">
        <v>30</v>
      </c>
    </row>
    <row r="26" spans="2:8" x14ac:dyDescent="0.35">
      <c r="B26" s="3" t="s">
        <v>31</v>
      </c>
      <c r="C26" s="3"/>
      <c r="D26" s="3"/>
    </row>
    <row r="27" spans="2:8" x14ac:dyDescent="0.35">
      <c r="B27" s="1" t="s">
        <v>37</v>
      </c>
      <c r="C27" s="1">
        <f>((C20*10^-6)^2/((G3*10^-6)*(C24*10^-6)))</f>
        <v>0.16654957426838293</v>
      </c>
      <c r="D27" s="1" t="s">
        <v>30</v>
      </c>
      <c r="F27" s="3" t="s">
        <v>54</v>
      </c>
      <c r="G27" s="3"/>
      <c r="H27" s="3"/>
    </row>
    <row r="28" spans="2:8" x14ac:dyDescent="0.35">
      <c r="B28" s="1" t="s">
        <v>37</v>
      </c>
      <c r="C28" s="1">
        <v>0.3</v>
      </c>
      <c r="D28" s="1" t="s">
        <v>30</v>
      </c>
      <c r="F28" s="1" t="s">
        <v>49</v>
      </c>
      <c r="G28" s="1">
        <f>(G24/C33*(0.5*C24*10^-6)*1000000)</f>
        <v>49.999999999999993</v>
      </c>
      <c r="H28" s="1" t="s">
        <v>26</v>
      </c>
    </row>
    <row r="29" spans="2:8" x14ac:dyDescent="0.35">
      <c r="F29" s="1" t="s">
        <v>48</v>
      </c>
      <c r="G29" s="1">
        <f>((G28*10^-6)/(C23*10^-6)*G18)</f>
        <v>2.2222222222222219</v>
      </c>
      <c r="H29" s="1" t="s">
        <v>30</v>
      </c>
    </row>
    <row r="30" spans="2:8" x14ac:dyDescent="0.35">
      <c r="B30" s="3" t="s">
        <v>32</v>
      </c>
      <c r="C30" s="3"/>
      <c r="D30" s="3"/>
      <c r="F30" s="1" t="s">
        <v>48</v>
      </c>
      <c r="G30" s="1">
        <v>2</v>
      </c>
      <c r="H30" s="1" t="s">
        <v>30</v>
      </c>
    </row>
    <row r="31" spans="2:8" x14ac:dyDescent="0.35">
      <c r="B31" s="1" t="s">
        <v>35</v>
      </c>
      <c r="C31" s="1">
        <f>(C10-C7+G5)</f>
        <v>1.2000000000000002</v>
      </c>
      <c r="D31" s="1" t="s">
        <v>11</v>
      </c>
    </row>
    <row r="32" spans="2:8" x14ac:dyDescent="0.35">
      <c r="B32" s="1" t="s">
        <v>36</v>
      </c>
      <c r="C32" s="1">
        <f>((C24*10^-6)/((G4*10^-6)*(C31-G7)^2))</f>
        <v>0.23612750885478145</v>
      </c>
      <c r="D32" s="1" t="s">
        <v>30</v>
      </c>
    </row>
    <row r="33" spans="2:4" x14ac:dyDescent="0.35">
      <c r="B33" s="1" t="s">
        <v>36</v>
      </c>
      <c r="C33" s="1">
        <v>0.4</v>
      </c>
      <c r="D33" s="1" t="s">
        <v>30</v>
      </c>
    </row>
  </sheetData>
  <mergeCells count="10">
    <mergeCell ref="B30:D30"/>
    <mergeCell ref="F14:H14"/>
    <mergeCell ref="J14:L14"/>
    <mergeCell ref="F27:H27"/>
    <mergeCell ref="F20:H20"/>
    <mergeCell ref="B15:D15"/>
    <mergeCell ref="B14:D14"/>
    <mergeCell ref="B19:D19"/>
    <mergeCell ref="B22:D22"/>
    <mergeCell ref="B26:D26"/>
  </mergeCells>
  <conditionalFormatting sqref="J15:L16">
    <cfRule type="expression" dxfId="1" priority="1">
      <formula>$K$15&lt;&gt;$K$16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76D5-F438-43BA-8C36-C869923F584F}">
  <dimension ref="B2:L33"/>
  <sheetViews>
    <sheetView tabSelected="1" topLeftCell="A8" workbookViewId="0">
      <selection activeCell="C9" sqref="C9"/>
    </sheetView>
  </sheetViews>
  <sheetFormatPr defaultRowHeight="14.5" x14ac:dyDescent="0.35"/>
  <cols>
    <col min="1" max="1" width="8.7265625" style="1"/>
    <col min="2" max="2" width="12.26953125" style="1" bestFit="1" customWidth="1"/>
    <col min="3" max="3" width="10.81640625" style="1" bestFit="1" customWidth="1"/>
    <col min="4" max="4" width="8.7265625" style="1"/>
    <col min="5" max="6" width="10.1796875" style="1" bestFit="1" customWidth="1"/>
    <col min="7" max="7" width="11.81640625" style="1" bestFit="1" customWidth="1"/>
    <col min="8" max="16384" width="8.7265625" style="1"/>
  </cols>
  <sheetData>
    <row r="2" spans="2:12" x14ac:dyDescent="0.35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2</v>
      </c>
    </row>
    <row r="3" spans="2:12" x14ac:dyDescent="0.35">
      <c r="B3" s="1" t="s">
        <v>3</v>
      </c>
      <c r="C3" s="1">
        <v>50</v>
      </c>
      <c r="D3" s="1" t="s">
        <v>8</v>
      </c>
      <c r="F3" s="1" t="s">
        <v>27</v>
      </c>
      <c r="G3" s="1">
        <v>240</v>
      </c>
      <c r="H3" s="1" t="s">
        <v>28</v>
      </c>
    </row>
    <row r="4" spans="2:12" x14ac:dyDescent="0.35">
      <c r="B4" s="1" t="s">
        <v>4</v>
      </c>
      <c r="C4" s="1">
        <v>5</v>
      </c>
      <c r="D4" s="1" t="s">
        <v>9</v>
      </c>
      <c r="F4" s="1" t="s">
        <v>29</v>
      </c>
      <c r="G4" s="1">
        <v>70</v>
      </c>
      <c r="H4" s="1" t="s">
        <v>28</v>
      </c>
    </row>
    <row r="5" spans="2:12" x14ac:dyDescent="0.35">
      <c r="B5" s="1" t="s">
        <v>5</v>
      </c>
      <c r="C5" s="1">
        <v>60</v>
      </c>
      <c r="D5" s="1" t="s">
        <v>10</v>
      </c>
      <c r="F5" s="1" t="s">
        <v>44</v>
      </c>
      <c r="G5" s="1">
        <v>0.6</v>
      </c>
      <c r="H5" s="1" t="s">
        <v>11</v>
      </c>
    </row>
    <row r="6" spans="2:12" x14ac:dyDescent="0.35">
      <c r="B6" s="1" t="s">
        <v>33</v>
      </c>
      <c r="C6" s="1">
        <v>0.8</v>
      </c>
      <c r="D6" s="1" t="s">
        <v>11</v>
      </c>
      <c r="F6" s="1" t="s">
        <v>43</v>
      </c>
      <c r="G6" s="1">
        <v>0.62</v>
      </c>
      <c r="H6" s="1" t="s">
        <v>11</v>
      </c>
    </row>
    <row r="7" spans="2:12" x14ac:dyDescent="0.35">
      <c r="B7" s="1" t="s">
        <v>34</v>
      </c>
      <c r="C7" s="1">
        <v>1.2</v>
      </c>
      <c r="D7" s="1" t="s">
        <v>11</v>
      </c>
      <c r="F7" s="1" t="s">
        <v>42</v>
      </c>
      <c r="G7" s="1">
        <v>0.65</v>
      </c>
      <c r="H7" s="1" t="s">
        <v>11</v>
      </c>
    </row>
    <row r="8" spans="2:12" x14ac:dyDescent="0.35">
      <c r="B8" s="1" t="s">
        <v>6</v>
      </c>
      <c r="C8" s="1">
        <v>2</v>
      </c>
      <c r="D8" s="1" t="s">
        <v>12</v>
      </c>
    </row>
    <row r="9" spans="2:12" x14ac:dyDescent="0.35">
      <c r="B9" s="1" t="s">
        <v>7</v>
      </c>
      <c r="C9" s="1">
        <v>10</v>
      </c>
      <c r="D9" s="1" t="s">
        <v>13</v>
      </c>
    </row>
    <row r="10" spans="2:12" x14ac:dyDescent="0.35">
      <c r="B10" s="1" t="s">
        <v>14</v>
      </c>
      <c r="C10" s="1">
        <v>1.8</v>
      </c>
      <c r="D10" s="1" t="s">
        <v>11</v>
      </c>
    </row>
    <row r="11" spans="2:12" x14ac:dyDescent="0.35">
      <c r="B11" s="1" t="s">
        <v>15</v>
      </c>
      <c r="C11" s="1">
        <v>-1.8</v>
      </c>
      <c r="D11" s="1" t="s">
        <v>11</v>
      </c>
    </row>
    <row r="14" spans="2:12" x14ac:dyDescent="0.35">
      <c r="B14" s="3" t="s">
        <v>23</v>
      </c>
      <c r="C14" s="3"/>
      <c r="D14" s="3"/>
      <c r="F14" s="3" t="s">
        <v>38</v>
      </c>
      <c r="G14" s="3"/>
      <c r="H14" s="3"/>
      <c r="J14" s="3" t="s">
        <v>50</v>
      </c>
      <c r="K14" s="3"/>
      <c r="L14" s="3"/>
    </row>
    <row r="15" spans="2:12" x14ac:dyDescent="0.35">
      <c r="B15" s="4" t="s">
        <v>16</v>
      </c>
      <c r="C15" s="4"/>
      <c r="D15" s="4"/>
      <c r="F15" s="1" t="s">
        <v>39</v>
      </c>
      <c r="G15" s="1">
        <f>((G3*10^-6)*C28)</f>
        <v>9.6000000000000002E-5</v>
      </c>
      <c r="H15" s="1" t="s">
        <v>30</v>
      </c>
      <c r="J15" s="1" t="s">
        <v>51</v>
      </c>
      <c r="K15" s="1">
        <f>(G24/C33)</f>
        <v>20</v>
      </c>
      <c r="L15" s="1" t="s">
        <v>30</v>
      </c>
    </row>
    <row r="16" spans="2:12" x14ac:dyDescent="0.35">
      <c r="B16" s="1" t="s">
        <v>18</v>
      </c>
      <c r="C16" s="1">
        <f>(0.22*C8)</f>
        <v>0.44</v>
      </c>
      <c r="D16" s="1" t="s">
        <v>12</v>
      </c>
      <c r="F16" s="1" t="s">
        <v>40</v>
      </c>
      <c r="G16" s="1">
        <f>(C6-ABS(SQRT((C24*10^-6)/G15)-G6))</f>
        <v>0.46867513459481291</v>
      </c>
      <c r="H16" s="1" t="s">
        <v>11</v>
      </c>
      <c r="J16" s="1" t="s">
        <v>52</v>
      </c>
      <c r="K16" s="1">
        <f>(2*G30/G18)</f>
        <v>20</v>
      </c>
      <c r="L16" s="1" t="s">
        <v>30</v>
      </c>
    </row>
    <row r="17" spans="2:8" x14ac:dyDescent="0.35">
      <c r="B17" s="1" t="s">
        <v>17</v>
      </c>
      <c r="C17" s="1">
        <v>0.8</v>
      </c>
      <c r="D17" s="1" t="s">
        <v>12</v>
      </c>
      <c r="F17" s="1" t="s">
        <v>41</v>
      </c>
      <c r="G17" s="1">
        <f>((C24*10^-6)/((G3*10^-6)*(G16)^2))</f>
        <v>0.15175217338135813</v>
      </c>
      <c r="H17" s="1" t="s">
        <v>30</v>
      </c>
    </row>
    <row r="18" spans="2:8" x14ac:dyDescent="0.35">
      <c r="F18" s="1" t="s">
        <v>41</v>
      </c>
      <c r="G18" s="1">
        <v>0.2</v>
      </c>
      <c r="H18" s="1" t="s">
        <v>30</v>
      </c>
    </row>
    <row r="19" spans="2:8" x14ac:dyDescent="0.35">
      <c r="B19" s="3" t="s">
        <v>24</v>
      </c>
      <c r="C19" s="3"/>
      <c r="D19" s="3"/>
    </row>
    <row r="20" spans="2:8" x14ac:dyDescent="0.35">
      <c r="B20" s="1" t="s">
        <v>19</v>
      </c>
      <c r="C20" s="1">
        <f>(((C4*10^6) *(C17*10^-12)*2*PI())*1000000)</f>
        <v>25.132741228718345</v>
      </c>
      <c r="D20" s="1" t="s">
        <v>20</v>
      </c>
      <c r="E20" s="1" t="s">
        <v>21</v>
      </c>
      <c r="F20" s="3" t="s">
        <v>53</v>
      </c>
      <c r="G20" s="3"/>
      <c r="H20" s="3"/>
    </row>
    <row r="21" spans="2:8" x14ac:dyDescent="0.35">
      <c r="F21" s="1" t="s">
        <v>45</v>
      </c>
      <c r="G21" s="1">
        <f>(10*C20)</f>
        <v>251.32741228718345</v>
      </c>
      <c r="H21" s="1" t="s">
        <v>20</v>
      </c>
    </row>
    <row r="22" spans="2:8" x14ac:dyDescent="0.35">
      <c r="B22" s="3" t="s">
        <v>22</v>
      </c>
      <c r="C22" s="3"/>
      <c r="D22" s="3"/>
      <c r="F22" s="1" t="s">
        <v>47</v>
      </c>
      <c r="G22" s="1">
        <f>(SQRT((G4*10^-6)*(C24*10^-6)*(C33))*1000000)</f>
        <v>14.966629547095764</v>
      </c>
      <c r="H22" s="1" t="s">
        <v>20</v>
      </c>
    </row>
    <row r="23" spans="2:8" x14ac:dyDescent="0.35">
      <c r="B23" s="1" t="s">
        <v>25</v>
      </c>
      <c r="C23" s="1">
        <f>(((C9*10^6)*(C17*10^-12))*1000000)</f>
        <v>8</v>
      </c>
      <c r="D23" s="1" t="s">
        <v>26</v>
      </c>
      <c r="F23" s="1" t="s">
        <v>46</v>
      </c>
      <c r="G23" s="1">
        <f>(G21/G22*C33)</f>
        <v>6.7170076334508568</v>
      </c>
      <c r="H23" s="1" t="s">
        <v>30</v>
      </c>
    </row>
    <row r="24" spans="2:8" x14ac:dyDescent="0.35">
      <c r="B24" s="1" t="s">
        <v>25</v>
      </c>
      <c r="C24" s="1">
        <v>8</v>
      </c>
      <c r="D24" s="1" t="s">
        <v>26</v>
      </c>
      <c r="F24" s="1" t="s">
        <v>46</v>
      </c>
      <c r="G24" s="1">
        <v>8</v>
      </c>
      <c r="H24" s="1" t="s">
        <v>30</v>
      </c>
    </row>
    <row r="26" spans="2:8" x14ac:dyDescent="0.35">
      <c r="B26" s="3" t="s">
        <v>31</v>
      </c>
      <c r="C26" s="3"/>
      <c r="D26" s="3"/>
    </row>
    <row r="27" spans="2:8" x14ac:dyDescent="0.35">
      <c r="B27" s="1" t="s">
        <v>37</v>
      </c>
      <c r="C27" s="1">
        <f>((C20*10^-6)^2/((G3*10^-6)*(C24*10^-6)))</f>
        <v>0.3289868133696453</v>
      </c>
      <c r="D27" s="1" t="s">
        <v>30</v>
      </c>
      <c r="F27" s="3" t="s">
        <v>54</v>
      </c>
      <c r="G27" s="3"/>
      <c r="H27" s="3"/>
    </row>
    <row r="28" spans="2:8" x14ac:dyDescent="0.35">
      <c r="B28" s="1" t="s">
        <v>37</v>
      </c>
      <c r="C28" s="1">
        <v>0.4</v>
      </c>
      <c r="D28" s="1" t="s">
        <v>30</v>
      </c>
      <c r="F28" s="1" t="s">
        <v>49</v>
      </c>
      <c r="G28" s="1">
        <f>(G24/C33*(0.5*C24*10^-6)*1000000)</f>
        <v>80</v>
      </c>
      <c r="H28" s="1" t="s">
        <v>26</v>
      </c>
    </row>
    <row r="29" spans="2:8" x14ac:dyDescent="0.35">
      <c r="F29" s="1" t="s">
        <v>48</v>
      </c>
      <c r="G29" s="1">
        <f>((G28*10^-6)/(C23*10^-6)*G18)</f>
        <v>2</v>
      </c>
      <c r="H29" s="1" t="s">
        <v>30</v>
      </c>
    </row>
    <row r="30" spans="2:8" x14ac:dyDescent="0.35">
      <c r="B30" s="3" t="s">
        <v>32</v>
      </c>
      <c r="C30" s="3"/>
      <c r="D30" s="3"/>
      <c r="F30" s="1" t="s">
        <v>48</v>
      </c>
      <c r="G30" s="1">
        <v>2</v>
      </c>
      <c r="H30" s="1" t="s">
        <v>30</v>
      </c>
    </row>
    <row r="31" spans="2:8" x14ac:dyDescent="0.35">
      <c r="B31" s="1" t="s">
        <v>35</v>
      </c>
      <c r="C31" s="1">
        <f>(C10-C7+G5)</f>
        <v>1.2000000000000002</v>
      </c>
      <c r="D31" s="1" t="s">
        <v>11</v>
      </c>
    </row>
    <row r="32" spans="2:8" x14ac:dyDescent="0.35">
      <c r="B32" s="1" t="s">
        <v>36</v>
      </c>
      <c r="C32" s="1">
        <f>((C24*10^-6)/((G4*10^-6)*(C31-G7)^2))</f>
        <v>0.37780401416765036</v>
      </c>
      <c r="D32" s="1" t="s">
        <v>30</v>
      </c>
    </row>
    <row r="33" spans="2:4" x14ac:dyDescent="0.35">
      <c r="B33" s="1" t="s">
        <v>36</v>
      </c>
      <c r="C33" s="1">
        <v>0.4</v>
      </c>
      <c r="D33" s="1" t="s">
        <v>30</v>
      </c>
    </row>
  </sheetData>
  <mergeCells count="10">
    <mergeCell ref="J14:L14"/>
    <mergeCell ref="B15:D15"/>
    <mergeCell ref="B19:D19"/>
    <mergeCell ref="F20:H20"/>
    <mergeCell ref="B22:D22"/>
    <mergeCell ref="B26:D26"/>
    <mergeCell ref="F27:H27"/>
    <mergeCell ref="B30:D30"/>
    <mergeCell ref="B14:D14"/>
    <mergeCell ref="F14:H14"/>
  </mergeCells>
  <conditionalFormatting sqref="J15:L16">
    <cfRule type="expression" dxfId="0" priority="1">
      <formula>$K$15&lt;&gt;$K$16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C_c=0.45pF</vt:lpstr>
      <vt:lpstr>C_c=0.8pF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Teck An</dc:creator>
  <cp:lastModifiedBy>Wei Teck An</cp:lastModifiedBy>
  <dcterms:created xsi:type="dcterms:W3CDTF">2015-06-05T18:17:20Z</dcterms:created>
  <dcterms:modified xsi:type="dcterms:W3CDTF">2025-08-17T13:14:56Z</dcterms:modified>
</cp:coreProperties>
</file>