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Anxo\Desktop\"/>
    </mc:Choice>
  </mc:AlternateContent>
  <xr:revisionPtr revIDLastSave="0" documentId="8_{131F2D9C-32DB-4611-ADEC-2DCE61FD1672}" xr6:coauthVersionLast="47" xr6:coauthVersionMax="47" xr10:uidLastSave="{00000000-0000-0000-0000-000000000000}"/>
  <bookViews>
    <workbookView xWindow="-110" yWindow="-110" windowWidth="38620" windowHeight="21220" activeTab="4" xr2:uid="{00000000-000D-0000-FFFF-FFFF00000000}"/>
  </bookViews>
  <sheets>
    <sheet name="Ideal" sheetId="1" r:id="rId1"/>
    <sheet name="Virial" sheetId="2" r:id="rId2"/>
    <sheet name="Van der Waals" sheetId="3" r:id="rId3"/>
    <sheet name="Soave-Radlich-Kwong" sheetId="4" r:id="rId4"/>
    <sheet name="Resumen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5" l="1"/>
  <c r="E9" i="5"/>
  <c r="D5" i="5"/>
  <c r="D9" i="5"/>
  <c r="C20" i="4"/>
  <c r="C19" i="4"/>
  <c r="C18" i="4"/>
  <c r="C6" i="4"/>
  <c r="C14" i="4" s="1"/>
  <c r="C4" i="4"/>
  <c r="C8" i="4" s="1"/>
  <c r="C16" i="3"/>
  <c r="C15" i="3"/>
  <c r="C6" i="3"/>
  <c r="C4" i="3"/>
  <c r="C8" i="3" s="1"/>
  <c r="C6" i="2"/>
  <c r="C14" i="2" s="1"/>
  <c r="C17" i="2" s="1"/>
  <c r="C4" i="2"/>
  <c r="C6" i="1"/>
  <c r="C4" i="1"/>
  <c r="C21" i="4" l="1"/>
  <c r="C23" i="4" s="1"/>
  <c r="C18" i="3"/>
  <c r="C18" i="2"/>
  <c r="C19" i="2" s="1"/>
  <c r="C21" i="2" s="1"/>
  <c r="C14" i="1"/>
  <c r="C19" i="3" l="1"/>
  <c r="D7" i="5" s="1"/>
  <c r="C7" i="5"/>
  <c r="E7" i="5" s="1"/>
  <c r="C22" i="2"/>
  <c r="D6" i="5" s="1"/>
  <c r="C6" i="5"/>
  <c r="E6" i="5" s="1"/>
  <c r="C15" i="1"/>
  <c r="D4" i="5" s="1"/>
  <c r="C4" i="5"/>
  <c r="E4" i="5" s="1"/>
  <c r="C24" i="4"/>
  <c r="D8" i="5" s="1"/>
  <c r="C8" i="5"/>
  <c r="E8" i="5" s="1"/>
</calcChain>
</file>

<file path=xl/sharedStrings.xml><?xml version="1.0" encoding="utf-8"?>
<sst xmlns="http://schemas.openxmlformats.org/spreadsheetml/2006/main" count="115" uniqueCount="52">
  <si>
    <t># Datos do problema</t>
  </si>
  <si>
    <t># Datos atopados para o CO2</t>
  </si>
  <si>
    <t>gmol</t>
  </si>
  <si>
    <t>mol-1</t>
  </si>
  <si>
    <t>M_CO2 =</t>
  </si>
  <si>
    <t>n_CO2 =</t>
  </si>
  <si>
    <t>atm-L/mol/K</t>
  </si>
  <si>
    <t>R =</t>
  </si>
  <si>
    <t>temperatura =</t>
  </si>
  <si>
    <t>K</t>
  </si>
  <si>
    <t>Volume =</t>
  </si>
  <si>
    <t>L</t>
  </si>
  <si>
    <t>presion_critica =</t>
  </si>
  <si>
    <t>atm</t>
  </si>
  <si>
    <t>temperatura_critica =</t>
  </si>
  <si>
    <t>Factor acéntirco de Pitzer =</t>
  </si>
  <si>
    <t>p_ideal =</t>
  </si>
  <si>
    <t>psi</t>
  </si>
  <si>
    <t>temperatura_reducida = temperatura / temperatura_critica</t>
  </si>
  <si>
    <t>B0 = 0.083 - 0.422 / temperatura_reducida ** 1.6</t>
  </si>
  <si>
    <t>B1 = 0.139 - 0.172 / temperatura_reducida ** 4.2</t>
  </si>
  <si>
    <t>B = (R * temperatura_critica / presion_critica) * (B0 + factor_acentrico * B1)</t>
  </si>
  <si>
    <t>print('B =', B)</t>
  </si>
  <si>
    <t>presion_virial = R * temperatura / ( volume_especifico - B)</t>
  </si>
  <si>
    <t>resultados['Virial'] = presion_virial</t>
  </si>
  <si>
    <t>Tr =</t>
  </si>
  <si>
    <t>Coeficintes Virial</t>
  </si>
  <si>
    <t>B0 =</t>
  </si>
  <si>
    <t>B1 =</t>
  </si>
  <si>
    <t>B =</t>
  </si>
  <si>
    <t>p_virial =</t>
  </si>
  <si>
    <t># Constantes de Van der Waals</t>
  </si>
  <si>
    <t>b =</t>
  </si>
  <si>
    <t>a =</t>
  </si>
  <si>
    <t>p_Van_der_Waals</t>
  </si>
  <si>
    <t>Vesp</t>
  </si>
  <si>
    <t>L/gmol</t>
  </si>
  <si>
    <t>Prarámetro S_R_K</t>
  </si>
  <si>
    <t>alfa =</t>
  </si>
  <si>
    <t>TR =</t>
  </si>
  <si>
    <t>m =</t>
  </si>
  <si>
    <t>presion_SRK =</t>
  </si>
  <si>
    <t>Modelo</t>
  </si>
  <si>
    <t>Ideal</t>
  </si>
  <si>
    <t>z</t>
  </si>
  <si>
    <t>Virial</t>
  </si>
  <si>
    <t>Van der Waals</t>
  </si>
  <si>
    <t>Soave-Redlich-Kwong</t>
  </si>
  <si>
    <t>NIST</t>
  </si>
  <si>
    <t>presión (atm)</t>
  </si>
  <si>
    <t>presión (psi)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</si>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</sst>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00"/>
    <numFmt numFmtId="165" formatCode="0.000000"/>
    <numFmt numFmtId="166" formatCode="0.00000"/>
    <numFmt numFmtId="167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2" fontId="0" fillId="0" borderId="0" xfId="0" applyNumberFormat="1"/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D15"/>
  <sheetViews>
    <sheetView workbookViewId="0">
      <selection activeCell="B37" sqref="B37"/>
    </sheetView>
  </sheetViews>
  <sheetFormatPr baseColWidth="10" defaultRowHeight="14.5" x14ac:dyDescent="0.35"/>
  <cols>
    <col min="1" max="1" width="4" customWidth="1"/>
    <col min="2" max="2" width="26.1796875" bestFit="1" customWidth="1"/>
    <col min="3" max="3" width="12" bestFit="1" customWidth="1"/>
    <col min="4" max="4" width="12.26953125" bestFit="1" customWidth="1"/>
  </cols>
  <sheetData>
    <row r="2" spans="2:4" x14ac:dyDescent="0.35">
      <c r="B2" t="s">
        <v>0</v>
      </c>
    </row>
    <row r="3" spans="2:4" x14ac:dyDescent="0.35">
      <c r="B3" t="s">
        <v>4</v>
      </c>
      <c r="C3" s="1">
        <v>44.009</v>
      </c>
      <c r="D3" t="s">
        <v>3</v>
      </c>
    </row>
    <row r="4" spans="2:4" x14ac:dyDescent="0.35">
      <c r="B4" t="s">
        <v>5</v>
      </c>
      <c r="C4" s="3">
        <f>12/C3</f>
        <v>0.27267149901156579</v>
      </c>
      <c r="D4" t="s">
        <v>2</v>
      </c>
    </row>
    <row r="5" spans="2:4" x14ac:dyDescent="0.35">
      <c r="B5" t="s">
        <v>7</v>
      </c>
      <c r="C5">
        <v>8.2059999999999994E-2</v>
      </c>
      <c r="D5" t="s">
        <v>6</v>
      </c>
    </row>
    <row r="6" spans="2:4" x14ac:dyDescent="0.35">
      <c r="B6" t="s">
        <v>8</v>
      </c>
      <c r="C6">
        <f xml:space="preserve"> 40 + 273.15</f>
        <v>313.14999999999998</v>
      </c>
      <c r="D6" t="s">
        <v>9</v>
      </c>
    </row>
    <row r="7" spans="2:4" x14ac:dyDescent="0.35">
      <c r="B7" t="s">
        <v>10</v>
      </c>
      <c r="C7">
        <v>1.7600000000000001E-2</v>
      </c>
      <c r="D7" t="s">
        <v>11</v>
      </c>
    </row>
    <row r="9" spans="2:4" x14ac:dyDescent="0.35">
      <c r="B9" t="s">
        <v>1</v>
      </c>
    </row>
    <row r="10" spans="2:4" x14ac:dyDescent="0.35">
      <c r="B10" t="s">
        <v>12</v>
      </c>
      <c r="C10">
        <v>72.834940000000003</v>
      </c>
      <c r="D10" t="s">
        <v>13</v>
      </c>
    </row>
    <row r="11" spans="2:4" x14ac:dyDescent="0.35">
      <c r="B11" t="s">
        <v>14</v>
      </c>
      <c r="C11">
        <v>304.12819999999999</v>
      </c>
      <c r="D11" t="s">
        <v>9</v>
      </c>
    </row>
    <row r="12" spans="2:4" x14ac:dyDescent="0.35">
      <c r="B12" t="s">
        <v>15</v>
      </c>
      <c r="C12">
        <v>0.22500000000000001</v>
      </c>
    </row>
    <row r="14" spans="2:4" x14ac:dyDescent="0.35">
      <c r="B14" t="s">
        <v>16</v>
      </c>
      <c r="C14" s="5">
        <f>C4*C5*C6/C7</f>
        <v>398.11726010588734</v>
      </c>
      <c r="D14" t="s">
        <v>13</v>
      </c>
    </row>
    <row r="15" spans="2:4" x14ac:dyDescent="0.35">
      <c r="C15" s="5">
        <f>14.69595*C14</f>
        <v>5850.7113486531152</v>
      </c>
      <c r="D15" t="s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H22"/>
  <sheetViews>
    <sheetView workbookViewId="0">
      <selection activeCell="B14" sqref="B14:C14"/>
    </sheetView>
  </sheetViews>
  <sheetFormatPr baseColWidth="10" defaultRowHeight="14.5" x14ac:dyDescent="0.35"/>
  <cols>
    <col min="1" max="1" width="4.26953125" customWidth="1"/>
    <col min="2" max="2" width="26.1796875" bestFit="1" customWidth="1"/>
  </cols>
  <sheetData>
    <row r="2" spans="2:8" x14ac:dyDescent="0.35">
      <c r="B2" t="s">
        <v>0</v>
      </c>
      <c r="H2" t="s">
        <v>18</v>
      </c>
    </row>
    <row r="3" spans="2:8" x14ac:dyDescent="0.35">
      <c r="B3" s="6" t="s">
        <v>4</v>
      </c>
      <c r="C3" s="1">
        <v>44.009</v>
      </c>
      <c r="D3" t="s">
        <v>3</v>
      </c>
      <c r="H3" t="s">
        <v>19</v>
      </c>
    </row>
    <row r="4" spans="2:8" x14ac:dyDescent="0.35">
      <c r="B4" s="6" t="s">
        <v>5</v>
      </c>
      <c r="C4" s="3">
        <f>12/C3</f>
        <v>0.27267149901156579</v>
      </c>
      <c r="D4" t="s">
        <v>2</v>
      </c>
      <c r="H4" t="s">
        <v>20</v>
      </c>
    </row>
    <row r="5" spans="2:8" x14ac:dyDescent="0.35">
      <c r="B5" s="6" t="s">
        <v>7</v>
      </c>
      <c r="C5">
        <v>8.2059999999999994E-2</v>
      </c>
      <c r="D5" t="s">
        <v>6</v>
      </c>
      <c r="H5" t="s">
        <v>21</v>
      </c>
    </row>
    <row r="6" spans="2:8" x14ac:dyDescent="0.35">
      <c r="B6" s="6" t="s">
        <v>8</v>
      </c>
      <c r="C6">
        <f xml:space="preserve"> 40 + 273.15</f>
        <v>313.14999999999998</v>
      </c>
      <c r="D6" t="s">
        <v>9</v>
      </c>
      <c r="H6" t="s">
        <v>22</v>
      </c>
    </row>
    <row r="7" spans="2:8" x14ac:dyDescent="0.35">
      <c r="B7" s="6" t="s">
        <v>10</v>
      </c>
      <c r="C7">
        <v>1.7600000000000001E-2</v>
      </c>
      <c r="D7" t="s">
        <v>11</v>
      </c>
      <c r="H7" t="s">
        <v>23</v>
      </c>
    </row>
    <row r="8" spans="2:8" x14ac:dyDescent="0.35">
      <c r="B8" s="6"/>
      <c r="H8" t="s">
        <v>24</v>
      </c>
    </row>
    <row r="9" spans="2:8" x14ac:dyDescent="0.35">
      <c r="B9" s="6" t="s">
        <v>1</v>
      </c>
    </row>
    <row r="10" spans="2:8" x14ac:dyDescent="0.35">
      <c r="B10" s="6" t="s">
        <v>12</v>
      </c>
      <c r="C10">
        <v>72.834940000000003</v>
      </c>
      <c r="D10" t="s">
        <v>13</v>
      </c>
    </row>
    <row r="11" spans="2:8" x14ac:dyDescent="0.35">
      <c r="B11" s="6" t="s">
        <v>14</v>
      </c>
      <c r="C11">
        <v>304.12819999999999</v>
      </c>
      <c r="D11" t="s">
        <v>9</v>
      </c>
    </row>
    <row r="12" spans="2:8" x14ac:dyDescent="0.35">
      <c r="B12" s="6" t="s">
        <v>15</v>
      </c>
      <c r="C12">
        <v>0.22500000000000001</v>
      </c>
    </row>
    <row r="14" spans="2:8" x14ac:dyDescent="0.35">
      <c r="B14" t="s">
        <v>25</v>
      </c>
      <c r="C14">
        <f>C6/C11</f>
        <v>1.0296644638675401</v>
      </c>
    </row>
    <row r="16" spans="2:8" x14ac:dyDescent="0.35">
      <c r="B16" t="s">
        <v>26</v>
      </c>
    </row>
    <row r="17" spans="2:4" x14ac:dyDescent="0.35">
      <c r="B17" s="6" t="s">
        <v>27</v>
      </c>
      <c r="C17">
        <f xml:space="preserve"> 0.083 - 0.422 /C14^1.6</f>
        <v>-0.31971637761229782</v>
      </c>
    </row>
    <row r="18" spans="2:4" x14ac:dyDescent="0.35">
      <c r="B18" s="6" t="s">
        <v>28</v>
      </c>
      <c r="C18" s="2">
        <f xml:space="preserve"> 0.139 - 0.172 /C14^4.2</f>
        <v>-1.3127036143451759E-2</v>
      </c>
    </row>
    <row r="19" spans="2:4" x14ac:dyDescent="0.35">
      <c r="B19" s="6" t="s">
        <v>29</v>
      </c>
      <c r="C19" s="2">
        <f xml:space="preserve"> (C5*C11/C10)*(C17+C12*C18)</f>
        <v>-0.1105622768302878</v>
      </c>
    </row>
    <row r="21" spans="2:4" x14ac:dyDescent="0.35">
      <c r="B21" s="6" t="s">
        <v>30</v>
      </c>
      <c r="C21" s="5">
        <f>C5*C6/(C7/C4-C19)</f>
        <v>146.74926393474269</v>
      </c>
      <c r="D21" t="s">
        <v>13</v>
      </c>
    </row>
    <row r="22" spans="2:4" x14ac:dyDescent="0.35">
      <c r="C22" s="5">
        <f>14.69595*C21</f>
        <v>2156.6198453217817</v>
      </c>
      <c r="D22" t="s">
        <v>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D19"/>
  <sheetViews>
    <sheetView workbookViewId="0">
      <selection activeCell="C19" sqref="C19:D19"/>
    </sheetView>
  </sheetViews>
  <sheetFormatPr baseColWidth="10" defaultRowHeight="14.5" x14ac:dyDescent="0.35"/>
  <cols>
    <col min="1" max="1" width="3.81640625" customWidth="1"/>
    <col min="2" max="2" width="28.453125" bestFit="1" customWidth="1"/>
  </cols>
  <sheetData>
    <row r="2" spans="2:4" x14ac:dyDescent="0.35">
      <c r="B2" t="s">
        <v>0</v>
      </c>
    </row>
    <row r="3" spans="2:4" x14ac:dyDescent="0.35">
      <c r="B3" t="s">
        <v>4</v>
      </c>
      <c r="C3" s="1">
        <v>44.009</v>
      </c>
      <c r="D3" t="s">
        <v>3</v>
      </c>
    </row>
    <row r="4" spans="2:4" x14ac:dyDescent="0.35">
      <c r="B4" t="s">
        <v>5</v>
      </c>
      <c r="C4" s="3">
        <f>12/C3</f>
        <v>0.27267149901156579</v>
      </c>
      <c r="D4" t="s">
        <v>2</v>
      </c>
    </row>
    <row r="5" spans="2:4" x14ac:dyDescent="0.35">
      <c r="B5" t="s">
        <v>7</v>
      </c>
      <c r="C5">
        <v>8.2059999999999994E-2</v>
      </c>
      <c r="D5" t="s">
        <v>6</v>
      </c>
    </row>
    <row r="6" spans="2:4" x14ac:dyDescent="0.35">
      <c r="B6" t="s">
        <v>8</v>
      </c>
      <c r="C6">
        <f xml:space="preserve"> 40 + 273.15</f>
        <v>313.14999999999998</v>
      </c>
      <c r="D6" t="s">
        <v>9</v>
      </c>
    </row>
    <row r="7" spans="2:4" x14ac:dyDescent="0.35">
      <c r="B7" t="s">
        <v>10</v>
      </c>
      <c r="C7">
        <v>1.7600000000000001E-2</v>
      </c>
      <c r="D7" t="s">
        <v>11</v>
      </c>
    </row>
    <row r="8" spans="2:4" x14ac:dyDescent="0.35">
      <c r="B8" t="s">
        <v>35</v>
      </c>
      <c r="C8">
        <f>C7/C4</f>
        <v>6.454653333333335E-2</v>
      </c>
      <c r="D8" t="s">
        <v>36</v>
      </c>
    </row>
    <row r="9" spans="2:4" x14ac:dyDescent="0.35">
      <c r="B9" t="s">
        <v>1</v>
      </c>
    </row>
    <row r="10" spans="2:4" x14ac:dyDescent="0.35">
      <c r="B10" t="s">
        <v>12</v>
      </c>
      <c r="C10">
        <v>72.834940000000003</v>
      </c>
      <c r="D10" t="s">
        <v>13</v>
      </c>
    </row>
    <row r="11" spans="2:4" x14ac:dyDescent="0.35">
      <c r="B11" t="s">
        <v>14</v>
      </c>
      <c r="C11">
        <v>304.12819999999999</v>
      </c>
      <c r="D11" t="s">
        <v>9</v>
      </c>
    </row>
    <row r="12" spans="2:4" x14ac:dyDescent="0.35">
      <c r="B12" t="s">
        <v>15</v>
      </c>
      <c r="C12">
        <v>0.22500000000000001</v>
      </c>
    </row>
    <row r="14" spans="2:4" x14ac:dyDescent="0.35">
      <c r="B14" t="s">
        <v>31</v>
      </c>
    </row>
    <row r="15" spans="2:4" x14ac:dyDescent="0.35">
      <c r="B15" s="6" t="s">
        <v>33</v>
      </c>
      <c r="C15" s="4">
        <f>(27/64)*C5^2*C11^2/C10</f>
        <v>3.6076170580485605</v>
      </c>
    </row>
    <row r="16" spans="2:4" x14ac:dyDescent="0.35">
      <c r="B16" s="6" t="s">
        <v>32</v>
      </c>
      <c r="C16" s="4">
        <f>(C5*C11)/(8*C10)</f>
        <v>4.2831023290470199E-2</v>
      </c>
    </row>
    <row r="18" spans="2:4" x14ac:dyDescent="0.35">
      <c r="B18" t="s">
        <v>34</v>
      </c>
      <c r="C18" s="5">
        <f xml:space="preserve"> C5*C6/(C8 -C16) - C15/C8^2</f>
        <v>317.43819738541583</v>
      </c>
      <c r="D18" t="s">
        <v>13</v>
      </c>
    </row>
    <row r="19" spans="2:4" x14ac:dyDescent="0.35">
      <c r="C19" s="5">
        <f>14.69595*C18</f>
        <v>4665.0558768662022</v>
      </c>
      <c r="D19" t="s">
        <v>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D24"/>
  <sheetViews>
    <sheetView workbookViewId="0">
      <selection activeCell="C24" sqref="C24"/>
    </sheetView>
  </sheetViews>
  <sheetFormatPr baseColWidth="10" defaultRowHeight="14.5" x14ac:dyDescent="0.35"/>
  <cols>
    <col min="1" max="1" width="3.54296875" customWidth="1"/>
    <col min="2" max="2" width="26.1796875" bestFit="1" customWidth="1"/>
    <col min="3" max="3" width="11.81640625" bestFit="1" customWidth="1"/>
  </cols>
  <sheetData>
    <row r="2" spans="2:4" x14ac:dyDescent="0.35">
      <c r="B2" t="s">
        <v>0</v>
      </c>
    </row>
    <row r="3" spans="2:4" x14ac:dyDescent="0.35">
      <c r="B3" t="s">
        <v>4</v>
      </c>
      <c r="C3" s="1">
        <v>44.009</v>
      </c>
      <c r="D3" t="s">
        <v>3</v>
      </c>
    </row>
    <row r="4" spans="2:4" x14ac:dyDescent="0.35">
      <c r="B4" t="s">
        <v>5</v>
      </c>
      <c r="C4" s="3">
        <f>12/C3</f>
        <v>0.27267149901156579</v>
      </c>
      <c r="D4" t="s">
        <v>2</v>
      </c>
    </row>
    <row r="5" spans="2:4" x14ac:dyDescent="0.35">
      <c r="B5" t="s">
        <v>7</v>
      </c>
      <c r="C5">
        <v>8.2059999999999994E-2</v>
      </c>
      <c r="D5" t="s">
        <v>6</v>
      </c>
    </row>
    <row r="6" spans="2:4" x14ac:dyDescent="0.35">
      <c r="B6" t="s">
        <v>8</v>
      </c>
      <c r="C6">
        <f xml:space="preserve"> 40 + 273.15</f>
        <v>313.14999999999998</v>
      </c>
      <c r="D6" t="s">
        <v>9</v>
      </c>
    </row>
    <row r="7" spans="2:4" x14ac:dyDescent="0.35">
      <c r="B7" t="s">
        <v>10</v>
      </c>
      <c r="C7">
        <v>1.7600000000000001E-2</v>
      </c>
      <c r="D7" t="s">
        <v>11</v>
      </c>
    </row>
    <row r="8" spans="2:4" x14ac:dyDescent="0.35">
      <c r="B8" t="s">
        <v>35</v>
      </c>
      <c r="C8">
        <f>C7/C4</f>
        <v>6.454653333333335E-2</v>
      </c>
      <c r="D8" t="s">
        <v>36</v>
      </c>
    </row>
    <row r="9" spans="2:4" x14ac:dyDescent="0.35">
      <c r="B9" t="s">
        <v>1</v>
      </c>
    </row>
    <row r="10" spans="2:4" x14ac:dyDescent="0.35">
      <c r="B10" t="s">
        <v>12</v>
      </c>
      <c r="C10">
        <v>72.834940000000003</v>
      </c>
      <c r="D10" t="s">
        <v>13</v>
      </c>
    </row>
    <row r="11" spans="2:4" x14ac:dyDescent="0.35">
      <c r="B11" t="s">
        <v>14</v>
      </c>
      <c r="C11">
        <v>304.12819999999999</v>
      </c>
      <c r="D11" t="s">
        <v>9</v>
      </c>
    </row>
    <row r="12" spans="2:4" x14ac:dyDescent="0.35">
      <c r="B12" t="s">
        <v>15</v>
      </c>
      <c r="C12">
        <v>0.22500000000000001</v>
      </c>
    </row>
    <row r="14" spans="2:4" x14ac:dyDescent="0.35">
      <c r="B14" s="6" t="s">
        <v>39</v>
      </c>
      <c r="C14">
        <f>C6/C11</f>
        <v>1.0296644638675401</v>
      </c>
    </row>
    <row r="17" spans="2:4" x14ac:dyDescent="0.35">
      <c r="B17" t="s">
        <v>37</v>
      </c>
    </row>
    <row r="18" spans="2:4" x14ac:dyDescent="0.35">
      <c r="B18" s="6" t="s">
        <v>33</v>
      </c>
      <c r="C18" s="3">
        <f>0.42747 *(C5*C11)^2/C10</f>
        <v>3.6554620771650801</v>
      </c>
    </row>
    <row r="19" spans="2:4" x14ac:dyDescent="0.35">
      <c r="B19" s="6" t="s">
        <v>32</v>
      </c>
      <c r="C19" s="3">
        <f xml:space="preserve"> 0.08664 *C5*C11/C10</f>
        <v>2.9687038863090702E-2</v>
      </c>
    </row>
    <row r="20" spans="2:4" x14ac:dyDescent="0.35">
      <c r="B20" s="6" t="s">
        <v>40</v>
      </c>
      <c r="C20" s="3">
        <f xml:space="preserve"> 0.48508 + 1.5517 *C12-0.1561*C13^2</f>
        <v>0.83421250000000002</v>
      </c>
    </row>
    <row r="21" spans="2:4" x14ac:dyDescent="0.35">
      <c r="B21" s="6" t="s">
        <v>38</v>
      </c>
      <c r="C21" s="3">
        <f>(1 + C20 * (1-SQRT(C14)))^2</f>
        <v>0.97558525087198122</v>
      </c>
    </row>
    <row r="23" spans="2:4" x14ac:dyDescent="0.35">
      <c r="B23" s="6" t="s">
        <v>41</v>
      </c>
      <c r="C23" s="5">
        <f>C5*C6/(C8-C19) -C21*C18/C8/(C8+C19)</f>
        <v>150.84963641070465</v>
      </c>
      <c r="D23" t="s">
        <v>13</v>
      </c>
    </row>
    <row r="24" spans="2:4" x14ac:dyDescent="0.35">
      <c r="C24" s="5">
        <f>14.69595*C23</f>
        <v>2216.878714209895</v>
      </c>
      <c r="D24" t="s">
        <v>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3:E9"/>
  <sheetViews>
    <sheetView tabSelected="1" workbookViewId="0">
      <selection activeCell="D46" sqref="D46"/>
    </sheetView>
  </sheetViews>
  <sheetFormatPr baseColWidth="10" defaultRowHeight="14.5" x14ac:dyDescent="0.35"/>
  <cols>
    <col min="1" max="1" width="3.7265625" customWidth="1"/>
    <col min="2" max="2" width="20.453125" bestFit="1" customWidth="1"/>
    <col min="3" max="3" width="13" bestFit="1" customWidth="1"/>
    <col min="4" max="4" width="12.1796875" bestFit="1" customWidth="1"/>
  </cols>
  <sheetData>
    <row r="3" spans="2:5" x14ac:dyDescent="0.35">
      <c r="B3" s="7" t="s">
        <v>42</v>
      </c>
      <c r="C3" s="7" t="s">
        <v>49</v>
      </c>
      <c r="D3" s="7" t="s">
        <v>50</v>
      </c>
      <c r="E3" s="7" t="s">
        <v>51</v>
      </c>
    </row>
    <row r="4" spans="2:5" x14ac:dyDescent="0.35">
      <c r="B4" t="s">
        <v>43</v>
      </c>
      <c r="C4" s="5">
        <f>Ideal!C14</f>
        <v>398.11726010588734</v>
      </c>
      <c r="D4" s="5">
        <f>Ideal!C15</f>
        <v>5850.7113486531152</v>
      </c>
      <c r="E4" s="8">
        <f>(C4-$C$9)/$C$9</f>
        <v>2.6457624551821186</v>
      </c>
    </row>
    <row r="5" spans="2:5" x14ac:dyDescent="0.35">
      <c r="B5" t="s">
        <v>44</v>
      </c>
      <c r="C5" s="5">
        <v>111.5</v>
      </c>
      <c r="D5" s="5">
        <f>C5*14.69595</f>
        <v>1638.5984249999999</v>
      </c>
      <c r="E5" s="8">
        <f t="shared" ref="E5:E9" si="0">(C5-$C$9)/$C$9*100</f>
        <v>2.1062271062271036</v>
      </c>
    </row>
    <row r="6" spans="2:5" x14ac:dyDescent="0.35">
      <c r="B6" t="s">
        <v>45</v>
      </c>
      <c r="C6" s="5">
        <f>Virial!C21</f>
        <v>146.74926393474269</v>
      </c>
      <c r="D6" s="5">
        <f>Virial!C22</f>
        <v>2156.6198453217817</v>
      </c>
      <c r="E6" s="8">
        <f t="shared" si="0"/>
        <v>34.385772834013444</v>
      </c>
    </row>
    <row r="7" spans="2:5" x14ac:dyDescent="0.35">
      <c r="B7" t="s">
        <v>46</v>
      </c>
      <c r="C7" s="5">
        <f>'Van der Waals'!C18</f>
        <v>317.43819738541583</v>
      </c>
      <c r="D7" s="5">
        <f>'Van der Waals'!C19</f>
        <v>4665.0558768662022</v>
      </c>
      <c r="E7" s="8">
        <f t="shared" si="0"/>
        <v>190.69431995001452</v>
      </c>
    </row>
    <row r="8" spans="2:5" x14ac:dyDescent="0.35">
      <c r="B8" t="s">
        <v>47</v>
      </c>
      <c r="C8" s="5">
        <f>'Soave-Radlich-Kwong'!C23</f>
        <v>150.84963641070465</v>
      </c>
      <c r="D8" s="5">
        <f>'Soave-Radlich-Kwong'!C24</f>
        <v>2216.878714209895</v>
      </c>
      <c r="E8" s="8">
        <f t="shared" si="0"/>
        <v>38.140692683795464</v>
      </c>
    </row>
    <row r="9" spans="2:5" x14ac:dyDescent="0.35">
      <c r="B9" t="s">
        <v>48</v>
      </c>
      <c r="C9" s="5">
        <v>109.2</v>
      </c>
      <c r="D9" s="5">
        <f>C9*14.69595</f>
        <v>1604.79774</v>
      </c>
      <c r="E9" s="8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Ideal</vt:lpstr>
      <vt:lpstr>Virial</vt:lpstr>
      <vt:lpstr>Van der Waals</vt:lpstr>
      <vt:lpstr>Soave-Radlich-Kwong</vt:lpstr>
      <vt:lpstr>Resumen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anxosanchez@hotmail.com</dc:creator>
  <cp:lastModifiedBy>Anxo</cp:lastModifiedBy>
  <dcterms:created xsi:type="dcterms:W3CDTF">2020-03-29T19:27:25Z</dcterms:created>
  <dcterms:modified xsi:type="dcterms:W3CDTF">2021-12-18T12:32:14Z</dcterms:modified>
</cp:coreProperties>
</file>