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2150" windowHeight="12990"/>
  </bookViews>
  <sheets>
    <sheet name="F2807x_F2837x Configuration" sheetId="1" r:id="rId1"/>
    <sheet name="F2807x_F2837x_Decode" sheetId="3" r:id="rId2"/>
    <sheet name="Valid Values" sheetId="4" r:id="rId3"/>
  </sheets>
  <calcPr calcId="145621"/>
</workbook>
</file>

<file path=xl/calcChain.xml><?xml version="1.0" encoding="utf-8"?>
<calcChain xmlns="http://schemas.openxmlformats.org/spreadsheetml/2006/main">
  <c r="E8" i="1" l="1"/>
  <c r="C105" i="1" l="1"/>
  <c r="C73" i="1"/>
  <c r="C89" i="1"/>
  <c r="D38" i="1"/>
  <c r="G53" i="1" l="1"/>
  <c r="D43" i="1"/>
  <c r="G104" i="1"/>
  <c r="G103" i="1"/>
  <c r="G102" i="1"/>
  <c r="G101" i="1"/>
  <c r="G100" i="1"/>
  <c r="G99" i="1"/>
  <c r="G98" i="1"/>
  <c r="G97" i="1"/>
  <c r="G96" i="1"/>
  <c r="G95" i="1"/>
  <c r="G88" i="1"/>
  <c r="G87" i="1"/>
  <c r="G86" i="1"/>
  <c r="G85" i="1"/>
  <c r="G84" i="1"/>
  <c r="G83" i="1"/>
  <c r="G82" i="1"/>
  <c r="G81" i="1"/>
  <c r="G80" i="1"/>
  <c r="G79" i="1"/>
  <c r="G70" i="1"/>
  <c r="G71" i="1"/>
  <c r="G69" i="1"/>
  <c r="G68" i="1"/>
  <c r="G67" i="1"/>
  <c r="G66" i="1"/>
  <c r="G65" i="1"/>
  <c r="N15" i="3" l="1"/>
  <c r="M15" i="3"/>
  <c r="L15" i="3"/>
  <c r="K15" i="3"/>
  <c r="N14" i="3"/>
  <c r="M14" i="3"/>
  <c r="L14" i="3"/>
  <c r="K14" i="3"/>
  <c r="E13" i="3"/>
  <c r="F13" i="3"/>
  <c r="G13" i="3"/>
  <c r="H13" i="3"/>
  <c r="K13" i="3"/>
  <c r="L13" i="3"/>
  <c r="M13" i="3"/>
  <c r="N13" i="3"/>
  <c r="C112" i="3"/>
  <c r="C99" i="3"/>
  <c r="C86" i="3"/>
  <c r="C71" i="3"/>
  <c r="C68" i="3"/>
  <c r="C43" i="3"/>
  <c r="C49" i="3" s="1"/>
  <c r="C48" i="3"/>
  <c r="H15" i="3"/>
  <c r="G15" i="3"/>
  <c r="F15" i="3"/>
  <c r="E15" i="3"/>
  <c r="H14" i="3"/>
  <c r="G14" i="3"/>
  <c r="F14" i="3"/>
  <c r="E14" i="3"/>
  <c r="O15" i="3" l="1"/>
  <c r="J105" i="3" s="1"/>
  <c r="Q105" i="3" s="1"/>
  <c r="O14" i="3"/>
  <c r="J98" i="3" s="1"/>
  <c r="J97" i="3"/>
  <c r="J92" i="3"/>
  <c r="Q92" i="3" s="1"/>
  <c r="J109" i="3"/>
  <c r="J111" i="3"/>
  <c r="J106" i="3"/>
  <c r="Q106" i="3" s="1"/>
  <c r="O13" i="3"/>
  <c r="J79" i="3" s="1"/>
  <c r="Q79" i="3" s="1"/>
  <c r="I13" i="3"/>
  <c r="D79" i="3" s="1"/>
  <c r="P79" i="3" s="1"/>
  <c r="Q109" i="3"/>
  <c r="Q97" i="3"/>
  <c r="C73" i="3"/>
  <c r="I14" i="3"/>
  <c r="I15" i="3"/>
  <c r="G35" i="1"/>
  <c r="J110" i="3" l="1"/>
  <c r="Q110" i="3" s="1"/>
  <c r="J104" i="3"/>
  <c r="Q104" i="3" s="1"/>
  <c r="J103" i="3"/>
  <c r="J108" i="3"/>
  <c r="Q108" i="3" s="1"/>
  <c r="J102" i="3"/>
  <c r="J107" i="3"/>
  <c r="Q107" i="3" s="1"/>
  <c r="J96" i="3"/>
  <c r="Q96" i="3" s="1"/>
  <c r="J90" i="3"/>
  <c r="J91" i="3"/>
  <c r="Q91" i="3" s="1"/>
  <c r="J89" i="3"/>
  <c r="J94" i="3"/>
  <c r="Q94" i="3" s="1"/>
  <c r="J95" i="3"/>
  <c r="Q95" i="3" s="1"/>
  <c r="J93" i="3"/>
  <c r="Q93" i="3" s="1"/>
  <c r="J80" i="3"/>
  <c r="Q80" i="3" s="1"/>
  <c r="J81" i="3"/>
  <c r="Q81" i="3" s="1"/>
  <c r="D78" i="3"/>
  <c r="P78" i="3" s="1"/>
  <c r="D77" i="3"/>
  <c r="D85" i="3"/>
  <c r="D82" i="3"/>
  <c r="D81" i="3"/>
  <c r="P81" i="3" s="1"/>
  <c r="D84" i="3"/>
  <c r="D83" i="3"/>
  <c r="D80" i="3"/>
  <c r="P80" i="3" s="1"/>
  <c r="J82" i="3"/>
  <c r="J83" i="3"/>
  <c r="D108" i="3"/>
  <c r="P108" i="3" s="1"/>
  <c r="D111" i="3"/>
  <c r="D109" i="3"/>
  <c r="P109" i="3" s="1"/>
  <c r="D107" i="3"/>
  <c r="P107" i="3" s="1"/>
  <c r="D105" i="3"/>
  <c r="P105" i="3" s="1"/>
  <c r="D103" i="3"/>
  <c r="D110" i="3"/>
  <c r="P110" i="3" s="1"/>
  <c r="D106" i="3"/>
  <c r="P106" i="3" s="1"/>
  <c r="D104" i="3"/>
  <c r="P104" i="3" s="1"/>
  <c r="D102" i="3"/>
  <c r="J84" i="3"/>
  <c r="J77" i="3"/>
  <c r="J85" i="3"/>
  <c r="D98" i="3"/>
  <c r="D96" i="3"/>
  <c r="P96" i="3" s="1"/>
  <c r="D94" i="3"/>
  <c r="P94" i="3" s="1"/>
  <c r="D92" i="3"/>
  <c r="P92" i="3" s="1"/>
  <c r="D90" i="3"/>
  <c r="D97" i="3"/>
  <c r="P97" i="3" s="1"/>
  <c r="D95" i="3"/>
  <c r="P95" i="3" s="1"/>
  <c r="D93" i="3"/>
  <c r="P93" i="3" s="1"/>
  <c r="D91" i="3"/>
  <c r="P91" i="3" s="1"/>
  <c r="D89" i="3"/>
  <c r="J78" i="3"/>
  <c r="Q78" i="3" s="1"/>
  <c r="K104" i="1"/>
  <c r="H103" i="1"/>
  <c r="K102" i="1"/>
  <c r="K101" i="1"/>
  <c r="K100" i="1"/>
  <c r="H99" i="1"/>
  <c r="K98" i="1"/>
  <c r="H97" i="1"/>
  <c r="K96" i="1"/>
  <c r="K95" i="1"/>
  <c r="K88" i="1"/>
  <c r="H87" i="1"/>
  <c r="H86" i="1"/>
  <c r="K85" i="1"/>
  <c r="H84" i="1"/>
  <c r="K83" i="1"/>
  <c r="H82" i="1"/>
  <c r="H81" i="1"/>
  <c r="K80" i="1"/>
  <c r="K79" i="1"/>
  <c r="G72" i="1"/>
  <c r="H72" i="1" s="1"/>
  <c r="G64" i="1"/>
  <c r="G63" i="1"/>
  <c r="G38" i="1"/>
  <c r="G37" i="1"/>
  <c r="G34" i="1"/>
  <c r="H69" i="1"/>
  <c r="K71" i="1"/>
  <c r="K70" i="1"/>
  <c r="H68" i="1"/>
  <c r="K67" i="1"/>
  <c r="K66" i="1"/>
  <c r="H65" i="1"/>
  <c r="K81" i="1" l="1"/>
  <c r="H98" i="1"/>
  <c r="K99" i="1"/>
  <c r="H102" i="1"/>
  <c r="K103" i="1"/>
  <c r="H101" i="1"/>
  <c r="H95" i="1"/>
  <c r="H96" i="1"/>
  <c r="K97" i="1"/>
  <c r="H100" i="1"/>
  <c r="H104" i="1"/>
  <c r="K86" i="1"/>
  <c r="K82" i="1"/>
  <c r="H85" i="1"/>
  <c r="H79" i="1"/>
  <c r="H80" i="1"/>
  <c r="H88" i="1"/>
  <c r="H83" i="1"/>
  <c r="K84" i="1"/>
  <c r="K87" i="1"/>
  <c r="K72" i="1"/>
  <c r="H67" i="1"/>
  <c r="H71" i="1"/>
  <c r="K68" i="1"/>
  <c r="K69" i="1"/>
  <c r="H70" i="1"/>
  <c r="K65" i="1"/>
  <c r="H66" i="1"/>
  <c r="H64" i="1"/>
  <c r="H63" i="1"/>
  <c r="M95" i="1" l="1"/>
  <c r="M79" i="1"/>
  <c r="K64" i="1"/>
  <c r="K63" i="1"/>
  <c r="G51" i="1"/>
  <c r="K51" i="1" s="1"/>
  <c r="K36" i="1"/>
  <c r="H36" i="1"/>
  <c r="C63" i="3"/>
  <c r="C38" i="3"/>
  <c r="N12" i="3"/>
  <c r="M12" i="3"/>
  <c r="L12" i="3"/>
  <c r="K12" i="3"/>
  <c r="H12" i="3"/>
  <c r="G12" i="3"/>
  <c r="F12" i="3"/>
  <c r="E12" i="3"/>
  <c r="N11" i="3"/>
  <c r="M11" i="3"/>
  <c r="L11" i="3"/>
  <c r="K11" i="3"/>
  <c r="H11" i="3"/>
  <c r="G11" i="3"/>
  <c r="F11" i="3"/>
  <c r="E11" i="3"/>
  <c r="N10" i="3"/>
  <c r="M10" i="3"/>
  <c r="L10" i="3"/>
  <c r="K10" i="3"/>
  <c r="H10" i="3"/>
  <c r="G10" i="3"/>
  <c r="F10" i="3"/>
  <c r="E10" i="3"/>
  <c r="N9" i="3"/>
  <c r="M9" i="3"/>
  <c r="L9" i="3"/>
  <c r="K9" i="3"/>
  <c r="H9" i="3"/>
  <c r="G9" i="3"/>
  <c r="F9" i="3"/>
  <c r="E9" i="3"/>
  <c r="G42" i="1"/>
  <c r="K42" i="1" s="1"/>
  <c r="D9" i="1"/>
  <c r="G57" i="1"/>
  <c r="K57" i="1" s="1"/>
  <c r="H53" i="1"/>
  <c r="G52" i="1"/>
  <c r="H52" i="1" s="1"/>
  <c r="G50" i="1"/>
  <c r="G49" i="1"/>
  <c r="H49" i="1" s="1"/>
  <c r="G48" i="1"/>
  <c r="G47" i="1"/>
  <c r="H47" i="1" s="1"/>
  <c r="H37" i="1"/>
  <c r="K34" i="1"/>
  <c r="I10" i="3" l="1"/>
  <c r="I11" i="3"/>
  <c r="I12" i="3"/>
  <c r="O9" i="3"/>
  <c r="J36" i="3" s="1"/>
  <c r="O10" i="3"/>
  <c r="J42" i="3" s="1"/>
  <c r="O11" i="3"/>
  <c r="I9" i="3"/>
  <c r="M63" i="1"/>
  <c r="K53" i="1"/>
  <c r="K47" i="1"/>
  <c r="H51" i="1"/>
  <c r="K37" i="1"/>
  <c r="H57" i="1"/>
  <c r="K52" i="1"/>
  <c r="K49" i="1"/>
  <c r="H34" i="1"/>
  <c r="H48" i="1"/>
  <c r="K48" i="1"/>
  <c r="M42" i="1"/>
  <c r="K38" i="1"/>
  <c r="H38" i="1"/>
  <c r="H42" i="1"/>
  <c r="H50" i="1"/>
  <c r="K50" i="1"/>
  <c r="H35" i="1"/>
  <c r="K35" i="1"/>
  <c r="O12" i="3"/>
  <c r="J67" i="3" s="1"/>
  <c r="D47" i="3" l="1"/>
  <c r="D42" i="3"/>
  <c r="D46" i="3"/>
  <c r="D70" i="3"/>
  <c r="D67" i="3"/>
  <c r="J60" i="3"/>
  <c r="J56" i="3"/>
  <c r="D56" i="3"/>
  <c r="D60" i="3"/>
  <c r="D55" i="3"/>
  <c r="P55" i="3" s="1"/>
  <c r="J62" i="3"/>
  <c r="J54" i="3"/>
  <c r="D61" i="3"/>
  <c r="P61" i="3" s="1"/>
  <c r="D54" i="3"/>
  <c r="D66" i="3"/>
  <c r="J31" i="3"/>
  <c r="D72" i="3"/>
  <c r="P72" i="3" s="1"/>
  <c r="J52" i="3"/>
  <c r="Q52" i="3" s="1"/>
  <c r="J53" i="3"/>
  <c r="Q53" i="3" s="1"/>
  <c r="J55" i="3"/>
  <c r="Q55" i="3" s="1"/>
  <c r="Q84" i="3"/>
  <c r="J44" i="3"/>
  <c r="J41" i="3"/>
  <c r="J45" i="3"/>
  <c r="D41" i="3"/>
  <c r="D45" i="3"/>
  <c r="D44" i="3"/>
  <c r="J59" i="3"/>
  <c r="Q59" i="3" s="1"/>
  <c r="J58" i="3"/>
  <c r="Q58" i="3" s="1"/>
  <c r="J76" i="3"/>
  <c r="D57" i="3"/>
  <c r="P57" i="3" s="1"/>
  <c r="D52" i="3"/>
  <c r="P52" i="3" s="1"/>
  <c r="D53" i="3"/>
  <c r="P53" i="3" s="1"/>
  <c r="P84" i="3"/>
  <c r="D62" i="3"/>
  <c r="D29" i="3"/>
  <c r="D35" i="3"/>
  <c r="J28" i="3"/>
  <c r="J29" i="3"/>
  <c r="J35" i="3"/>
  <c r="D59" i="3"/>
  <c r="P59" i="3" s="1"/>
  <c r="D69" i="3"/>
  <c r="D58" i="3"/>
  <c r="P58" i="3" s="1"/>
  <c r="D27" i="3"/>
  <c r="D25" i="3"/>
  <c r="D23" i="3"/>
  <c r="D26" i="3"/>
  <c r="D24" i="3"/>
  <c r="D22" i="3"/>
  <c r="J32" i="3"/>
  <c r="J19" i="3"/>
  <c r="D30" i="3"/>
  <c r="D37" i="3"/>
  <c r="D34" i="3"/>
  <c r="J20" i="3"/>
  <c r="J33" i="3"/>
  <c r="Q83" i="3"/>
  <c r="D19" i="3"/>
  <c r="D32" i="3"/>
  <c r="J57" i="3"/>
  <c r="Q57" i="3" s="1"/>
  <c r="J61" i="3"/>
  <c r="Q61" i="3" s="1"/>
  <c r="J37" i="3"/>
  <c r="J34" i="3"/>
  <c r="Q82" i="3"/>
  <c r="D33" i="3"/>
  <c r="D21" i="3"/>
  <c r="D28" i="3"/>
  <c r="D76" i="3"/>
  <c r="P83" i="3"/>
  <c r="P82" i="3"/>
  <c r="J46" i="3"/>
  <c r="J47" i="3"/>
  <c r="D20" i="3"/>
  <c r="D36" i="3"/>
  <c r="J27" i="3"/>
  <c r="J25" i="3"/>
  <c r="J23" i="3"/>
  <c r="J26" i="3"/>
  <c r="J24" i="3"/>
  <c r="J22" i="3"/>
  <c r="J21" i="3"/>
  <c r="J30" i="3"/>
  <c r="D31" i="3"/>
  <c r="M34" i="1"/>
  <c r="M57" i="1"/>
  <c r="J66" i="3"/>
  <c r="J68" i="3" s="1"/>
  <c r="J70" i="3"/>
  <c r="J72" i="3"/>
  <c r="Q72" i="3" s="1"/>
  <c r="J69" i="3"/>
  <c r="M47" i="1"/>
  <c r="D48" i="3" l="1"/>
  <c r="P48" i="3" s="1"/>
  <c r="D68" i="3"/>
  <c r="J71" i="3"/>
  <c r="D71" i="3"/>
  <c r="D43" i="3"/>
  <c r="J43" i="3"/>
  <c r="J48" i="3"/>
  <c r="Q48" i="3" s="1"/>
</calcChain>
</file>

<file path=xl/sharedStrings.xml><?xml version="1.0" encoding="utf-8"?>
<sst xmlns="http://schemas.openxmlformats.org/spreadsheetml/2006/main" count="400" uniqueCount="216">
  <si>
    <t>CAS Latency</t>
  </si>
  <si>
    <t>Number of Banks</t>
  </si>
  <si>
    <t>Parameter</t>
  </si>
  <si>
    <t>Description</t>
  </si>
  <si>
    <t>Precharge command to refresh or activate command</t>
  </si>
  <si>
    <t>Activate command to read/write command</t>
  </si>
  <si>
    <t>Active to precharge command</t>
  </si>
  <si>
    <t>Activate to Activate command in the same bank</t>
  </si>
  <si>
    <t>Activate to Activate command in a different bank</t>
  </si>
  <si>
    <t>Register</t>
  </si>
  <si>
    <t>tRFC (ns)</t>
  </si>
  <si>
    <t>tRP (ns)</t>
  </si>
  <si>
    <t>tRCD (ns)</t>
  </si>
  <si>
    <t>tWR (ns)</t>
  </si>
  <si>
    <t>tRAS (ns)</t>
  </si>
  <si>
    <t>tRC (ns)</t>
  </si>
  <si>
    <t>tRRD (ns)</t>
  </si>
  <si>
    <t>tck (ns)</t>
  </si>
  <si>
    <t>Register Field Name</t>
  </si>
  <si>
    <t>Data Manual Value</t>
  </si>
  <si>
    <t>T_RFC</t>
  </si>
  <si>
    <t>T_RP</t>
  </si>
  <si>
    <t>T_RCD</t>
  </si>
  <si>
    <t>T_WR</t>
  </si>
  <si>
    <t>T_RAS</t>
  </si>
  <si>
    <t>T_RC</t>
  </si>
  <si>
    <t>T_RRD</t>
  </si>
  <si>
    <t>RR</t>
  </si>
  <si>
    <t>NM</t>
  </si>
  <si>
    <t>CL</t>
  </si>
  <si>
    <t>PAGESIZE</t>
  </si>
  <si>
    <t>Valid values are 16 or 32</t>
  </si>
  <si>
    <t>IBANK</t>
  </si>
  <si>
    <t>Field Start</t>
  </si>
  <si>
    <t>Register Value</t>
  </si>
  <si>
    <t>Int Value</t>
  </si>
  <si>
    <t>Field Value (Hex)</t>
  </si>
  <si>
    <t>Field Value (Dec)</t>
  </si>
  <si>
    <t>tREFI (us)</t>
  </si>
  <si>
    <t>mDDR</t>
  </si>
  <si>
    <t>DDR2</t>
  </si>
  <si>
    <t xml:space="preserve">How to use: Only populate GREEN cells. Plug in memory data manual values into the "data manual value" column, then select the remaining options for the register fields. </t>
  </si>
  <si>
    <t>You will need to install the "Analysis ToolPak" add-in from Excel.  Go to Tools&gt;Add-Ins and select Analysis ToolPak from the options.</t>
  </si>
  <si>
    <t>Register 1</t>
  </si>
  <si>
    <t>Register 2</t>
  </si>
  <si>
    <t>Freq 1 (MHz)</t>
  </si>
  <si>
    <t>Freq 2 (MHz)</t>
  </si>
  <si>
    <t>Start Bit</t>
  </si>
  <si>
    <t>Len</t>
  </si>
  <si>
    <t>Value 1</t>
  </si>
  <si>
    <t>Value 2</t>
  </si>
  <si>
    <t>Time 1 (ns)</t>
  </si>
  <si>
    <t>Time 2 (ns)</t>
  </si>
  <si>
    <t>RR[7:0]</t>
  </si>
  <si>
    <t>RSVD[31:24]</t>
  </si>
  <si>
    <t>RSVD[23:16]</t>
  </si>
  <si>
    <t>Two sets of DDR values are decoded side-by-side for ease of comparing settings.</t>
  </si>
  <si>
    <t>How to use: Only populate GREEN cells. Plug in HEX register values with "0x" prefix and the DDR frequency into the top cells to see the decoded register field settings.</t>
  </si>
  <si>
    <t>CS0 SDRAM</t>
  </si>
  <si>
    <t>Valid values are 2-3</t>
  </si>
  <si>
    <t>Valid values are 1, 2, or 4</t>
  </si>
  <si>
    <t>Valid values are 256, 512, 1024, or 2048</t>
  </si>
  <si>
    <t>LOCK</t>
  </si>
  <si>
    <t>SDRAM_CR</t>
  </si>
  <si>
    <t>SDRAM_CR Configuration</t>
  </si>
  <si>
    <t>SDRAM_RCR Configuration</t>
  </si>
  <si>
    <t>SDRAM_RCR</t>
  </si>
  <si>
    <t>SDRAM_TR Configuration</t>
  </si>
  <si>
    <t>SDRAM_TR</t>
  </si>
  <si>
    <t>SDR_EXT_TMNG Configuration</t>
  </si>
  <si>
    <t>SDR_EXT_TMNG</t>
  </si>
  <si>
    <t>T_XS</t>
  </si>
  <si>
    <t>F2807x / F2837x EMIF Register Configuration Tool</t>
  </si>
  <si>
    <t>CS2 ASYNC</t>
  </si>
  <si>
    <t>ASYNC_CS2_CR</t>
  </si>
  <si>
    <t>ASYNC_CS2_CR Configuration</t>
  </si>
  <si>
    <t>Extended Wait</t>
  </si>
  <si>
    <t>W_SETUP</t>
  </si>
  <si>
    <t>W_STROBE</t>
  </si>
  <si>
    <t>W_HOLD</t>
  </si>
  <si>
    <t>R_SETUP</t>
  </si>
  <si>
    <t>R_STROBE</t>
  </si>
  <si>
    <t>R_HOLD</t>
  </si>
  <si>
    <t>TA</t>
  </si>
  <si>
    <t>ASIZE</t>
  </si>
  <si>
    <t>EMIF Configuration</t>
  </si>
  <si>
    <t>EMIF clock frequency</t>
  </si>
  <si>
    <t>EMIF clock period</t>
  </si>
  <si>
    <t>CS Strobe</t>
  </si>
  <si>
    <t>Select Strobe</t>
  </si>
  <si>
    <t>CS strobe in addition to WE/ &amp; OE/ strobe</t>
  </si>
  <si>
    <t>SS</t>
  </si>
  <si>
    <t>Default</t>
  </si>
  <si>
    <t>Extended</t>
  </si>
  <si>
    <t>EW</t>
  </si>
  <si>
    <t>Write Setup time (ns)</t>
  </si>
  <si>
    <t>Write Strobe time (ns)</t>
  </si>
  <si>
    <t>Write Hold time (ns)</t>
  </si>
  <si>
    <t>Read Setup time (ns)</t>
  </si>
  <si>
    <t>Read Strobe time (ns)</t>
  </si>
  <si>
    <t>Read Hold time (ns)</t>
  </si>
  <si>
    <t>Estimated One-Way PCB propagation delay</t>
  </si>
  <si>
    <t>PCB Delay (ns)</t>
  </si>
  <si>
    <t>Turn Around time (ns)</t>
  </si>
  <si>
    <t>Word Size (bits)</t>
  </si>
  <si>
    <t>Valid values are 8, 16, or 32</t>
  </si>
  <si>
    <t>Page Size (words)</t>
  </si>
  <si>
    <t>Register Reference</t>
  </si>
  <si>
    <t>CS3 ASYNC</t>
  </si>
  <si>
    <t>ASYNC_CS3_CR Configuration</t>
  </si>
  <si>
    <t>ASYNC_CS3_CR</t>
  </si>
  <si>
    <t>CS4 ASYNC</t>
  </si>
  <si>
    <t>ASYNC_CS4_CR Configuration</t>
  </si>
  <si>
    <t>ASYNC_CS4_CR</t>
  </si>
  <si>
    <t>F2837_SD_NM</t>
  </si>
  <si>
    <t>F2837_SD_CL</t>
  </si>
  <si>
    <t>F2837_SD_BANKS</t>
  </si>
  <si>
    <t>F2837_SD_PAGESIZE</t>
  </si>
  <si>
    <t>F2837_ASYNC_SS</t>
  </si>
  <si>
    <t>F2837_ASYNC_EW</t>
  </si>
  <si>
    <t>F2837_ASYNC_ASIZE</t>
  </si>
  <si>
    <t>Field Stop</t>
  </si>
  <si>
    <t>EMnCLK (MHz)</t>
  </si>
  <si>
    <t>Extend strobe cycles with EMnWAIT</t>
  </si>
  <si>
    <t>SDRAM_CR Field</t>
  </si>
  <si>
    <t>SR</t>
  </si>
  <si>
    <t>PD</t>
  </si>
  <si>
    <t>PDWR</t>
  </si>
  <si>
    <t>BIT_11_9_LOCK</t>
  </si>
  <si>
    <t>F2807x / F2837x EMIF Register Decode and Comparison Tool</t>
  </si>
  <si>
    <t>SDRAM_RCR Field</t>
  </si>
  <si>
    <t>RSVD[23:19]</t>
  </si>
  <si>
    <t>RR[12:8]</t>
  </si>
  <si>
    <t>SDRAM_TR Field</t>
  </si>
  <si>
    <t>SDR_EXT_TMNG Field</t>
  </si>
  <si>
    <t>RSVD[12:5]</t>
  </si>
  <si>
    <t>RSVD[15:13]</t>
  </si>
  <si>
    <t>RSVD[31:16]</t>
  </si>
  <si>
    <t>RSVD[15:5]</t>
  </si>
  <si>
    <t>RSVD[3:0]</t>
  </si>
  <si>
    <t>RSVD[7]</t>
  </si>
  <si>
    <t>RSVD[19]</t>
  </si>
  <si>
    <t>RSVD[23]</t>
  </si>
  <si>
    <t>RSVD[18:16]</t>
  </si>
  <si>
    <t>RSVD[31:19]</t>
  </si>
  <si>
    <t>RSVD[3]</t>
  </si>
  <si>
    <t>RSVD[12]</t>
  </si>
  <si>
    <t>RSVD[13]</t>
  </si>
  <si>
    <t>RSVD[15]</t>
  </si>
  <si>
    <t>RSVD[16]</t>
  </si>
  <si>
    <t>RSVD[18:17]</t>
  </si>
  <si>
    <t>RSVD[22:20]</t>
  </si>
  <si>
    <t>RSVD[25:23]</t>
  </si>
  <si>
    <t>RSVD[28:26]</t>
  </si>
  <si>
    <t>ASYNC_CS2_CR Field</t>
  </si>
  <si>
    <t>ASYNC_CS3_CR Field</t>
  </si>
  <si>
    <t>ASYNC_CS4_CR Field</t>
  </si>
  <si>
    <t>Data valid before OE/ high</t>
  </si>
  <si>
    <t>Data valid after OE/ high</t>
  </si>
  <si>
    <t>Read Setup, Min (ns)</t>
  </si>
  <si>
    <t>Read Hold, Min (ns)</t>
  </si>
  <si>
    <t>Write Setup Err, Min (ns)</t>
  </si>
  <si>
    <t>Address or Data valid before WE/ low</t>
  </si>
  <si>
    <t>Write Strobe Err, Min (ns)</t>
  </si>
  <si>
    <t>WE/ low pulse width</t>
  </si>
  <si>
    <t>Read Setup Err, Min (ns)</t>
  </si>
  <si>
    <t>Address valid before OE/ low</t>
  </si>
  <si>
    <t>Read Strobe Err, Min (ns)</t>
  </si>
  <si>
    <t>OE/ low pulse width</t>
  </si>
  <si>
    <t>Read Hold Err, Min (ns)</t>
  </si>
  <si>
    <t>OE/ high to CS/ high</t>
  </si>
  <si>
    <t>Write Hold Err, Min (ns)</t>
  </si>
  <si>
    <t>WE/ high to CS/ high</t>
  </si>
  <si>
    <t>Address setup time before strobe signal is asserted.
Example: Address Setup.</t>
  </si>
  <si>
    <t>Duration of time that strobe signal is asserted.
Example: WE/ Pulse Width.</t>
  </si>
  <si>
    <t>Address and Data hold time after strobe signal is deasserted.
Example: Data Hold.</t>
  </si>
  <si>
    <t>Address setup time before strobe signal is asserted.
Example: Address Access - OE/ Access.</t>
  </si>
  <si>
    <t>EMIF Async Read Requirements (OE/ Controlled Reads)</t>
  </si>
  <si>
    <t>EMIF Async Read Characteristics (OE/ Controlled Reads)</t>
  </si>
  <si>
    <t>EMIF Async Write Characteristics (WE/ Controlled Writes)</t>
  </si>
  <si>
    <t>EMIF Async TA Characteristics</t>
  </si>
  <si>
    <t>Read to Write, or Write to Read</t>
  </si>
  <si>
    <t>Turn Around Err, Min (ns)</t>
  </si>
  <si>
    <t>Duration of time that strobe signal is asserted. PCB Delay and EMIF Read Setup will be added .
Example: OE/ Access</t>
  </si>
  <si>
    <t>Data hold time after strobe signal is deasserted. EMIF Read Hold will be added.
Example: Output Hold.</t>
  </si>
  <si>
    <t>SD_COL_BITS</t>
  </si>
  <si>
    <t>tXSR (ns)</t>
  </si>
  <si>
    <t>Exit self refresh to any command</t>
  </si>
  <si>
    <t>Refresh cycle time (or refresh to refresh command)</t>
  </si>
  <si>
    <t>Write recovery time (or write to precharge command)</t>
  </si>
  <si>
    <t>Interval for 8k refresh cycles (ms)</t>
  </si>
  <si>
    <t>Commonly 8192 refresh cycles / 64ms</t>
  </si>
  <si>
    <t>Refresh Rate (Commonly 7.8125us)</t>
  </si>
  <si>
    <t>0x00004421</t>
  </si>
  <si>
    <t>0x0000030D</t>
  </si>
  <si>
    <t>0x29114510</t>
  </si>
  <si>
    <t>0x00000006</t>
  </si>
  <si>
    <t>0x00000101</t>
  </si>
  <si>
    <t>0x40406289</t>
  </si>
  <si>
    <t>0x00000081</t>
  </si>
  <si>
    <t>0x00000186</t>
  </si>
  <si>
    <t>0x00000003</t>
  </si>
  <si>
    <t>0x40202105</t>
  </si>
  <si>
    <t>0x00000001</t>
  </si>
  <si>
    <t>0x10002200</t>
  </si>
  <si>
    <t>A0-A7</t>
  </si>
  <si>
    <t>A0-A8</t>
  </si>
  <si>
    <t>A0-A9</t>
  </si>
  <si>
    <t>A0-A10</t>
  </si>
  <si>
    <t>Column Address Signals</t>
  </si>
  <si>
    <t>Valid values are A0-A7 up to A0-A10</t>
  </si>
  <si>
    <t>Reference Value</t>
  </si>
  <si>
    <t>MEM[A0] = EMIF[BA0]
MEM[A1] = EMIF[BA1]
MEM[A2] = EMIF[A0]</t>
  </si>
  <si>
    <t>MEM[A0] = EMIF[BA1]
MEM[A1] = EMIF[A0]
MEM[A2] = EMIF[A1]</t>
  </si>
  <si>
    <t>MEM[A0] = EMIF[A0]
MEM[A1] = EMIF[A1]
MEM[A2] = EMIF[A2]</t>
  </si>
  <si>
    <t>Delay from Read to Write, or Write to Read.
Example: Latency between Read and Write, or OE/ to Data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</si>
</sst>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1" xfId="0" applyFont="1" applyFill="1" applyBorder="1"/>
    <xf numFmtId="0" fontId="5" fillId="0" borderId="1" xfId="0" applyFont="1" applyFill="1" applyBorder="1"/>
    <xf numFmtId="0" fontId="5" fillId="0" borderId="1" xfId="0" applyFont="1" applyBorder="1"/>
    <xf numFmtId="0" fontId="5" fillId="2" borderId="1" xfId="0" applyFont="1" applyFill="1" applyBorder="1" applyAlignment="1">
      <alignment horizontal="center"/>
    </xf>
    <xf numFmtId="11" fontId="5" fillId="2" borderId="1" xfId="0" applyNumberFormat="1" applyFont="1" applyFill="1" applyBorder="1"/>
    <xf numFmtId="0" fontId="7" fillId="0" borderId="2" xfId="0" applyFont="1" applyBorder="1" applyAlignment="1">
      <alignment horizontal="center"/>
    </xf>
    <xf numFmtId="0" fontId="5" fillId="0" borderId="2" xfId="0" applyFont="1" applyBorder="1"/>
    <xf numFmtId="0" fontId="5" fillId="3" borderId="0" xfId="0" applyFont="1" applyFill="1"/>
    <xf numFmtId="2" fontId="5" fillId="0" borderId="0" xfId="0" applyNumberFormat="1" applyFont="1"/>
    <xf numFmtId="2" fontId="5" fillId="3" borderId="0" xfId="0" applyNumberFormat="1" applyFont="1" applyFill="1"/>
    <xf numFmtId="0" fontId="0" fillId="5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left" wrapText="1" indent="4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54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5"/>
  <sheetViews>
    <sheetView tabSelected="1" workbookViewId="0">
      <selection activeCell="A2" sqref="A2"/>
    </sheetView>
  </sheetViews>
  <sheetFormatPr defaultRowHeight="12.75" x14ac:dyDescent="0.2"/>
  <cols>
    <col min="1" max="1" width="6.42578125" customWidth="1"/>
    <col min="2" max="2" width="29.5703125" customWidth="1"/>
    <col min="3" max="3" width="38.42578125" style="3" bestFit="1" customWidth="1"/>
    <col min="4" max="4" width="9.5703125" customWidth="1"/>
    <col min="6" max="6" width="11.42578125" bestFit="1" customWidth="1"/>
    <col min="7" max="7" width="6.28515625" bestFit="1" customWidth="1"/>
    <col min="8" max="8" width="6.28515625" style="8" bestFit="1" customWidth="1"/>
    <col min="9" max="10" width="10.7109375" hidden="1" customWidth="1"/>
    <col min="11" max="11" width="11" hidden="1" customWidth="1"/>
    <col min="12" max="12" width="16" style="30" bestFit="1" customWidth="1"/>
    <col min="13" max="13" width="11.42578125" style="30" bestFit="1" customWidth="1"/>
  </cols>
  <sheetData>
    <row r="1" spans="1:13" ht="20.25" x14ac:dyDescent="0.3">
      <c r="A1" s="1" t="s">
        <v>72</v>
      </c>
    </row>
    <row r="2" spans="1:13" ht="12.75" customHeight="1" x14ac:dyDescent="0.3">
      <c r="A2" s="1"/>
    </row>
    <row r="3" spans="1:13" ht="12.75" customHeight="1" x14ac:dyDescent="0.2">
      <c r="A3" s="9" t="s">
        <v>41</v>
      </c>
    </row>
    <row r="4" spans="1:13" ht="12.75" customHeight="1" x14ac:dyDescent="0.2">
      <c r="A4" s="9"/>
      <c r="B4" s="9" t="s">
        <v>42</v>
      </c>
    </row>
    <row r="5" spans="1:13" ht="12.75" customHeight="1" x14ac:dyDescent="0.3">
      <c r="B5" s="1"/>
    </row>
    <row r="6" spans="1:13" s="7" customFormat="1" ht="38.25" x14ac:dyDescent="0.2">
      <c r="B6" s="6" t="s">
        <v>2</v>
      </c>
      <c r="C6" s="6" t="s">
        <v>3</v>
      </c>
      <c r="D6" s="6" t="s">
        <v>19</v>
      </c>
      <c r="F6" s="6"/>
      <c r="G6" s="6"/>
      <c r="H6" s="6"/>
      <c r="I6" s="6"/>
      <c r="J6" s="6"/>
      <c r="K6" s="6"/>
      <c r="L6" s="6"/>
      <c r="M6" s="6"/>
    </row>
    <row r="7" spans="1:13" s="7" customFormat="1" x14ac:dyDescent="0.2">
      <c r="A7" s="10" t="s">
        <v>85</v>
      </c>
      <c r="B7" s="6"/>
      <c r="C7" s="6"/>
      <c r="D7" s="6"/>
      <c r="F7" s="6"/>
      <c r="G7" s="6"/>
      <c r="H7" s="6"/>
      <c r="I7" s="6"/>
      <c r="J7" s="6"/>
      <c r="K7" s="6"/>
      <c r="L7" s="6"/>
      <c r="M7" s="6"/>
    </row>
    <row r="8" spans="1:13" x14ac:dyDescent="0.2">
      <c r="B8" s="11" t="s">
        <v>122</v>
      </c>
      <c r="C8" s="11" t="s">
        <v>86</v>
      </c>
      <c r="D8" s="4">
        <v>100</v>
      </c>
      <c r="E8" t="str">
        <f>IF(D8&gt;100,"May exceed SDRAM frequency","")</f>
        <v/>
      </c>
    </row>
    <row r="9" spans="1:13" x14ac:dyDescent="0.2">
      <c r="B9" t="s">
        <v>17</v>
      </c>
      <c r="C9" s="11" t="s">
        <v>87</v>
      </c>
      <c r="D9" s="2">
        <f>1/D8*1000</f>
        <v>10</v>
      </c>
    </row>
    <row r="10" spans="1:13" hidden="1" x14ac:dyDescent="0.2">
      <c r="C10"/>
      <c r="D10" s="2" t="s">
        <v>39</v>
      </c>
    </row>
    <row r="11" spans="1:13" hidden="1" x14ac:dyDescent="0.2">
      <c r="C11"/>
      <c r="D11" s="2" t="s">
        <v>40</v>
      </c>
    </row>
    <row r="12" spans="1:13" x14ac:dyDescent="0.2">
      <c r="B12" s="11" t="s">
        <v>102</v>
      </c>
      <c r="C12" s="11" t="s">
        <v>101</v>
      </c>
      <c r="D12" s="4">
        <v>0.7</v>
      </c>
    </row>
    <row r="14" spans="1:13" x14ac:dyDescent="0.2">
      <c r="A14" s="5" t="s">
        <v>177</v>
      </c>
    </row>
    <row r="15" spans="1:13" x14ac:dyDescent="0.2">
      <c r="B15" s="11" t="s">
        <v>159</v>
      </c>
      <c r="C15" s="3" t="s">
        <v>157</v>
      </c>
      <c r="D15" s="4">
        <v>15</v>
      </c>
    </row>
    <row r="16" spans="1:13" x14ac:dyDescent="0.2">
      <c r="B16" s="11" t="s">
        <v>160</v>
      </c>
      <c r="C16" s="3" t="s">
        <v>158</v>
      </c>
      <c r="D16" s="4">
        <v>0</v>
      </c>
    </row>
    <row r="17" spans="1:13" x14ac:dyDescent="0.2">
      <c r="B17" s="11"/>
    </row>
    <row r="18" spans="1:13" x14ac:dyDescent="0.2">
      <c r="A18" s="5" t="s">
        <v>178</v>
      </c>
      <c r="B18" s="11"/>
    </row>
    <row r="19" spans="1:13" x14ac:dyDescent="0.2">
      <c r="B19" s="11" t="s">
        <v>165</v>
      </c>
      <c r="C19" s="12" t="s">
        <v>166</v>
      </c>
      <c r="D19" s="4">
        <v>-3</v>
      </c>
    </row>
    <row r="20" spans="1:13" x14ac:dyDescent="0.2">
      <c r="B20" s="11" t="s">
        <v>167</v>
      </c>
      <c r="C20" s="12" t="s">
        <v>168</v>
      </c>
      <c r="D20" s="4">
        <v>-1</v>
      </c>
    </row>
    <row r="21" spans="1:13" x14ac:dyDescent="0.2">
      <c r="B21" s="11" t="s">
        <v>169</v>
      </c>
      <c r="C21" s="12" t="s">
        <v>170</v>
      </c>
      <c r="D21" s="4">
        <v>-3</v>
      </c>
    </row>
    <row r="23" spans="1:13" x14ac:dyDescent="0.2">
      <c r="A23" s="5" t="s">
        <v>179</v>
      </c>
    </row>
    <row r="24" spans="1:13" x14ac:dyDescent="0.2">
      <c r="B24" s="12" t="s">
        <v>161</v>
      </c>
      <c r="C24" s="12" t="s">
        <v>162</v>
      </c>
      <c r="D24" s="4">
        <v>-3</v>
      </c>
    </row>
    <row r="25" spans="1:13" x14ac:dyDescent="0.2">
      <c r="B25" s="12" t="s">
        <v>163</v>
      </c>
      <c r="C25" s="12" t="s">
        <v>164</v>
      </c>
      <c r="D25" s="4">
        <v>-1</v>
      </c>
    </row>
    <row r="26" spans="1:13" x14ac:dyDescent="0.2">
      <c r="B26" s="11" t="s">
        <v>171</v>
      </c>
      <c r="C26" s="12" t="s">
        <v>172</v>
      </c>
      <c r="D26" s="4">
        <v>-3</v>
      </c>
    </row>
    <row r="27" spans="1:13" x14ac:dyDescent="0.2">
      <c r="F27" s="29"/>
    </row>
    <row r="28" spans="1:13" x14ac:dyDescent="0.2">
      <c r="A28" s="5" t="s">
        <v>180</v>
      </c>
      <c r="F28" s="29"/>
    </row>
    <row r="29" spans="1:13" x14ac:dyDescent="0.2">
      <c r="A29" s="11"/>
      <c r="B29" s="11" t="s">
        <v>182</v>
      </c>
      <c r="C29" s="12" t="s">
        <v>181</v>
      </c>
      <c r="D29" s="4">
        <v>-3</v>
      </c>
      <c r="F29" s="29"/>
    </row>
    <row r="30" spans="1:13" x14ac:dyDescent="0.2">
      <c r="A30" s="11"/>
      <c r="F30" s="29"/>
    </row>
    <row r="32" spans="1:13" ht="39" thickBot="1" x14ac:dyDescent="0.25">
      <c r="A32" s="37" t="s">
        <v>58</v>
      </c>
      <c r="B32" s="37"/>
      <c r="C32" s="37"/>
      <c r="D32" s="37"/>
      <c r="E32" s="34"/>
      <c r="F32" s="35" t="s">
        <v>18</v>
      </c>
      <c r="G32" s="35" t="s">
        <v>37</v>
      </c>
      <c r="H32" s="35" t="s">
        <v>36</v>
      </c>
      <c r="I32" s="35" t="s">
        <v>33</v>
      </c>
      <c r="J32" s="35" t="s">
        <v>121</v>
      </c>
      <c r="K32" s="35" t="s">
        <v>35</v>
      </c>
      <c r="L32" s="35" t="s">
        <v>9</v>
      </c>
      <c r="M32" s="35" t="s">
        <v>34</v>
      </c>
    </row>
    <row r="33" spans="1:13" x14ac:dyDescent="0.2">
      <c r="A33" s="5" t="s">
        <v>64</v>
      </c>
    </row>
    <row r="34" spans="1:13" x14ac:dyDescent="0.2">
      <c r="B34" s="11" t="s">
        <v>104</v>
      </c>
      <c r="C34" s="12" t="s">
        <v>31</v>
      </c>
      <c r="D34" s="4">
        <v>16</v>
      </c>
      <c r="F34" t="s">
        <v>28</v>
      </c>
      <c r="G34">
        <f>VLOOKUP(D34,'Valid Values'!$A$3:$B$4,2,FALSE)</f>
        <v>1</v>
      </c>
      <c r="H34" s="8" t="str">
        <f t="shared" ref="H34:H38" si="0">DEC2HEX(G34)</f>
        <v>1</v>
      </c>
      <c r="I34">
        <v>14</v>
      </c>
      <c r="J34">
        <v>14</v>
      </c>
      <c r="K34">
        <f t="shared" ref="K34:K38" si="1">G34*2^I34</f>
        <v>16384</v>
      </c>
      <c r="L34" s="31" t="s">
        <v>63</v>
      </c>
      <c r="M34" s="32" t="str">
        <f>CONCATENATE("0x",DEC2HEX(SUM(K34:K38),8))</f>
        <v>0x00004421</v>
      </c>
    </row>
    <row r="35" spans="1:13" x14ac:dyDescent="0.2">
      <c r="B35" t="s">
        <v>0</v>
      </c>
      <c r="C35" s="12" t="s">
        <v>59</v>
      </c>
      <c r="D35" s="4">
        <v>2</v>
      </c>
      <c r="F35" t="s">
        <v>29</v>
      </c>
      <c r="G35">
        <f>VLOOKUP(D35,'Valid Values'!A7:B8,2,FALSE)</f>
        <v>2</v>
      </c>
      <c r="H35" s="8" t="str">
        <f t="shared" si="0"/>
        <v>2</v>
      </c>
      <c r="I35">
        <v>9</v>
      </c>
      <c r="J35">
        <v>11</v>
      </c>
      <c r="K35">
        <f t="shared" si="1"/>
        <v>1024</v>
      </c>
    </row>
    <row r="36" spans="1:13" x14ac:dyDescent="0.2">
      <c r="B36" t="s">
        <v>1</v>
      </c>
      <c r="C36" s="12" t="s">
        <v>60</v>
      </c>
      <c r="D36" s="4">
        <v>4</v>
      </c>
      <c r="F36" s="11" t="s">
        <v>62</v>
      </c>
      <c r="G36" s="28">
        <v>0</v>
      </c>
      <c r="H36" s="8" t="str">
        <f t="shared" si="0"/>
        <v>0</v>
      </c>
      <c r="I36">
        <v>8</v>
      </c>
      <c r="J36">
        <v>8</v>
      </c>
      <c r="K36">
        <f t="shared" si="1"/>
        <v>0</v>
      </c>
    </row>
    <row r="37" spans="1:13" x14ac:dyDescent="0.2">
      <c r="B37" s="11" t="s">
        <v>209</v>
      </c>
      <c r="C37" s="12" t="s">
        <v>210</v>
      </c>
      <c r="D37" s="15" t="s">
        <v>206</v>
      </c>
      <c r="F37" t="s">
        <v>32</v>
      </c>
      <c r="G37">
        <f>VLOOKUP(D36,'Valid Values'!$A$11:$B$13,2,FALSE)</f>
        <v>2</v>
      </c>
      <c r="H37" s="8" t="str">
        <f t="shared" si="0"/>
        <v>2</v>
      </c>
      <c r="I37">
        <v>4</v>
      </c>
      <c r="J37">
        <v>6</v>
      </c>
      <c r="K37">
        <f t="shared" si="1"/>
        <v>32</v>
      </c>
    </row>
    <row r="38" spans="1:13" x14ac:dyDescent="0.2">
      <c r="B38" s="11" t="s">
        <v>106</v>
      </c>
      <c r="C38" s="12" t="s">
        <v>61</v>
      </c>
      <c r="D38" s="29">
        <f>2^(VLOOKUP($D$37,'Valid Values'!$A$16:$B$19,2,FALSE))</f>
        <v>512</v>
      </c>
      <c r="F38" t="s">
        <v>30</v>
      </c>
      <c r="G38">
        <f>VLOOKUP(D38,'Valid Values'!$A$22:$B$25,2,FALSE)</f>
        <v>1</v>
      </c>
      <c r="H38" s="8" t="str">
        <f t="shared" si="0"/>
        <v>1</v>
      </c>
      <c r="I38">
        <v>0</v>
      </c>
      <c r="J38">
        <v>2</v>
      </c>
      <c r="K38">
        <f t="shared" si="1"/>
        <v>1</v>
      </c>
    </row>
    <row r="41" spans="1:13" x14ac:dyDescent="0.2">
      <c r="A41" s="5" t="s">
        <v>65</v>
      </c>
    </row>
    <row r="42" spans="1:13" x14ac:dyDescent="0.2">
      <c r="B42" s="11" t="s">
        <v>190</v>
      </c>
      <c r="C42" s="12" t="s">
        <v>191</v>
      </c>
      <c r="D42" s="4">
        <v>64</v>
      </c>
      <c r="F42" t="s">
        <v>27</v>
      </c>
      <c r="G42">
        <f>ROUNDDOWN(D43*D8,0)</f>
        <v>781</v>
      </c>
      <c r="H42" s="8" t="str">
        <f>DEC2HEX(G42)</f>
        <v>30D</v>
      </c>
      <c r="I42">
        <v>0</v>
      </c>
      <c r="J42">
        <v>12</v>
      </c>
      <c r="K42">
        <f>G42*2^I42</f>
        <v>781</v>
      </c>
      <c r="L42" s="31" t="s">
        <v>66</v>
      </c>
      <c r="M42" s="32" t="str">
        <f>CONCATENATE("0x",DEC2HEX(SUM(K42:K42),8))</f>
        <v>0x0000030D</v>
      </c>
    </row>
    <row r="43" spans="1:13" x14ac:dyDescent="0.2">
      <c r="B43" t="s">
        <v>38</v>
      </c>
      <c r="C43" s="12" t="s">
        <v>192</v>
      </c>
      <c r="D43" s="29">
        <f>D42*1000/8192</f>
        <v>7.8125</v>
      </c>
    </row>
    <row r="44" spans="1:13" x14ac:dyDescent="0.2">
      <c r="C44" s="12"/>
      <c r="D44" s="29"/>
    </row>
    <row r="46" spans="1:13" x14ac:dyDescent="0.2">
      <c r="A46" s="5" t="s">
        <v>67</v>
      </c>
    </row>
    <row r="47" spans="1:13" ht="25.5" x14ac:dyDescent="0.2">
      <c r="B47" t="s">
        <v>10</v>
      </c>
      <c r="C47" s="12" t="s">
        <v>188</v>
      </c>
      <c r="D47" s="4">
        <v>60</v>
      </c>
      <c r="F47" t="s">
        <v>20</v>
      </c>
      <c r="G47">
        <f>ROUNDUP(D47*$D$8/1000,0)-1</f>
        <v>5</v>
      </c>
      <c r="H47" s="8" t="str">
        <f t="shared" ref="H47:H53" si="2">DEC2HEX(G47)</f>
        <v>5</v>
      </c>
      <c r="I47">
        <v>27</v>
      </c>
      <c r="J47">
        <v>31</v>
      </c>
      <c r="K47">
        <f t="shared" ref="K47:K53" si="3">G47*2^I47</f>
        <v>671088640</v>
      </c>
      <c r="L47" s="31" t="s">
        <v>68</v>
      </c>
      <c r="M47" s="32" t="str">
        <f>CONCATENATE("0x",DEC2HEX(SUM(K47:K53),8))</f>
        <v>0x29114510</v>
      </c>
    </row>
    <row r="48" spans="1:13" ht="25.5" x14ac:dyDescent="0.2">
      <c r="B48" t="s">
        <v>11</v>
      </c>
      <c r="C48" s="12" t="s">
        <v>4</v>
      </c>
      <c r="D48" s="4">
        <v>18</v>
      </c>
      <c r="F48" t="s">
        <v>21</v>
      </c>
      <c r="G48">
        <f>ROUNDUP(D48*$D$8/1000,0)-1</f>
        <v>1</v>
      </c>
      <c r="H48" s="8" t="str">
        <f t="shared" si="2"/>
        <v>1</v>
      </c>
      <c r="I48">
        <v>24</v>
      </c>
      <c r="J48">
        <v>26</v>
      </c>
      <c r="K48">
        <f t="shared" si="3"/>
        <v>16777216</v>
      </c>
    </row>
    <row r="49" spans="1:13" x14ac:dyDescent="0.2">
      <c r="B49" t="s">
        <v>12</v>
      </c>
      <c r="C49" s="3" t="s">
        <v>5</v>
      </c>
      <c r="D49" s="4">
        <v>18</v>
      </c>
      <c r="F49" t="s">
        <v>22</v>
      </c>
      <c r="G49">
        <f>ROUNDUP(D49*$D$8/1000,0)-1</f>
        <v>1</v>
      </c>
      <c r="H49" s="8" t="str">
        <f t="shared" si="2"/>
        <v>1</v>
      </c>
      <c r="I49">
        <v>20</v>
      </c>
      <c r="J49">
        <v>22</v>
      </c>
      <c r="K49">
        <f t="shared" si="3"/>
        <v>1048576</v>
      </c>
    </row>
    <row r="50" spans="1:13" ht="25.5" x14ac:dyDescent="0.2">
      <c r="B50" t="s">
        <v>13</v>
      </c>
      <c r="C50" s="12" t="s">
        <v>189</v>
      </c>
      <c r="D50" s="4">
        <v>14</v>
      </c>
      <c r="F50" t="s">
        <v>23</v>
      </c>
      <c r="G50">
        <f>ROUNDUP(D50*$D$8/1000,0)-1</f>
        <v>1</v>
      </c>
      <c r="H50" s="8" t="str">
        <f t="shared" si="2"/>
        <v>1</v>
      </c>
      <c r="I50">
        <v>16</v>
      </c>
      <c r="J50">
        <v>18</v>
      </c>
      <c r="K50">
        <f t="shared" si="3"/>
        <v>65536</v>
      </c>
    </row>
    <row r="51" spans="1:13" x14ac:dyDescent="0.2">
      <c r="B51" t="s">
        <v>14</v>
      </c>
      <c r="C51" s="13" t="s">
        <v>6</v>
      </c>
      <c r="D51" s="4">
        <v>42</v>
      </c>
      <c r="F51" t="s">
        <v>24</v>
      </c>
      <c r="G51">
        <f>IF(D51&lt;D49,G49,ROUNDUP(D51*$D$8/1000,0)-1)</f>
        <v>4</v>
      </c>
      <c r="H51" s="8" t="str">
        <f t="shared" si="2"/>
        <v>4</v>
      </c>
      <c r="I51">
        <v>12</v>
      </c>
      <c r="J51">
        <v>15</v>
      </c>
      <c r="K51">
        <f t="shared" si="3"/>
        <v>16384</v>
      </c>
    </row>
    <row r="52" spans="1:13" ht="25.5" x14ac:dyDescent="0.2">
      <c r="B52" t="s">
        <v>15</v>
      </c>
      <c r="C52" s="3" t="s">
        <v>7</v>
      </c>
      <c r="D52" s="4">
        <v>60</v>
      </c>
      <c r="F52" t="s">
        <v>25</v>
      </c>
      <c r="G52">
        <f>ROUNDUP(D52*$D$8/1000,0)-1</f>
        <v>5</v>
      </c>
      <c r="H52" s="8" t="str">
        <f t="shared" si="2"/>
        <v>5</v>
      </c>
      <c r="I52">
        <v>8</v>
      </c>
      <c r="J52">
        <v>11</v>
      </c>
      <c r="K52">
        <f t="shared" si="3"/>
        <v>1280</v>
      </c>
    </row>
    <row r="53" spans="1:13" ht="25.5" x14ac:dyDescent="0.2">
      <c r="B53" t="s">
        <v>16</v>
      </c>
      <c r="C53" s="3" t="s">
        <v>8</v>
      </c>
      <c r="D53" s="4">
        <v>14</v>
      </c>
      <c r="F53" t="s">
        <v>26</v>
      </c>
      <c r="G53">
        <f>ROUNDUP(D53*$D$8/1000,0)-1</f>
        <v>1</v>
      </c>
      <c r="H53" s="8" t="str">
        <f t="shared" si="2"/>
        <v>1</v>
      </c>
      <c r="I53">
        <v>4</v>
      </c>
      <c r="J53">
        <v>6</v>
      </c>
      <c r="K53">
        <f t="shared" si="3"/>
        <v>16</v>
      </c>
    </row>
    <row r="56" spans="1:13" x14ac:dyDescent="0.2">
      <c r="A56" s="5" t="s">
        <v>69</v>
      </c>
    </row>
    <row r="57" spans="1:13" x14ac:dyDescent="0.2">
      <c r="B57" s="11" t="s">
        <v>186</v>
      </c>
      <c r="C57" s="12" t="s">
        <v>187</v>
      </c>
      <c r="D57" s="4">
        <v>70</v>
      </c>
      <c r="F57" s="11" t="s">
        <v>71</v>
      </c>
      <c r="G57">
        <f>ROUNDUP(D57*$D$8/1000,0)-1</f>
        <v>6</v>
      </c>
      <c r="H57" s="8" t="str">
        <f t="shared" ref="H57" si="4">DEC2HEX(G57)</f>
        <v>6</v>
      </c>
      <c r="I57">
        <v>0</v>
      </c>
      <c r="J57">
        <v>4</v>
      </c>
      <c r="K57">
        <f t="shared" ref="K57" si="5">G57*2^I57</f>
        <v>6</v>
      </c>
      <c r="L57" s="31" t="s">
        <v>70</v>
      </c>
      <c r="M57" s="32" t="str">
        <f>CONCATENATE("0x",DEC2HEX(SUM(K57:K57),8))</f>
        <v>0x00000006</v>
      </c>
    </row>
    <row r="61" spans="1:13" ht="39" thickBot="1" x14ac:dyDescent="0.25">
      <c r="A61" s="37" t="s">
        <v>73</v>
      </c>
      <c r="B61" s="37"/>
      <c r="C61" s="37"/>
      <c r="D61" s="37"/>
      <c r="E61" s="34"/>
      <c r="F61" s="35" t="s">
        <v>18</v>
      </c>
      <c r="G61" s="35" t="s">
        <v>37</v>
      </c>
      <c r="H61" s="35" t="s">
        <v>36</v>
      </c>
      <c r="I61" s="35" t="s">
        <v>33</v>
      </c>
      <c r="J61" s="35" t="s">
        <v>121</v>
      </c>
      <c r="K61" s="35" t="s">
        <v>35</v>
      </c>
      <c r="L61" s="35" t="s">
        <v>9</v>
      </c>
      <c r="M61" s="35" t="s">
        <v>34</v>
      </c>
    </row>
    <row r="62" spans="1:13" x14ac:dyDescent="0.2">
      <c r="A62" s="5" t="s">
        <v>75</v>
      </c>
    </row>
    <row r="63" spans="1:13" x14ac:dyDescent="0.2">
      <c r="B63" s="11" t="s">
        <v>89</v>
      </c>
      <c r="C63" s="12" t="s">
        <v>90</v>
      </c>
      <c r="D63" s="15" t="s">
        <v>92</v>
      </c>
      <c r="F63" s="11" t="s">
        <v>91</v>
      </c>
      <c r="G63">
        <f>VLOOKUP(D63,'Valid Values'!$A$28:$B$29,2,FALSE)</f>
        <v>0</v>
      </c>
      <c r="H63" s="8" t="str">
        <f t="shared" ref="H63:H66" si="6">DEC2HEX(G63)</f>
        <v>0</v>
      </c>
      <c r="I63">
        <v>31</v>
      </c>
      <c r="J63">
        <v>31</v>
      </c>
      <c r="K63">
        <f t="shared" ref="K63:K66" si="7">G63*2^I63</f>
        <v>0</v>
      </c>
      <c r="L63" s="31" t="s">
        <v>74</v>
      </c>
      <c r="M63" s="32" t="str">
        <f>CONCATENATE("0x",DEC2HEX(SUM(K63:K72),8))</f>
        <v>0x00000101</v>
      </c>
    </row>
    <row r="64" spans="1:13" x14ac:dyDescent="0.2">
      <c r="B64" s="11" t="s">
        <v>76</v>
      </c>
      <c r="C64" s="12" t="s">
        <v>123</v>
      </c>
      <c r="D64" s="15" t="s">
        <v>92</v>
      </c>
      <c r="F64" s="11" t="s">
        <v>94</v>
      </c>
      <c r="G64">
        <f>VLOOKUP(D64,'Valid Values'!$A$32:$B$33,2,FALSE)</f>
        <v>0</v>
      </c>
      <c r="H64" s="8" t="str">
        <f t="shared" si="6"/>
        <v>0</v>
      </c>
      <c r="I64">
        <v>30</v>
      </c>
      <c r="J64">
        <v>30</v>
      </c>
      <c r="K64">
        <f t="shared" si="7"/>
        <v>0</v>
      </c>
    </row>
    <row r="65" spans="1:13" ht="38.25" x14ac:dyDescent="0.2">
      <c r="B65" s="12" t="s">
        <v>95</v>
      </c>
      <c r="C65" s="12" t="s">
        <v>173</v>
      </c>
      <c r="D65" s="4">
        <v>0</v>
      </c>
      <c r="F65" s="11" t="s">
        <v>77</v>
      </c>
      <c r="G65">
        <f>MAX(0,ROUNDUP((D65-$D$24)*$D$8/1000,0)-1)</f>
        <v>0</v>
      </c>
      <c r="H65" s="8" t="str">
        <f t="shared" si="6"/>
        <v>0</v>
      </c>
      <c r="I65">
        <v>26</v>
      </c>
      <c r="J65">
        <v>29</v>
      </c>
      <c r="K65">
        <f t="shared" si="7"/>
        <v>0</v>
      </c>
    </row>
    <row r="66" spans="1:13" ht="38.25" x14ac:dyDescent="0.2">
      <c r="B66" s="11" t="s">
        <v>96</v>
      </c>
      <c r="C66" s="12" t="s">
        <v>174</v>
      </c>
      <c r="D66" s="4">
        <v>8</v>
      </c>
      <c r="F66" s="11" t="s">
        <v>78</v>
      </c>
      <c r="G66">
        <f>MAX(0,ROUNDUP((D66-$D$25)*$D$8/1000,0)-1)</f>
        <v>0</v>
      </c>
      <c r="H66" s="8" t="str">
        <f t="shared" si="6"/>
        <v>0</v>
      </c>
      <c r="I66">
        <v>20</v>
      </c>
      <c r="J66">
        <v>25</v>
      </c>
      <c r="K66">
        <f t="shared" si="7"/>
        <v>0</v>
      </c>
    </row>
    <row r="67" spans="1:13" ht="38.25" x14ac:dyDescent="0.2">
      <c r="B67" s="11" t="s">
        <v>97</v>
      </c>
      <c r="C67" s="12" t="s">
        <v>175</v>
      </c>
      <c r="D67" s="4">
        <v>0</v>
      </c>
      <c r="F67" s="11" t="s">
        <v>79</v>
      </c>
      <c r="G67">
        <f>MAX(0,ROUNDUP((D67-$D$26)*$D$8/1000,0)-1)</f>
        <v>0</v>
      </c>
      <c r="H67" s="8" t="str">
        <f t="shared" ref="H67:H69" si="8">DEC2HEX(G67)</f>
        <v>0</v>
      </c>
      <c r="I67">
        <v>17</v>
      </c>
      <c r="J67">
        <v>19</v>
      </c>
      <c r="K67">
        <f t="shared" ref="K67:K69" si="9">G67*2^I67</f>
        <v>0</v>
      </c>
    </row>
    <row r="68" spans="1:13" ht="38.25" x14ac:dyDescent="0.2">
      <c r="B68" s="12" t="s">
        <v>98</v>
      </c>
      <c r="C68" s="12" t="s">
        <v>176</v>
      </c>
      <c r="D68" s="4">
        <v>5.5</v>
      </c>
      <c r="F68" s="11" t="s">
        <v>80</v>
      </c>
      <c r="G68">
        <f>MAX(0,ROUNDUP((D68-$D$19)*$D$8/1000,0)-1)</f>
        <v>0</v>
      </c>
      <c r="H68" s="8" t="str">
        <f t="shared" si="8"/>
        <v>0</v>
      </c>
      <c r="I68">
        <v>13</v>
      </c>
      <c r="J68">
        <v>16</v>
      </c>
      <c r="K68">
        <f t="shared" si="9"/>
        <v>0</v>
      </c>
    </row>
    <row r="69" spans="1:13" ht="51" x14ac:dyDescent="0.2">
      <c r="B69" s="11" t="s">
        <v>99</v>
      </c>
      <c r="C69" s="12" t="s">
        <v>183</v>
      </c>
      <c r="D69" s="4">
        <v>5</v>
      </c>
      <c r="F69" s="11" t="s">
        <v>81</v>
      </c>
      <c r="G69">
        <f>MAX(0,ROUNDUP(((D69-$D$20+$D$15)+(2*$D$12))*$D$8/1000,0)-1)</f>
        <v>2</v>
      </c>
      <c r="H69" s="8" t="str">
        <f t="shared" si="8"/>
        <v>2</v>
      </c>
      <c r="I69">
        <v>7</v>
      </c>
      <c r="J69">
        <v>12</v>
      </c>
      <c r="K69">
        <f t="shared" si="9"/>
        <v>256</v>
      </c>
    </row>
    <row r="70" spans="1:13" ht="38.25" x14ac:dyDescent="0.2">
      <c r="B70" s="11" t="s">
        <v>100</v>
      </c>
      <c r="C70" s="12" t="s">
        <v>184</v>
      </c>
      <c r="D70" s="4">
        <v>0</v>
      </c>
      <c r="F70" s="11" t="s">
        <v>82</v>
      </c>
      <c r="G70">
        <f>MAX(0,ROUNDUP((D70-$D$21+$D$16)*$D$8/1000,0)-1)</f>
        <v>0</v>
      </c>
      <c r="H70" s="8" t="str">
        <f t="shared" ref="H70" si="10">DEC2HEX(G70)</f>
        <v>0</v>
      </c>
      <c r="I70">
        <v>4</v>
      </c>
      <c r="J70">
        <v>6</v>
      </c>
      <c r="K70">
        <f t="shared" ref="K70" si="11">G70*2^I70</f>
        <v>0</v>
      </c>
    </row>
    <row r="71" spans="1:13" ht="38.25" x14ac:dyDescent="0.2">
      <c r="B71" s="11" t="s">
        <v>103</v>
      </c>
      <c r="C71" s="12" t="s">
        <v>215</v>
      </c>
      <c r="D71" s="4">
        <v>5</v>
      </c>
      <c r="F71" s="11" t="s">
        <v>83</v>
      </c>
      <c r="G71">
        <f>MAX(0,ROUNDUP((D71-$D$29)*$D$8/1000,0)-1)</f>
        <v>0</v>
      </c>
      <c r="H71" s="8" t="str">
        <f t="shared" ref="H71:H72" si="12">DEC2HEX(G71)</f>
        <v>0</v>
      </c>
      <c r="I71">
        <v>2</v>
      </c>
      <c r="J71">
        <v>3</v>
      </c>
      <c r="K71">
        <f t="shared" ref="K71" si="13">G71*2^I71</f>
        <v>0</v>
      </c>
    </row>
    <row r="72" spans="1:13" x14ac:dyDescent="0.2">
      <c r="B72" s="11" t="s">
        <v>104</v>
      </c>
      <c r="C72" s="12" t="s">
        <v>105</v>
      </c>
      <c r="D72" s="4">
        <v>16</v>
      </c>
      <c r="F72" s="11" t="s">
        <v>84</v>
      </c>
      <c r="G72">
        <f>VLOOKUP(D72,'Valid Values'!$A$36:$B$38,2,FALSE)</f>
        <v>1</v>
      </c>
      <c r="H72" s="8" t="str">
        <f t="shared" si="12"/>
        <v>1</v>
      </c>
      <c r="I72">
        <v>0</v>
      </c>
      <c r="J72">
        <v>1</v>
      </c>
      <c r="K72">
        <f t="shared" ref="K72" si="14">G72*2^I72</f>
        <v>1</v>
      </c>
    </row>
    <row r="73" spans="1:13" ht="38.25" x14ac:dyDescent="0.2">
      <c r="C73" s="36" t="str">
        <f>VLOOKUP(D72,'Valid Values'!$A$36:$C$38,3,FALSE)</f>
        <v>MEM[A0] = EMIF[BA1]
MEM[A1] = EMIF[A0]
MEM[A2] = EMIF[A1]</v>
      </c>
    </row>
    <row r="77" spans="1:13" ht="39" thickBot="1" x14ac:dyDescent="0.25">
      <c r="A77" s="37" t="s">
        <v>108</v>
      </c>
      <c r="B77" s="37"/>
      <c r="C77" s="37"/>
      <c r="D77" s="37"/>
      <c r="E77" s="34"/>
      <c r="F77" s="35" t="s">
        <v>18</v>
      </c>
      <c r="G77" s="35" t="s">
        <v>37</v>
      </c>
      <c r="H77" s="35" t="s">
        <v>36</v>
      </c>
      <c r="I77" s="35" t="s">
        <v>33</v>
      </c>
      <c r="J77" s="35" t="s">
        <v>121</v>
      </c>
      <c r="K77" s="35" t="s">
        <v>35</v>
      </c>
      <c r="L77" s="35" t="s">
        <v>9</v>
      </c>
      <c r="M77" s="35" t="s">
        <v>34</v>
      </c>
    </row>
    <row r="78" spans="1:13" x14ac:dyDescent="0.2">
      <c r="A78" s="5" t="s">
        <v>109</v>
      </c>
    </row>
    <row r="79" spans="1:13" x14ac:dyDescent="0.2">
      <c r="B79" s="11" t="s">
        <v>89</v>
      </c>
      <c r="C79" s="12" t="s">
        <v>90</v>
      </c>
      <c r="D79" s="15" t="s">
        <v>92</v>
      </c>
      <c r="F79" s="11" t="s">
        <v>91</v>
      </c>
      <c r="G79">
        <f>VLOOKUP(D79,'Valid Values'!$A$28:$B$29,2,FALSE)</f>
        <v>0</v>
      </c>
      <c r="H79" s="8" t="str">
        <f t="shared" ref="H79:H88" si="15">DEC2HEX(G79)</f>
        <v>0</v>
      </c>
      <c r="I79">
        <v>31</v>
      </c>
      <c r="J79">
        <v>31</v>
      </c>
      <c r="K79">
        <f t="shared" ref="K79:K88" si="16">G79*2^I79</f>
        <v>0</v>
      </c>
      <c r="L79" s="31" t="s">
        <v>110</v>
      </c>
      <c r="M79" s="32" t="str">
        <f>CONCATENATE("0x",DEC2HEX(SUM(K79:K88),8))</f>
        <v>0x00000081</v>
      </c>
    </row>
    <row r="80" spans="1:13" x14ac:dyDescent="0.2">
      <c r="B80" s="11" t="s">
        <v>76</v>
      </c>
      <c r="C80" s="12" t="s">
        <v>123</v>
      </c>
      <c r="D80" s="15" t="s">
        <v>92</v>
      </c>
      <c r="F80" s="11" t="s">
        <v>94</v>
      </c>
      <c r="G80">
        <f>VLOOKUP(D80,'Valid Values'!$A$32:$B$33,2,FALSE)</f>
        <v>0</v>
      </c>
      <c r="H80" s="8" t="str">
        <f t="shared" si="15"/>
        <v>0</v>
      </c>
      <c r="I80">
        <v>30</v>
      </c>
      <c r="J80">
        <v>30</v>
      </c>
      <c r="K80">
        <f t="shared" si="16"/>
        <v>0</v>
      </c>
    </row>
    <row r="81" spans="1:13" ht="38.25" x14ac:dyDescent="0.2">
      <c r="B81" s="12" t="s">
        <v>95</v>
      </c>
      <c r="C81" s="12" t="s">
        <v>173</v>
      </c>
      <c r="D81" s="4">
        <v>0</v>
      </c>
      <c r="F81" s="11" t="s">
        <v>77</v>
      </c>
      <c r="G81">
        <f>MAX(0,ROUNDUP((D81-$D$24)*$D$8/1000,0)-1)</f>
        <v>0</v>
      </c>
      <c r="H81" s="8" t="str">
        <f t="shared" si="15"/>
        <v>0</v>
      </c>
      <c r="I81">
        <v>26</v>
      </c>
      <c r="J81">
        <v>29</v>
      </c>
      <c r="K81">
        <f t="shared" si="16"/>
        <v>0</v>
      </c>
    </row>
    <row r="82" spans="1:13" ht="38.25" x14ac:dyDescent="0.2">
      <c r="B82" s="11" t="s">
        <v>96</v>
      </c>
      <c r="C82" s="12" t="s">
        <v>174</v>
      </c>
      <c r="D82" s="4">
        <v>0</v>
      </c>
      <c r="F82" s="11" t="s">
        <v>78</v>
      </c>
      <c r="G82">
        <f>MAX(0,ROUNDUP((D82-$D$25)*$D$8/1000,0)-1)</f>
        <v>0</v>
      </c>
      <c r="H82" s="8" t="str">
        <f t="shared" si="15"/>
        <v>0</v>
      </c>
      <c r="I82">
        <v>20</v>
      </c>
      <c r="J82">
        <v>25</v>
      </c>
      <c r="K82">
        <f t="shared" si="16"/>
        <v>0</v>
      </c>
    </row>
    <row r="83" spans="1:13" ht="38.25" x14ac:dyDescent="0.2">
      <c r="B83" s="11" t="s">
        <v>97</v>
      </c>
      <c r="C83" s="12" t="s">
        <v>175</v>
      </c>
      <c r="D83" s="4">
        <v>0</v>
      </c>
      <c r="F83" s="11" t="s">
        <v>79</v>
      </c>
      <c r="G83">
        <f>MAX(0,ROUNDUP((D83-$D$26)*$D$8/1000,0)-1)</f>
        <v>0</v>
      </c>
      <c r="H83" s="8" t="str">
        <f t="shared" si="15"/>
        <v>0</v>
      </c>
      <c r="I83">
        <v>17</v>
      </c>
      <c r="J83">
        <v>19</v>
      </c>
      <c r="K83">
        <f t="shared" si="16"/>
        <v>0</v>
      </c>
    </row>
    <row r="84" spans="1:13" ht="38.25" x14ac:dyDescent="0.2">
      <c r="B84" s="12" t="s">
        <v>98</v>
      </c>
      <c r="C84" s="12" t="s">
        <v>176</v>
      </c>
      <c r="D84" s="4">
        <v>0</v>
      </c>
      <c r="F84" s="11" t="s">
        <v>80</v>
      </c>
      <c r="G84">
        <f>MAX(0,ROUNDUP((D84-$D$19)*$D$8/1000,0)-1)</f>
        <v>0</v>
      </c>
      <c r="H84" s="8" t="str">
        <f t="shared" si="15"/>
        <v>0</v>
      </c>
      <c r="I84">
        <v>13</v>
      </c>
      <c r="J84">
        <v>16</v>
      </c>
      <c r="K84">
        <f t="shared" si="16"/>
        <v>0</v>
      </c>
    </row>
    <row r="85" spans="1:13" ht="51" x14ac:dyDescent="0.2">
      <c r="B85" s="11" t="s">
        <v>99</v>
      </c>
      <c r="C85" s="12" t="s">
        <v>183</v>
      </c>
      <c r="D85" s="4">
        <v>0</v>
      </c>
      <c r="F85" s="11" t="s">
        <v>81</v>
      </c>
      <c r="G85">
        <f>MAX(0,ROUNDUP(((D85-$D$20+$D$15)+(2*$D$12))*$D$8/1000,0)-1)</f>
        <v>1</v>
      </c>
      <c r="H85" s="8" t="str">
        <f t="shared" si="15"/>
        <v>1</v>
      </c>
      <c r="I85">
        <v>7</v>
      </c>
      <c r="J85">
        <v>12</v>
      </c>
      <c r="K85">
        <f t="shared" si="16"/>
        <v>128</v>
      </c>
    </row>
    <row r="86" spans="1:13" ht="38.25" x14ac:dyDescent="0.2">
      <c r="B86" s="11" t="s">
        <v>100</v>
      </c>
      <c r="C86" s="12" t="s">
        <v>184</v>
      </c>
      <c r="D86" s="4">
        <v>0</v>
      </c>
      <c r="F86" s="11" t="s">
        <v>82</v>
      </c>
      <c r="G86">
        <f>MAX(0,ROUNDUP((D86-$D$21+$D$16)*$D$8/1000,0)-1)</f>
        <v>0</v>
      </c>
      <c r="H86" s="8" t="str">
        <f t="shared" si="15"/>
        <v>0</v>
      </c>
      <c r="I86">
        <v>4</v>
      </c>
      <c r="J86">
        <v>6</v>
      </c>
      <c r="K86">
        <f t="shared" si="16"/>
        <v>0</v>
      </c>
    </row>
    <row r="87" spans="1:13" ht="38.25" x14ac:dyDescent="0.2">
      <c r="B87" s="11" t="s">
        <v>103</v>
      </c>
      <c r="C87" s="12" t="s">
        <v>215</v>
      </c>
      <c r="D87" s="4">
        <v>0</v>
      </c>
      <c r="F87" s="11" t="s">
        <v>83</v>
      </c>
      <c r="G87">
        <f>MAX(0,ROUNDUP((D87-$D$29)*$D$8/1000,0)-1)</f>
        <v>0</v>
      </c>
      <c r="H87" s="8" t="str">
        <f t="shared" si="15"/>
        <v>0</v>
      </c>
      <c r="I87">
        <v>2</v>
      </c>
      <c r="J87">
        <v>3</v>
      </c>
      <c r="K87">
        <f t="shared" si="16"/>
        <v>0</v>
      </c>
    </row>
    <row r="88" spans="1:13" x14ac:dyDescent="0.2">
      <c r="B88" s="11" t="s">
        <v>104</v>
      </c>
      <c r="C88" s="12" t="s">
        <v>105</v>
      </c>
      <c r="D88" s="4">
        <v>16</v>
      </c>
      <c r="F88" s="11" t="s">
        <v>84</v>
      </c>
      <c r="G88">
        <f>VLOOKUP(D88,'Valid Values'!$A$36:$B$38,2,FALSE)</f>
        <v>1</v>
      </c>
      <c r="H88" s="8" t="str">
        <f t="shared" si="15"/>
        <v>1</v>
      </c>
      <c r="I88">
        <v>0</v>
      </c>
      <c r="J88">
        <v>1</v>
      </c>
      <c r="K88">
        <f t="shared" si="16"/>
        <v>1</v>
      </c>
    </row>
    <row r="89" spans="1:13" ht="38.25" x14ac:dyDescent="0.2">
      <c r="C89" s="36" t="str">
        <f>VLOOKUP(D88,'Valid Values'!$A$36:$C$38,3,FALSE)</f>
        <v>MEM[A0] = EMIF[BA1]
MEM[A1] = EMIF[A0]
MEM[A2] = EMIF[A1]</v>
      </c>
    </row>
    <row r="90" spans="1:13" x14ac:dyDescent="0.2">
      <c r="C90" s="36"/>
    </row>
    <row r="93" spans="1:13" ht="39" thickBot="1" x14ac:dyDescent="0.25">
      <c r="A93" s="37" t="s">
        <v>111</v>
      </c>
      <c r="B93" s="37"/>
      <c r="C93" s="37"/>
      <c r="D93" s="37"/>
      <c r="E93" s="34"/>
      <c r="F93" s="35" t="s">
        <v>18</v>
      </c>
      <c r="G93" s="35" t="s">
        <v>37</v>
      </c>
      <c r="H93" s="35" t="s">
        <v>36</v>
      </c>
      <c r="I93" s="35" t="s">
        <v>33</v>
      </c>
      <c r="J93" s="35" t="s">
        <v>121</v>
      </c>
      <c r="K93" s="35" t="s">
        <v>35</v>
      </c>
      <c r="L93" s="35" t="s">
        <v>9</v>
      </c>
      <c r="M93" s="35" t="s">
        <v>34</v>
      </c>
    </row>
    <row r="94" spans="1:13" x14ac:dyDescent="0.2">
      <c r="A94" s="5" t="s">
        <v>112</v>
      </c>
    </row>
    <row r="95" spans="1:13" x14ac:dyDescent="0.2">
      <c r="B95" s="11" t="s">
        <v>89</v>
      </c>
      <c r="C95" s="12" t="s">
        <v>90</v>
      </c>
      <c r="D95" s="15" t="s">
        <v>92</v>
      </c>
      <c r="F95" s="11" t="s">
        <v>91</v>
      </c>
      <c r="G95">
        <f>VLOOKUP(D95,'Valid Values'!$A$28:$B$29,2,FALSE)</f>
        <v>0</v>
      </c>
      <c r="H95" s="8" t="str">
        <f t="shared" ref="H95:H104" si="17">DEC2HEX(G95)</f>
        <v>0</v>
      </c>
      <c r="I95">
        <v>31</v>
      </c>
      <c r="J95">
        <v>31</v>
      </c>
      <c r="K95">
        <f t="shared" ref="K95:K104" si="18">G95*2^I95</f>
        <v>0</v>
      </c>
      <c r="L95" s="31" t="s">
        <v>113</v>
      </c>
      <c r="M95" s="32" t="str">
        <f>CONCATENATE("0x",DEC2HEX(SUM(K95:K104),8))</f>
        <v>0x00000081</v>
      </c>
    </row>
    <row r="96" spans="1:13" x14ac:dyDescent="0.2">
      <c r="B96" s="11" t="s">
        <v>76</v>
      </c>
      <c r="C96" s="12" t="s">
        <v>123</v>
      </c>
      <c r="D96" s="15" t="s">
        <v>92</v>
      </c>
      <c r="F96" s="11" t="s">
        <v>94</v>
      </c>
      <c r="G96">
        <f>VLOOKUP(D96,'Valid Values'!$A$32:$B$33,2,FALSE)</f>
        <v>0</v>
      </c>
      <c r="H96" s="8" t="str">
        <f t="shared" si="17"/>
        <v>0</v>
      </c>
      <c r="I96">
        <v>30</v>
      </c>
      <c r="J96">
        <v>30</v>
      </c>
      <c r="K96">
        <f t="shared" si="18"/>
        <v>0</v>
      </c>
    </row>
    <row r="97" spans="2:11" ht="38.25" x14ac:dyDescent="0.2">
      <c r="B97" s="12" t="s">
        <v>95</v>
      </c>
      <c r="C97" s="12" t="s">
        <v>173</v>
      </c>
      <c r="D97" s="4">
        <v>0</v>
      </c>
      <c r="F97" s="11" t="s">
        <v>77</v>
      </c>
      <c r="G97">
        <f>MAX(0,ROUNDUP((D97-$D$24)*$D$8/1000,0)-1)</f>
        <v>0</v>
      </c>
      <c r="H97" s="8" t="str">
        <f t="shared" si="17"/>
        <v>0</v>
      </c>
      <c r="I97">
        <v>26</v>
      </c>
      <c r="J97">
        <v>29</v>
      </c>
      <c r="K97">
        <f t="shared" si="18"/>
        <v>0</v>
      </c>
    </row>
    <row r="98" spans="2:11" ht="38.25" x14ac:dyDescent="0.2">
      <c r="B98" s="11" t="s">
        <v>96</v>
      </c>
      <c r="C98" s="12" t="s">
        <v>174</v>
      </c>
      <c r="D98" s="4">
        <v>0</v>
      </c>
      <c r="F98" s="11" t="s">
        <v>78</v>
      </c>
      <c r="G98">
        <f>MAX(0,ROUNDUP((D98-$D$25)*$D$8/1000,0)-1)</f>
        <v>0</v>
      </c>
      <c r="H98" s="8" t="str">
        <f t="shared" si="17"/>
        <v>0</v>
      </c>
      <c r="I98">
        <v>20</v>
      </c>
      <c r="J98">
        <v>25</v>
      </c>
      <c r="K98">
        <f t="shared" si="18"/>
        <v>0</v>
      </c>
    </row>
    <row r="99" spans="2:11" ht="38.25" x14ac:dyDescent="0.2">
      <c r="B99" s="11" t="s">
        <v>97</v>
      </c>
      <c r="C99" s="12" t="s">
        <v>175</v>
      </c>
      <c r="D99" s="4">
        <v>0</v>
      </c>
      <c r="F99" s="11" t="s">
        <v>79</v>
      </c>
      <c r="G99">
        <f>MAX(0,ROUNDUP((D99-$D$26)*$D$8/1000,0)-1)</f>
        <v>0</v>
      </c>
      <c r="H99" s="8" t="str">
        <f t="shared" si="17"/>
        <v>0</v>
      </c>
      <c r="I99">
        <v>17</v>
      </c>
      <c r="J99">
        <v>19</v>
      </c>
      <c r="K99">
        <f t="shared" si="18"/>
        <v>0</v>
      </c>
    </row>
    <row r="100" spans="2:11" ht="38.25" x14ac:dyDescent="0.2">
      <c r="B100" s="12" t="s">
        <v>98</v>
      </c>
      <c r="C100" s="12" t="s">
        <v>176</v>
      </c>
      <c r="D100" s="4">
        <v>0</v>
      </c>
      <c r="F100" s="11" t="s">
        <v>80</v>
      </c>
      <c r="G100">
        <f>MAX(0,ROUNDUP((D100-$D$19)*$D$8/1000,0)-1)</f>
        <v>0</v>
      </c>
      <c r="H100" s="8" t="str">
        <f t="shared" si="17"/>
        <v>0</v>
      </c>
      <c r="I100">
        <v>13</v>
      </c>
      <c r="J100">
        <v>16</v>
      </c>
      <c r="K100">
        <f t="shared" si="18"/>
        <v>0</v>
      </c>
    </row>
    <row r="101" spans="2:11" ht="51" x14ac:dyDescent="0.2">
      <c r="B101" s="11" t="s">
        <v>99</v>
      </c>
      <c r="C101" s="12" t="s">
        <v>183</v>
      </c>
      <c r="D101" s="4">
        <v>0</v>
      </c>
      <c r="F101" s="11" t="s">
        <v>81</v>
      </c>
      <c r="G101">
        <f>MAX(0,ROUNDUP(((D101-$D$20+$D$15)+(2*$D$12))*$D$8/1000,0)-1)</f>
        <v>1</v>
      </c>
      <c r="H101" s="8" t="str">
        <f t="shared" si="17"/>
        <v>1</v>
      </c>
      <c r="I101">
        <v>7</v>
      </c>
      <c r="J101">
        <v>12</v>
      </c>
      <c r="K101">
        <f t="shared" si="18"/>
        <v>128</v>
      </c>
    </row>
    <row r="102" spans="2:11" ht="38.25" x14ac:dyDescent="0.2">
      <c r="B102" s="11" t="s">
        <v>100</v>
      </c>
      <c r="C102" s="12" t="s">
        <v>184</v>
      </c>
      <c r="D102" s="4">
        <v>0</v>
      </c>
      <c r="F102" s="11" t="s">
        <v>82</v>
      </c>
      <c r="G102">
        <f>MAX(0,ROUNDUP((D102-$D$21+$D$16)*$D$8/1000,0)-1)</f>
        <v>0</v>
      </c>
      <c r="H102" s="8" t="str">
        <f t="shared" si="17"/>
        <v>0</v>
      </c>
      <c r="I102">
        <v>4</v>
      </c>
      <c r="J102">
        <v>6</v>
      </c>
      <c r="K102">
        <f t="shared" si="18"/>
        <v>0</v>
      </c>
    </row>
    <row r="103" spans="2:11" ht="38.25" x14ac:dyDescent="0.2">
      <c r="B103" s="11" t="s">
        <v>103</v>
      </c>
      <c r="C103" s="12" t="s">
        <v>215</v>
      </c>
      <c r="D103" s="4">
        <v>0</v>
      </c>
      <c r="F103" s="11" t="s">
        <v>83</v>
      </c>
      <c r="G103">
        <f>MAX(0,ROUNDUP((D103-$D$29)*$D$8/1000,0)-1)</f>
        <v>0</v>
      </c>
      <c r="H103" s="8" t="str">
        <f t="shared" si="17"/>
        <v>0</v>
      </c>
      <c r="I103">
        <v>2</v>
      </c>
      <c r="J103">
        <v>3</v>
      </c>
      <c r="K103">
        <f t="shared" si="18"/>
        <v>0</v>
      </c>
    </row>
    <row r="104" spans="2:11" x14ac:dyDescent="0.2">
      <c r="B104" s="11" t="s">
        <v>104</v>
      </c>
      <c r="C104" s="12" t="s">
        <v>105</v>
      </c>
      <c r="D104" s="4">
        <v>16</v>
      </c>
      <c r="F104" s="11" t="s">
        <v>84</v>
      </c>
      <c r="G104">
        <f>VLOOKUP(D104,'Valid Values'!$A$36:$B$38,2,FALSE)</f>
        <v>1</v>
      </c>
      <c r="H104" s="8" t="str">
        <f t="shared" si="17"/>
        <v>1</v>
      </c>
      <c r="I104">
        <v>0</v>
      </c>
      <c r="J104">
        <v>1</v>
      </c>
      <c r="K104">
        <f t="shared" si="18"/>
        <v>1</v>
      </c>
    </row>
    <row r="105" spans="2:11" ht="38.25" x14ac:dyDescent="0.2">
      <c r="C105" s="36" t="str">
        <f>VLOOKUP(D104,'Valid Values'!$A$36:$C$38,3,FALSE)</f>
        <v>MEM[A0] = EMIF[BA1]
MEM[A1] = EMIF[A0]
MEM[A2] = EMIF[A1]</v>
      </c>
    </row>
  </sheetData>
  <protectedRanges>
    <protectedRange sqref="D8 D47:D53 D38 D43:D44 D57 D63:D72 D79:D88 D95:D104 D34:D36" name="Data Manual"/>
  </protectedRanges>
  <mergeCells count="4">
    <mergeCell ref="A32:D32"/>
    <mergeCell ref="A61:D61"/>
    <mergeCell ref="A77:D77"/>
    <mergeCell ref="A93:D93"/>
  </mergeCells>
  <phoneticPr fontId="2" type="noConversion"/>
  <conditionalFormatting sqref="D8">
    <cfRule type="cellIs" dxfId="53" priority="21" operator="greaterThan">
      <formula>100</formula>
    </cfRule>
  </conditionalFormatting>
  <conditionalFormatting sqref="G34:G38">
    <cfRule type="cellIs" dxfId="52" priority="12" operator="greaterThan">
      <formula>(2^(J34-I34+1))-1</formula>
    </cfRule>
  </conditionalFormatting>
  <conditionalFormatting sqref="G42">
    <cfRule type="cellIs" dxfId="51" priority="8" operator="greaterThan">
      <formula>(2^(J42-I42+1))-1</formula>
    </cfRule>
  </conditionalFormatting>
  <conditionalFormatting sqref="G47:G53">
    <cfRule type="cellIs" dxfId="50" priority="7" operator="greaterThan">
      <formula>(2^(J47-I47+1))-1</formula>
    </cfRule>
  </conditionalFormatting>
  <conditionalFormatting sqref="G57">
    <cfRule type="cellIs" dxfId="49" priority="6" operator="greaterThan">
      <formula>(2^(J57-I57+1))-1</formula>
    </cfRule>
  </conditionalFormatting>
  <conditionalFormatting sqref="G63:G72">
    <cfRule type="cellIs" dxfId="48" priority="5" operator="greaterThan">
      <formula>(2^(J63-I63+1))-1</formula>
    </cfRule>
  </conditionalFormatting>
  <conditionalFormatting sqref="G79:G88">
    <cfRule type="cellIs" dxfId="47" priority="2" operator="greaterThan">
      <formula>(2^(J79-I79+1))-1</formula>
    </cfRule>
  </conditionalFormatting>
  <conditionalFormatting sqref="G95:G104">
    <cfRule type="cellIs" dxfId="46" priority="1" operator="greaterThan">
      <formula>(2^(J95-I95+1))-1</formula>
    </cfRule>
  </conditionalFormatting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'Valid Values'!$A$3:$A$4</xm:f>
          </x14:formula1>
          <xm:sqref>D34</xm:sqref>
        </x14:dataValidation>
        <x14:dataValidation type="list" allowBlank="1" showInputMessage="1" showErrorMessage="1">
          <x14:formula1>
            <xm:f>'Valid Values'!$A$7:$A$8</xm:f>
          </x14:formula1>
          <xm:sqref>D35</xm:sqref>
        </x14:dataValidation>
        <x14:dataValidation type="list" allowBlank="1" showInputMessage="1" showErrorMessage="1">
          <x14:formula1>
            <xm:f>'Valid Values'!$A$11:$A$13</xm:f>
          </x14:formula1>
          <xm:sqref>D36</xm:sqref>
        </x14:dataValidation>
        <x14:dataValidation type="list" allowBlank="1" showInputMessage="1" showErrorMessage="1">
          <x14:formula1>
            <xm:f>'Valid Values'!$A$22:$A$25</xm:f>
          </x14:formula1>
          <xm:sqref>D38</xm:sqref>
        </x14:dataValidation>
        <x14:dataValidation type="list" allowBlank="1" showInputMessage="1" showErrorMessage="1">
          <x14:formula1>
            <xm:f>'Valid Values'!$A$28:$A$29</xm:f>
          </x14:formula1>
          <xm:sqref>D63 D79 D95</xm:sqref>
        </x14:dataValidation>
        <x14:dataValidation type="list" allowBlank="1" showInputMessage="1" showErrorMessage="1">
          <x14:formula1>
            <xm:f>'Valid Values'!$A$32:$A$33</xm:f>
          </x14:formula1>
          <xm:sqref>D64 D80 D96</xm:sqref>
        </x14:dataValidation>
        <x14:dataValidation type="list" allowBlank="1" showInputMessage="1" showErrorMessage="1">
          <x14:formula1>
            <xm:f>'Valid Values'!$A$36:$A$38</xm:f>
          </x14:formula1>
          <xm:sqref>D72 D88 D104</xm:sqref>
        </x14:dataValidation>
        <x14:dataValidation type="list" allowBlank="1" showInputMessage="1" showErrorMessage="1">
          <x14:formula1>
            <xm:f>'Valid Values'!$A$16:$A$19</xm:f>
          </x14:formula1>
          <xm:sqref>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workbookViewId="0">
      <selection activeCell="A2" sqref="A2"/>
    </sheetView>
  </sheetViews>
  <sheetFormatPr defaultRowHeight="12.75" x14ac:dyDescent="0.2"/>
  <cols>
    <col min="1" max="1" width="22.7109375" style="11" customWidth="1"/>
    <col min="2" max="3" width="9.140625" style="11" hidden="1" customWidth="1"/>
    <col min="4" max="4" width="10.85546875" style="11" bestFit="1" customWidth="1"/>
    <col min="5" max="8" width="9.140625" style="11" hidden="1" customWidth="1"/>
    <col min="9" max="9" width="33.85546875" style="11" hidden="1" customWidth="1"/>
    <col min="10" max="10" width="10.85546875" style="11" bestFit="1" customWidth="1"/>
    <col min="11" max="15" width="9.140625" style="11" hidden="1" customWidth="1"/>
    <col min="16" max="17" width="11" style="11" bestFit="1" customWidth="1"/>
    <col min="18" max="16384" width="9.140625" style="11"/>
  </cols>
  <sheetData>
    <row r="1" spans="1:17" ht="20.25" x14ac:dyDescent="0.3">
      <c r="A1" s="1" t="s">
        <v>129</v>
      </c>
      <c r="B1" s="16"/>
      <c r="C1" s="16"/>
    </row>
    <row r="2" spans="1:17" ht="20.25" x14ac:dyDescent="0.3">
      <c r="A2" s="1"/>
      <c r="B2" s="16"/>
      <c r="C2" s="16"/>
    </row>
    <row r="3" spans="1:17" x14ac:dyDescent="0.2">
      <c r="A3" s="9" t="s">
        <v>57</v>
      </c>
      <c r="B3" s="16"/>
      <c r="C3" s="16"/>
    </row>
    <row r="4" spans="1:17" x14ac:dyDescent="0.2">
      <c r="A4" s="9" t="s">
        <v>56</v>
      </c>
      <c r="B4" s="16"/>
      <c r="C4" s="16"/>
    </row>
    <row r="5" spans="1:17" x14ac:dyDescent="0.2">
      <c r="A5" s="9" t="s">
        <v>42</v>
      </c>
      <c r="B5" s="16"/>
      <c r="C5" s="16"/>
    </row>
    <row r="6" spans="1:17" x14ac:dyDescent="0.2">
      <c r="A6" s="9"/>
      <c r="B6" s="16"/>
      <c r="C6" s="16"/>
    </row>
    <row r="7" spans="1:17" x14ac:dyDescent="0.2">
      <c r="A7" s="14"/>
      <c r="B7" s="16"/>
      <c r="C7" s="16"/>
    </row>
    <row r="8" spans="1:17" x14ac:dyDescent="0.2">
      <c r="A8" s="14"/>
      <c r="B8" s="16"/>
      <c r="C8" s="16"/>
      <c r="D8" s="17" t="s">
        <v>43</v>
      </c>
      <c r="J8" s="17" t="s">
        <v>44</v>
      </c>
      <c r="P8" s="17" t="s">
        <v>45</v>
      </c>
      <c r="Q8" s="17" t="s">
        <v>46</v>
      </c>
    </row>
    <row r="9" spans="1:17" x14ac:dyDescent="0.2">
      <c r="A9" s="33" t="s">
        <v>63</v>
      </c>
      <c r="B9" s="16"/>
      <c r="C9" s="16"/>
      <c r="D9" s="18" t="s">
        <v>193</v>
      </c>
      <c r="E9" s="19" t="str">
        <f>HEX2BIN(MID($D9,3,2),8)</f>
        <v>00000000</v>
      </c>
      <c r="F9" s="19" t="str">
        <f>HEX2BIN(MID($D9,5,2),8)</f>
        <v>00000000</v>
      </c>
      <c r="G9" s="19" t="str">
        <f>HEX2BIN(MID($D9,7,2),8)</f>
        <v>01000100</v>
      </c>
      <c r="H9" s="19" t="str">
        <f>HEX2BIN(MID($D9,9,2),8)</f>
        <v>00100001</v>
      </c>
      <c r="I9" s="19" t="str">
        <f>CONCATENATE(E9,F9,G9,H9)</f>
        <v>00000000000000000100010000100001</v>
      </c>
      <c r="J9" s="18" t="s">
        <v>193</v>
      </c>
      <c r="K9" s="20" t="str">
        <f>HEX2BIN(MID($J9,3,2),8)</f>
        <v>00000000</v>
      </c>
      <c r="L9" s="20" t="str">
        <f>HEX2BIN(MID($J9,5,2),8)</f>
        <v>00000000</v>
      </c>
      <c r="M9" s="20" t="str">
        <f>HEX2BIN(MID($J9,7,2),8)</f>
        <v>01000100</v>
      </c>
      <c r="N9" s="20" t="str">
        <f>HEX2BIN(MID($J9,9,2),8)</f>
        <v>00100001</v>
      </c>
      <c r="O9" s="20" t="str">
        <f>CONCATENATE(K9,L9,M9,N9)</f>
        <v>00000000000000000100010000100001</v>
      </c>
      <c r="P9" s="21">
        <v>100</v>
      </c>
      <c r="Q9" s="21">
        <v>50</v>
      </c>
    </row>
    <row r="10" spans="1:17" x14ac:dyDescent="0.2">
      <c r="A10" s="33" t="s">
        <v>66</v>
      </c>
      <c r="B10" s="16"/>
      <c r="C10" s="16"/>
      <c r="D10" s="18" t="s">
        <v>194</v>
      </c>
      <c r="E10" s="19" t="str">
        <f>HEX2BIN(MID($D10,3,2),8)</f>
        <v>00000000</v>
      </c>
      <c r="F10" s="19" t="str">
        <f>HEX2BIN(MID($D10,5,2),8)</f>
        <v>00000000</v>
      </c>
      <c r="G10" s="19" t="str">
        <f>HEX2BIN(MID($D10,7,2),8)</f>
        <v>00000011</v>
      </c>
      <c r="H10" s="19" t="str">
        <f>HEX2BIN(MID($D10,9,2),8)</f>
        <v>00001101</v>
      </c>
      <c r="I10" s="19" t="str">
        <f>CONCATENATE(E10,F10,G10,H10)</f>
        <v>00000000000000000000001100001101</v>
      </c>
      <c r="J10" s="18" t="s">
        <v>200</v>
      </c>
      <c r="K10" s="20" t="str">
        <f>HEX2BIN(MID($J10,3,2),8)</f>
        <v>00000000</v>
      </c>
      <c r="L10" s="20" t="str">
        <f>HEX2BIN(MID($J10,5,2),8)</f>
        <v>00000000</v>
      </c>
      <c r="M10" s="20" t="str">
        <f>HEX2BIN(MID($J10,7,2),8)</f>
        <v>00000001</v>
      </c>
      <c r="N10" s="20" t="str">
        <f>HEX2BIN(MID($J10,9,2),8)</f>
        <v>10000110</v>
      </c>
      <c r="O10" s="20" t="str">
        <f>CONCATENATE(K10,L10,M10,N10)</f>
        <v>00000000000000000000000110000110</v>
      </c>
    </row>
    <row r="11" spans="1:17" x14ac:dyDescent="0.2">
      <c r="A11" s="33" t="s">
        <v>68</v>
      </c>
      <c r="B11" s="16"/>
      <c r="C11" s="16"/>
      <c r="D11" s="22" t="s">
        <v>195</v>
      </c>
      <c r="E11" s="19" t="str">
        <f>HEX2BIN(MID($D11,3,2),8)</f>
        <v>00101001</v>
      </c>
      <c r="F11" s="19" t="str">
        <f>HEX2BIN(MID($D11,5,2),8)</f>
        <v>00010001</v>
      </c>
      <c r="G11" s="19" t="str">
        <f>HEX2BIN(MID($D11,7,2),8)</f>
        <v>01000101</v>
      </c>
      <c r="H11" s="19" t="str">
        <f>HEX2BIN(MID($D11,9,2),8)</f>
        <v>00010000</v>
      </c>
      <c r="I11" s="19" t="str">
        <f>CONCATENATE(E11,F11,G11,H11)</f>
        <v>00101001000100010100010100010000</v>
      </c>
      <c r="J11" s="22" t="s">
        <v>204</v>
      </c>
      <c r="K11" s="20" t="str">
        <f>HEX2BIN(MID($J11,3,2),8)</f>
        <v>00010000</v>
      </c>
      <c r="L11" s="20" t="str">
        <f>HEX2BIN(MID($J11,5,2),8)</f>
        <v>00000000</v>
      </c>
      <c r="M11" s="20" t="str">
        <f>HEX2BIN(MID($J11,7,2),8)</f>
        <v>00100010</v>
      </c>
      <c r="N11" s="20" t="str">
        <f>HEX2BIN(MID($J11,9,2),8)</f>
        <v>00000000</v>
      </c>
      <c r="O11" s="20" t="str">
        <f>CONCATENATE(K11,L11,M11,N11)</f>
        <v>00010000000000000010001000000000</v>
      </c>
    </row>
    <row r="12" spans="1:17" x14ac:dyDescent="0.2">
      <c r="A12" s="33" t="s">
        <v>70</v>
      </c>
      <c r="B12" s="16"/>
      <c r="C12" s="16"/>
      <c r="D12" s="18" t="s">
        <v>196</v>
      </c>
      <c r="E12" s="19" t="str">
        <f>HEX2BIN(MID($D12,3,2),8)</f>
        <v>00000000</v>
      </c>
      <c r="F12" s="19" t="str">
        <f>HEX2BIN(MID($D12,5,2),8)</f>
        <v>00000000</v>
      </c>
      <c r="G12" s="19" t="str">
        <f>HEX2BIN(MID($D12,7,2),8)</f>
        <v>00000000</v>
      </c>
      <c r="H12" s="19" t="str">
        <f>HEX2BIN(MID($D12,9,2),8)</f>
        <v>00000110</v>
      </c>
      <c r="I12" s="19" t="str">
        <f>CONCATENATE(E12,F12,G12,H12)</f>
        <v>00000000000000000000000000000110</v>
      </c>
      <c r="J12" s="18" t="s">
        <v>201</v>
      </c>
      <c r="K12" s="20" t="str">
        <f>HEX2BIN(MID($J12,3,2),8)</f>
        <v>00000000</v>
      </c>
      <c r="L12" s="20" t="str">
        <f>HEX2BIN(MID($J12,5,2),8)</f>
        <v>00000000</v>
      </c>
      <c r="M12" s="20" t="str">
        <f>HEX2BIN(MID($J12,7,2),8)</f>
        <v>00000000</v>
      </c>
      <c r="N12" s="20" t="str">
        <f>HEX2BIN(MID($J12,9,2),8)</f>
        <v>00000011</v>
      </c>
      <c r="O12" s="20" t="str">
        <f>CONCATENATE(K12,L12,M12,N12)</f>
        <v>00000000000000000000000000000011</v>
      </c>
    </row>
    <row r="13" spans="1:17" x14ac:dyDescent="0.2">
      <c r="A13" s="33" t="s">
        <v>74</v>
      </c>
      <c r="B13" s="16"/>
      <c r="C13" s="16"/>
      <c r="D13" s="18" t="s">
        <v>197</v>
      </c>
      <c r="E13" s="19" t="str">
        <f>HEX2BIN(MID($D13,3,2),8)</f>
        <v>00000000</v>
      </c>
      <c r="F13" s="19" t="str">
        <f>HEX2BIN(MID($D13,5,2),8)</f>
        <v>00000000</v>
      </c>
      <c r="G13" s="19" t="str">
        <f>HEX2BIN(MID($D13,7,2),8)</f>
        <v>00000001</v>
      </c>
      <c r="H13" s="19" t="str">
        <f>HEX2BIN(MID($D13,9,2),8)</f>
        <v>00000001</v>
      </c>
      <c r="I13" s="19" t="str">
        <f>CONCATENATE(E13,F13,G13,H13)</f>
        <v>00000000000000000000000100000001</v>
      </c>
      <c r="J13" s="18" t="s">
        <v>199</v>
      </c>
      <c r="K13" s="20" t="str">
        <f>HEX2BIN(MID($J13,3,2),8)</f>
        <v>00000000</v>
      </c>
      <c r="L13" s="20" t="str">
        <f>HEX2BIN(MID($J13,5,2),8)</f>
        <v>00000000</v>
      </c>
      <c r="M13" s="20" t="str">
        <f>HEX2BIN(MID($J13,7,2),8)</f>
        <v>00000000</v>
      </c>
      <c r="N13" s="20" t="str">
        <f>HEX2BIN(MID($J13,9,2),8)</f>
        <v>10000001</v>
      </c>
      <c r="O13" s="20" t="str">
        <f>CONCATENATE(K13,L13,M13,N13)</f>
        <v>00000000000000000000000010000001</v>
      </c>
    </row>
    <row r="14" spans="1:17" x14ac:dyDescent="0.2">
      <c r="A14" s="33" t="s">
        <v>110</v>
      </c>
      <c r="B14" s="16"/>
      <c r="C14" s="16"/>
      <c r="D14" s="18" t="s">
        <v>198</v>
      </c>
      <c r="E14" s="19" t="str">
        <f t="shared" ref="E14:E15" si="0">HEX2BIN(MID($D14,3,2),8)</f>
        <v>01000000</v>
      </c>
      <c r="F14" s="19" t="str">
        <f t="shared" ref="F14:F15" si="1">HEX2BIN(MID($D14,5,2),8)</f>
        <v>01000000</v>
      </c>
      <c r="G14" s="19" t="str">
        <f t="shared" ref="G14:G15" si="2">HEX2BIN(MID($D14,7,2),8)</f>
        <v>01100010</v>
      </c>
      <c r="H14" s="19" t="str">
        <f t="shared" ref="H14:H15" si="3">HEX2BIN(MID($D14,9,2),8)</f>
        <v>10001001</v>
      </c>
      <c r="I14" s="19" t="str">
        <f t="shared" ref="I14:I15" si="4">CONCATENATE(E14,F14,G14,H14)</f>
        <v>01000000010000000110001010001001</v>
      </c>
      <c r="J14" s="18" t="s">
        <v>202</v>
      </c>
      <c r="K14" s="20" t="str">
        <f t="shared" ref="K14:K15" si="5">HEX2BIN(MID($J14,3,2),8)</f>
        <v>01000000</v>
      </c>
      <c r="L14" s="20" t="str">
        <f t="shared" ref="L14:L15" si="6">HEX2BIN(MID($J14,5,2),8)</f>
        <v>00100000</v>
      </c>
      <c r="M14" s="20" t="str">
        <f t="shared" ref="M14:M15" si="7">HEX2BIN(MID($J14,7,2),8)</f>
        <v>00100001</v>
      </c>
      <c r="N14" s="20" t="str">
        <f t="shared" ref="N14:N15" si="8">HEX2BIN(MID($J14,9,2),8)</f>
        <v>00000101</v>
      </c>
      <c r="O14" s="20" t="str">
        <f t="shared" ref="O14:O15" si="9">CONCATENATE(K14,L14,M14,N14)</f>
        <v>01000000001000000010000100000101</v>
      </c>
    </row>
    <row r="15" spans="1:17" x14ac:dyDescent="0.2">
      <c r="A15" s="33" t="s">
        <v>113</v>
      </c>
      <c r="B15" s="16"/>
      <c r="C15" s="16"/>
      <c r="D15" s="18" t="s">
        <v>199</v>
      </c>
      <c r="E15" s="19" t="str">
        <f t="shared" si="0"/>
        <v>00000000</v>
      </c>
      <c r="F15" s="19" t="str">
        <f t="shared" si="1"/>
        <v>00000000</v>
      </c>
      <c r="G15" s="19" t="str">
        <f t="shared" si="2"/>
        <v>00000000</v>
      </c>
      <c r="H15" s="19" t="str">
        <f t="shared" si="3"/>
        <v>10000001</v>
      </c>
      <c r="I15" s="19" t="str">
        <f t="shared" si="4"/>
        <v>00000000000000000000000010000001</v>
      </c>
      <c r="J15" s="18" t="s">
        <v>203</v>
      </c>
      <c r="K15" s="20" t="str">
        <f t="shared" si="5"/>
        <v>00000000</v>
      </c>
      <c r="L15" s="20" t="str">
        <f t="shared" si="6"/>
        <v>00000000</v>
      </c>
      <c r="M15" s="20" t="str">
        <f t="shared" si="7"/>
        <v>00000000</v>
      </c>
      <c r="N15" s="20" t="str">
        <f t="shared" si="8"/>
        <v>00000001</v>
      </c>
      <c r="O15" s="20" t="str">
        <f t="shared" si="9"/>
        <v>00000000000000000000000000000001</v>
      </c>
    </row>
    <row r="16" spans="1:17" x14ac:dyDescent="0.2">
      <c r="A16" s="14"/>
      <c r="B16" s="16"/>
      <c r="C16" s="16"/>
    </row>
    <row r="17" spans="1:17" x14ac:dyDescent="0.2">
      <c r="A17" s="14"/>
      <c r="B17" s="16"/>
      <c r="C17" s="16"/>
    </row>
    <row r="18" spans="1:17" x14ac:dyDescent="0.2">
      <c r="A18" s="23" t="s">
        <v>124</v>
      </c>
      <c r="B18" s="23" t="s">
        <v>47</v>
      </c>
      <c r="C18" s="23" t="s">
        <v>48</v>
      </c>
      <c r="D18" s="23" t="s">
        <v>49</v>
      </c>
      <c r="E18" s="24"/>
      <c r="F18" s="24"/>
      <c r="G18" s="24"/>
      <c r="H18" s="24"/>
      <c r="I18" s="24"/>
      <c r="J18" s="23" t="s">
        <v>50</v>
      </c>
      <c r="P18" s="17"/>
      <c r="Q18" s="17"/>
    </row>
    <row r="19" spans="1:17" x14ac:dyDescent="0.2">
      <c r="A19" s="14" t="s">
        <v>125</v>
      </c>
      <c r="B19" s="16">
        <v>31</v>
      </c>
      <c r="C19" s="16">
        <v>1</v>
      </c>
      <c r="D19" s="16">
        <f t="shared" ref="D19:D37" si="10">BIN2DEC(MID($I$9,33-$B19-$C19,$C19))</f>
        <v>0</v>
      </c>
      <c r="J19" s="16">
        <f t="shared" ref="J19:J37" si="11">BIN2DEC(MID($O$9,33-$B19-$C19,$C19))</f>
        <v>0</v>
      </c>
    </row>
    <row r="20" spans="1:17" x14ac:dyDescent="0.2">
      <c r="A20" s="14" t="s">
        <v>126</v>
      </c>
      <c r="B20" s="16">
        <v>30</v>
      </c>
      <c r="C20" s="16">
        <v>1</v>
      </c>
      <c r="D20" s="16">
        <f t="shared" si="10"/>
        <v>0</v>
      </c>
      <c r="J20" s="16">
        <f t="shared" si="11"/>
        <v>0</v>
      </c>
    </row>
    <row r="21" spans="1:17" x14ac:dyDescent="0.2">
      <c r="A21" s="14" t="s">
        <v>127</v>
      </c>
      <c r="B21" s="16">
        <v>29</v>
      </c>
      <c r="C21" s="16">
        <v>1</v>
      </c>
      <c r="D21" s="16">
        <f t="shared" si="10"/>
        <v>0</v>
      </c>
      <c r="J21" s="16">
        <f t="shared" si="11"/>
        <v>0</v>
      </c>
    </row>
    <row r="22" spans="1:17" x14ac:dyDescent="0.2">
      <c r="A22" s="14" t="s">
        <v>153</v>
      </c>
      <c r="B22" s="16">
        <v>26</v>
      </c>
      <c r="C22" s="16">
        <v>3</v>
      </c>
      <c r="D22" s="16">
        <f t="shared" si="10"/>
        <v>0</v>
      </c>
      <c r="J22" s="16">
        <f t="shared" si="11"/>
        <v>0</v>
      </c>
    </row>
    <row r="23" spans="1:17" x14ac:dyDescent="0.2">
      <c r="A23" s="14" t="s">
        <v>152</v>
      </c>
      <c r="B23" s="16">
        <v>23</v>
      </c>
      <c r="C23" s="16">
        <v>3</v>
      </c>
      <c r="D23" s="16">
        <f t="shared" si="10"/>
        <v>0</v>
      </c>
      <c r="J23" s="16">
        <f t="shared" si="11"/>
        <v>0</v>
      </c>
    </row>
    <row r="24" spans="1:17" x14ac:dyDescent="0.2">
      <c r="A24" s="14" t="s">
        <v>151</v>
      </c>
      <c r="B24" s="16">
        <v>20</v>
      </c>
      <c r="C24" s="16">
        <v>3</v>
      </c>
      <c r="D24" s="16">
        <f t="shared" si="10"/>
        <v>0</v>
      </c>
      <c r="J24" s="16">
        <f t="shared" si="11"/>
        <v>0</v>
      </c>
    </row>
    <row r="25" spans="1:17" x14ac:dyDescent="0.2">
      <c r="A25" s="14" t="s">
        <v>141</v>
      </c>
      <c r="B25" s="16">
        <v>19</v>
      </c>
      <c r="C25" s="16">
        <v>1</v>
      </c>
      <c r="D25" s="16">
        <f t="shared" si="10"/>
        <v>0</v>
      </c>
      <c r="J25" s="16">
        <f t="shared" si="11"/>
        <v>0</v>
      </c>
    </row>
    <row r="26" spans="1:17" x14ac:dyDescent="0.2">
      <c r="A26" s="14" t="s">
        <v>150</v>
      </c>
      <c r="B26" s="16">
        <v>17</v>
      </c>
      <c r="C26" s="16">
        <v>2</v>
      </c>
      <c r="D26" s="16">
        <f t="shared" si="10"/>
        <v>0</v>
      </c>
      <c r="J26" s="16">
        <f t="shared" si="11"/>
        <v>0</v>
      </c>
    </row>
    <row r="27" spans="1:17" x14ac:dyDescent="0.2">
      <c r="A27" s="14" t="s">
        <v>149</v>
      </c>
      <c r="B27" s="16">
        <v>16</v>
      </c>
      <c r="C27" s="16">
        <v>1</v>
      </c>
      <c r="D27" s="16">
        <f t="shared" si="10"/>
        <v>0</v>
      </c>
      <c r="J27" s="16">
        <f t="shared" si="11"/>
        <v>0</v>
      </c>
    </row>
    <row r="28" spans="1:17" x14ac:dyDescent="0.2">
      <c r="A28" s="14" t="s">
        <v>148</v>
      </c>
      <c r="B28" s="16">
        <v>15</v>
      </c>
      <c r="C28" s="16">
        <v>1</v>
      </c>
      <c r="D28" s="16">
        <f t="shared" si="10"/>
        <v>0</v>
      </c>
      <c r="J28" s="16">
        <f t="shared" si="11"/>
        <v>0</v>
      </c>
    </row>
    <row r="29" spans="1:17" x14ac:dyDescent="0.2">
      <c r="A29" s="14" t="s">
        <v>28</v>
      </c>
      <c r="B29" s="16">
        <v>14</v>
      </c>
      <c r="C29" s="16">
        <v>1</v>
      </c>
      <c r="D29" s="16">
        <f t="shared" si="10"/>
        <v>1</v>
      </c>
      <c r="J29" s="16">
        <f t="shared" si="11"/>
        <v>1</v>
      </c>
    </row>
    <row r="30" spans="1:17" x14ac:dyDescent="0.2">
      <c r="A30" s="14" t="s">
        <v>147</v>
      </c>
      <c r="B30" s="16">
        <v>13</v>
      </c>
      <c r="C30" s="16">
        <v>1</v>
      </c>
      <c r="D30" s="16">
        <f t="shared" si="10"/>
        <v>0</v>
      </c>
      <c r="J30" s="16">
        <f t="shared" si="11"/>
        <v>0</v>
      </c>
    </row>
    <row r="31" spans="1:17" x14ac:dyDescent="0.2">
      <c r="A31" s="14" t="s">
        <v>146</v>
      </c>
      <c r="B31" s="16">
        <v>12</v>
      </c>
      <c r="C31" s="16">
        <v>1</v>
      </c>
      <c r="D31" s="16">
        <f t="shared" si="10"/>
        <v>0</v>
      </c>
      <c r="J31" s="16">
        <f t="shared" si="11"/>
        <v>0</v>
      </c>
    </row>
    <row r="32" spans="1:17" x14ac:dyDescent="0.2">
      <c r="A32" s="14" t="s">
        <v>29</v>
      </c>
      <c r="B32" s="16">
        <v>9</v>
      </c>
      <c r="C32" s="16">
        <v>3</v>
      </c>
      <c r="D32" s="16">
        <f t="shared" si="10"/>
        <v>2</v>
      </c>
      <c r="J32" s="16">
        <f t="shared" si="11"/>
        <v>2</v>
      </c>
    </row>
    <row r="33" spans="1:17" x14ac:dyDescent="0.2">
      <c r="A33" s="14" t="s">
        <v>128</v>
      </c>
      <c r="B33" s="16">
        <v>8</v>
      </c>
      <c r="C33" s="16">
        <v>1</v>
      </c>
      <c r="D33" s="16">
        <f t="shared" si="10"/>
        <v>0</v>
      </c>
      <c r="J33" s="16">
        <f t="shared" si="11"/>
        <v>0</v>
      </c>
    </row>
    <row r="34" spans="1:17" x14ac:dyDescent="0.2">
      <c r="A34" s="14" t="s">
        <v>140</v>
      </c>
      <c r="B34" s="16">
        <v>7</v>
      </c>
      <c r="C34" s="16">
        <v>1</v>
      </c>
      <c r="D34" s="16">
        <f t="shared" si="10"/>
        <v>0</v>
      </c>
      <c r="J34" s="16">
        <f t="shared" si="11"/>
        <v>0</v>
      </c>
    </row>
    <row r="35" spans="1:17" x14ac:dyDescent="0.2">
      <c r="A35" s="14" t="s">
        <v>32</v>
      </c>
      <c r="B35" s="16">
        <v>4</v>
      </c>
      <c r="C35" s="16">
        <v>3</v>
      </c>
      <c r="D35" s="16">
        <f t="shared" si="10"/>
        <v>2</v>
      </c>
      <c r="J35" s="16">
        <f t="shared" si="11"/>
        <v>2</v>
      </c>
    </row>
    <row r="36" spans="1:17" x14ac:dyDescent="0.2">
      <c r="A36" s="14" t="s">
        <v>145</v>
      </c>
      <c r="B36" s="16">
        <v>3</v>
      </c>
      <c r="C36" s="16">
        <v>1</v>
      </c>
      <c r="D36" s="16">
        <f t="shared" si="10"/>
        <v>0</v>
      </c>
      <c r="J36" s="16">
        <f t="shared" si="11"/>
        <v>0</v>
      </c>
    </row>
    <row r="37" spans="1:17" x14ac:dyDescent="0.2">
      <c r="A37" s="14" t="s">
        <v>30</v>
      </c>
      <c r="B37" s="16">
        <v>0</v>
      </c>
      <c r="C37" s="16">
        <v>3</v>
      </c>
      <c r="D37" s="16">
        <f t="shared" si="10"/>
        <v>1</v>
      </c>
      <c r="J37" s="16">
        <f t="shared" si="11"/>
        <v>1</v>
      </c>
    </row>
    <row r="38" spans="1:17" x14ac:dyDescent="0.2">
      <c r="A38" s="14"/>
      <c r="B38" s="16"/>
      <c r="C38" s="16">
        <f>SUM(C19:C37)</f>
        <v>32</v>
      </c>
      <c r="D38" s="16"/>
    </row>
    <row r="39" spans="1:17" x14ac:dyDescent="0.2">
      <c r="A39" s="14"/>
      <c r="B39" s="16"/>
      <c r="C39" s="16"/>
      <c r="D39" s="16"/>
    </row>
    <row r="40" spans="1:17" x14ac:dyDescent="0.2">
      <c r="A40" s="23" t="s">
        <v>130</v>
      </c>
      <c r="B40" s="23" t="s">
        <v>47</v>
      </c>
      <c r="C40" s="23" t="s">
        <v>48</v>
      </c>
      <c r="D40" s="23" t="s">
        <v>49</v>
      </c>
      <c r="E40" s="24"/>
      <c r="F40" s="24"/>
      <c r="G40" s="24"/>
      <c r="H40" s="24"/>
      <c r="I40" s="24"/>
      <c r="J40" s="23" t="s">
        <v>50</v>
      </c>
      <c r="K40" s="24"/>
      <c r="L40" s="24"/>
      <c r="M40" s="24"/>
      <c r="N40" s="24"/>
      <c r="O40" s="24"/>
      <c r="P40" s="23" t="s">
        <v>51</v>
      </c>
      <c r="Q40" s="23" t="s">
        <v>52</v>
      </c>
    </row>
    <row r="41" spans="1:17" x14ac:dyDescent="0.2">
      <c r="A41" s="14" t="s">
        <v>54</v>
      </c>
      <c r="B41" s="16">
        <v>27</v>
      </c>
      <c r="C41" s="16">
        <v>5</v>
      </c>
      <c r="D41" s="16">
        <f t="shared" ref="D41:D47" si="12">BIN2DEC(MID($I$10,33-$B41-$C41,$C41))</f>
        <v>0</v>
      </c>
      <c r="J41" s="16">
        <f t="shared" ref="J41:J47" si="13">BIN2DEC(MID($O$10,33-$B41-$C41,$C41))</f>
        <v>0</v>
      </c>
      <c r="P41" s="25"/>
      <c r="Q41" s="25"/>
    </row>
    <row r="42" spans="1:17" x14ac:dyDescent="0.2">
      <c r="A42" s="14" t="s">
        <v>131</v>
      </c>
      <c r="B42" s="16">
        <v>19</v>
      </c>
      <c r="C42" s="16">
        <v>8</v>
      </c>
      <c r="D42" s="16">
        <f t="shared" si="12"/>
        <v>0</v>
      </c>
      <c r="J42" s="16">
        <f t="shared" si="13"/>
        <v>0</v>
      </c>
      <c r="P42" s="25"/>
      <c r="Q42" s="25"/>
    </row>
    <row r="43" spans="1:17" x14ac:dyDescent="0.2">
      <c r="A43" s="14" t="s">
        <v>144</v>
      </c>
      <c r="B43" s="16">
        <v>19</v>
      </c>
      <c r="C43" s="16">
        <f>SUM(C41:C42)</f>
        <v>13</v>
      </c>
      <c r="D43" s="16">
        <f>D41*256+D42</f>
        <v>0</v>
      </c>
      <c r="J43" s="16">
        <f>J41*256+J42</f>
        <v>0</v>
      </c>
      <c r="P43" s="25"/>
      <c r="Q43" s="25"/>
    </row>
    <row r="44" spans="1:17" x14ac:dyDescent="0.2">
      <c r="A44" s="14" t="s">
        <v>143</v>
      </c>
      <c r="B44" s="16">
        <v>16</v>
      </c>
      <c r="C44" s="16">
        <v>3</v>
      </c>
      <c r="D44" s="16">
        <f t="shared" si="12"/>
        <v>0</v>
      </c>
      <c r="J44" s="16">
        <f t="shared" si="13"/>
        <v>0</v>
      </c>
      <c r="P44" s="25"/>
      <c r="Q44" s="25"/>
    </row>
    <row r="45" spans="1:17" x14ac:dyDescent="0.2">
      <c r="A45" s="14" t="s">
        <v>136</v>
      </c>
      <c r="B45" s="16">
        <v>13</v>
      </c>
      <c r="C45" s="16">
        <v>3</v>
      </c>
      <c r="D45" s="16">
        <f t="shared" si="12"/>
        <v>0</v>
      </c>
      <c r="J45" s="16">
        <f t="shared" si="13"/>
        <v>0</v>
      </c>
      <c r="P45" s="25"/>
      <c r="Q45" s="25"/>
    </row>
    <row r="46" spans="1:17" x14ac:dyDescent="0.2">
      <c r="A46" s="14" t="s">
        <v>132</v>
      </c>
      <c r="B46" s="16">
        <v>8</v>
      </c>
      <c r="C46" s="16">
        <v>5</v>
      </c>
      <c r="D46" s="16">
        <f t="shared" si="12"/>
        <v>3</v>
      </c>
      <c r="E46" s="16"/>
      <c r="J46" s="16">
        <f t="shared" si="13"/>
        <v>1</v>
      </c>
    </row>
    <row r="47" spans="1:17" x14ac:dyDescent="0.2">
      <c r="A47" s="14" t="s">
        <v>53</v>
      </c>
      <c r="B47" s="16">
        <v>0</v>
      </c>
      <c r="C47" s="16">
        <v>8</v>
      </c>
      <c r="D47" s="16">
        <f t="shared" si="12"/>
        <v>13</v>
      </c>
      <c r="E47" s="16"/>
      <c r="J47" s="16">
        <f t="shared" si="13"/>
        <v>134</v>
      </c>
    </row>
    <row r="48" spans="1:17" x14ac:dyDescent="0.2">
      <c r="A48" s="14" t="s">
        <v>27</v>
      </c>
      <c r="B48" s="16">
        <v>0</v>
      </c>
      <c r="C48" s="16">
        <f>SUM(C46:C47)</f>
        <v>13</v>
      </c>
      <c r="D48" s="16">
        <f>D46*256+D47</f>
        <v>781</v>
      </c>
      <c r="E48" s="16"/>
      <c r="J48" s="16">
        <f>J46*256+J47</f>
        <v>390</v>
      </c>
      <c r="P48" s="26">
        <f>1000/($P$9) *D48</f>
        <v>7810</v>
      </c>
      <c r="Q48" s="26">
        <f>1000/($Q$9) *J48</f>
        <v>7800</v>
      </c>
    </row>
    <row r="49" spans="1:17" x14ac:dyDescent="0.2">
      <c r="A49" s="14"/>
      <c r="B49" s="16"/>
      <c r="C49" s="16">
        <f>SUM(C43:C47)</f>
        <v>32</v>
      </c>
      <c r="D49" s="16"/>
    </row>
    <row r="50" spans="1:17" x14ac:dyDescent="0.2">
      <c r="A50" s="14"/>
      <c r="B50" s="16"/>
      <c r="C50" s="16"/>
      <c r="D50" s="16"/>
    </row>
    <row r="51" spans="1:17" x14ac:dyDescent="0.2">
      <c r="A51" s="23" t="s">
        <v>133</v>
      </c>
      <c r="B51" s="23" t="s">
        <v>47</v>
      </c>
      <c r="C51" s="23" t="s">
        <v>48</v>
      </c>
      <c r="D51" s="23" t="s">
        <v>49</v>
      </c>
      <c r="E51" s="24"/>
      <c r="F51" s="24"/>
      <c r="G51" s="24"/>
      <c r="H51" s="24"/>
      <c r="I51" s="24"/>
      <c r="J51" s="23" t="s">
        <v>50</v>
      </c>
      <c r="K51" s="24"/>
      <c r="L51" s="24"/>
      <c r="M51" s="24"/>
      <c r="N51" s="24"/>
      <c r="O51" s="24"/>
      <c r="P51" s="23" t="s">
        <v>51</v>
      </c>
      <c r="Q51" s="23" t="s">
        <v>52</v>
      </c>
    </row>
    <row r="52" spans="1:17" x14ac:dyDescent="0.2">
      <c r="A52" s="14" t="s">
        <v>20</v>
      </c>
      <c r="B52" s="16">
        <v>27</v>
      </c>
      <c r="C52" s="16">
        <v>5</v>
      </c>
      <c r="D52" s="16">
        <f t="shared" ref="D52:D62" si="14">BIN2DEC(MID($I$11,33-$B52-$C52,$C52))</f>
        <v>5</v>
      </c>
      <c r="J52" s="16">
        <f t="shared" ref="J52:J62" si="15">BIN2DEC(MID($O$11,33-$B52-$C52,$C52))</f>
        <v>2</v>
      </c>
      <c r="P52" s="26">
        <f>1000/($P$9) *(D52+1)</f>
        <v>60</v>
      </c>
      <c r="Q52" s="26">
        <f>1000/($Q$9) *(J52+1)</f>
        <v>60</v>
      </c>
    </row>
    <row r="53" spans="1:17" x14ac:dyDescent="0.2">
      <c r="A53" s="14" t="s">
        <v>21</v>
      </c>
      <c r="B53" s="16">
        <v>24</v>
      </c>
      <c r="C53" s="16">
        <v>3</v>
      </c>
      <c r="D53" s="16">
        <f t="shared" si="14"/>
        <v>1</v>
      </c>
      <c r="J53" s="16">
        <f t="shared" si="15"/>
        <v>0</v>
      </c>
      <c r="P53" s="26">
        <f t="shared" ref="P53:P61" si="16">1000/($P$9) *(D53+1)</f>
        <v>20</v>
      </c>
      <c r="Q53" s="26">
        <f t="shared" ref="Q53:Q61" si="17">1000/($Q$9) *(J53+1)</f>
        <v>20</v>
      </c>
    </row>
    <row r="54" spans="1:17" x14ac:dyDescent="0.2">
      <c r="A54" s="14" t="s">
        <v>142</v>
      </c>
      <c r="B54" s="16">
        <v>23</v>
      </c>
      <c r="C54" s="16">
        <v>1</v>
      </c>
      <c r="D54" s="16">
        <f t="shared" si="14"/>
        <v>0</v>
      </c>
      <c r="J54" s="16">
        <f t="shared" si="15"/>
        <v>0</v>
      </c>
      <c r="P54" s="25"/>
      <c r="Q54" s="25"/>
    </row>
    <row r="55" spans="1:17" x14ac:dyDescent="0.2">
      <c r="A55" s="14" t="s">
        <v>22</v>
      </c>
      <c r="B55" s="16">
        <v>20</v>
      </c>
      <c r="C55" s="16">
        <v>3</v>
      </c>
      <c r="D55" s="16">
        <f t="shared" si="14"/>
        <v>1</v>
      </c>
      <c r="J55" s="16">
        <f t="shared" si="15"/>
        <v>0</v>
      </c>
      <c r="P55" s="26">
        <f t="shared" si="16"/>
        <v>20</v>
      </c>
      <c r="Q55" s="26">
        <f t="shared" si="17"/>
        <v>20</v>
      </c>
    </row>
    <row r="56" spans="1:17" x14ac:dyDescent="0.2">
      <c r="A56" s="14" t="s">
        <v>141</v>
      </c>
      <c r="B56" s="16">
        <v>19</v>
      </c>
      <c r="C56" s="16">
        <v>1</v>
      </c>
      <c r="D56" s="16">
        <f t="shared" si="14"/>
        <v>0</v>
      </c>
      <c r="J56" s="16">
        <f t="shared" si="15"/>
        <v>0</v>
      </c>
      <c r="P56" s="25"/>
      <c r="Q56" s="25"/>
    </row>
    <row r="57" spans="1:17" x14ac:dyDescent="0.2">
      <c r="A57" s="14" t="s">
        <v>23</v>
      </c>
      <c r="B57" s="16">
        <v>16</v>
      </c>
      <c r="C57" s="16">
        <v>3</v>
      </c>
      <c r="D57" s="16">
        <f t="shared" si="14"/>
        <v>1</v>
      </c>
      <c r="J57" s="16">
        <f t="shared" si="15"/>
        <v>0</v>
      </c>
      <c r="P57" s="26">
        <f t="shared" si="16"/>
        <v>20</v>
      </c>
      <c r="Q57" s="26">
        <f t="shared" si="17"/>
        <v>20</v>
      </c>
    </row>
    <row r="58" spans="1:17" x14ac:dyDescent="0.2">
      <c r="A58" s="14" t="s">
        <v>24</v>
      </c>
      <c r="B58" s="16">
        <v>12</v>
      </c>
      <c r="C58" s="16">
        <v>4</v>
      </c>
      <c r="D58" s="16">
        <f t="shared" si="14"/>
        <v>4</v>
      </c>
      <c r="J58" s="16">
        <f t="shared" si="15"/>
        <v>2</v>
      </c>
      <c r="P58" s="26">
        <f t="shared" si="16"/>
        <v>50</v>
      </c>
      <c r="Q58" s="26">
        <f t="shared" si="17"/>
        <v>60</v>
      </c>
    </row>
    <row r="59" spans="1:17" x14ac:dyDescent="0.2">
      <c r="A59" s="14" t="s">
        <v>25</v>
      </c>
      <c r="B59" s="16">
        <v>8</v>
      </c>
      <c r="C59" s="16">
        <v>4</v>
      </c>
      <c r="D59" s="16">
        <f t="shared" si="14"/>
        <v>5</v>
      </c>
      <c r="J59" s="16">
        <f t="shared" si="15"/>
        <v>2</v>
      </c>
      <c r="P59" s="26">
        <f t="shared" si="16"/>
        <v>60</v>
      </c>
      <c r="Q59" s="26">
        <f t="shared" si="17"/>
        <v>60</v>
      </c>
    </row>
    <row r="60" spans="1:17" x14ac:dyDescent="0.2">
      <c r="A60" s="14" t="s">
        <v>140</v>
      </c>
      <c r="B60" s="16">
        <v>7</v>
      </c>
      <c r="C60" s="16">
        <v>1</v>
      </c>
      <c r="D60" s="16">
        <f t="shared" si="14"/>
        <v>0</v>
      </c>
      <c r="J60" s="16">
        <f t="shared" si="15"/>
        <v>0</v>
      </c>
      <c r="P60" s="27"/>
      <c r="Q60" s="27"/>
    </row>
    <row r="61" spans="1:17" x14ac:dyDescent="0.2">
      <c r="A61" s="14" t="s">
        <v>26</v>
      </c>
      <c r="B61" s="16">
        <v>4</v>
      </c>
      <c r="C61" s="16">
        <v>3</v>
      </c>
      <c r="D61" s="16">
        <f t="shared" si="14"/>
        <v>1</v>
      </c>
      <c r="J61" s="16">
        <f t="shared" si="15"/>
        <v>0</v>
      </c>
      <c r="P61" s="26">
        <f t="shared" si="16"/>
        <v>20</v>
      </c>
      <c r="Q61" s="26">
        <f t="shared" si="17"/>
        <v>20</v>
      </c>
    </row>
    <row r="62" spans="1:17" x14ac:dyDescent="0.2">
      <c r="A62" s="14" t="s">
        <v>139</v>
      </c>
      <c r="B62" s="16">
        <v>0</v>
      </c>
      <c r="C62" s="16">
        <v>4</v>
      </c>
      <c r="D62" s="16">
        <f t="shared" si="14"/>
        <v>0</v>
      </c>
      <c r="J62" s="16">
        <f t="shared" si="15"/>
        <v>0</v>
      </c>
      <c r="P62" s="27"/>
      <c r="Q62" s="27"/>
    </row>
    <row r="63" spans="1:17" x14ac:dyDescent="0.2">
      <c r="A63" s="14"/>
      <c r="B63" s="16"/>
      <c r="C63" s="16">
        <f>SUM(C52:C62)</f>
        <v>32</v>
      </c>
      <c r="D63" s="16"/>
    </row>
    <row r="64" spans="1:17" x14ac:dyDescent="0.2">
      <c r="A64" s="14"/>
      <c r="B64" s="16"/>
      <c r="C64" s="16"/>
      <c r="D64" s="16"/>
    </row>
    <row r="65" spans="1:17" x14ac:dyDescent="0.2">
      <c r="A65" s="23" t="s">
        <v>134</v>
      </c>
      <c r="B65" s="23" t="s">
        <v>47</v>
      </c>
      <c r="C65" s="23" t="s">
        <v>48</v>
      </c>
      <c r="D65" s="23" t="s">
        <v>49</v>
      </c>
      <c r="E65" s="24"/>
      <c r="F65" s="24"/>
      <c r="G65" s="24"/>
      <c r="H65" s="24"/>
      <c r="I65" s="24"/>
      <c r="J65" s="23" t="s">
        <v>50</v>
      </c>
      <c r="K65" s="24"/>
      <c r="L65" s="24"/>
      <c r="M65" s="24"/>
      <c r="N65" s="24"/>
      <c r="O65" s="24"/>
      <c r="P65" s="23" t="s">
        <v>51</v>
      </c>
      <c r="Q65" s="23" t="s">
        <v>52</v>
      </c>
    </row>
    <row r="66" spans="1:17" x14ac:dyDescent="0.2">
      <c r="A66" s="14" t="s">
        <v>54</v>
      </c>
      <c r="B66" s="16">
        <v>24</v>
      </c>
      <c r="C66" s="16">
        <v>8</v>
      </c>
      <c r="D66" s="16">
        <f t="shared" ref="D66:D72" si="18">BIN2DEC(MID($I$12,33-$B66-$C66,$C66))</f>
        <v>0</v>
      </c>
      <c r="J66" s="16">
        <f t="shared" ref="J66:J72" si="19">BIN2DEC(MID($O$12,33-$B66-$C66,$C66))</f>
        <v>0</v>
      </c>
      <c r="P66" s="27"/>
      <c r="Q66" s="27"/>
    </row>
    <row r="67" spans="1:17" x14ac:dyDescent="0.2">
      <c r="A67" s="14" t="s">
        <v>55</v>
      </c>
      <c r="B67" s="16">
        <v>16</v>
      </c>
      <c r="C67" s="16">
        <v>8</v>
      </c>
      <c r="D67" s="16">
        <f t="shared" si="18"/>
        <v>0</v>
      </c>
      <c r="J67" s="16">
        <f t="shared" si="19"/>
        <v>0</v>
      </c>
      <c r="P67" s="27"/>
      <c r="Q67" s="27"/>
    </row>
    <row r="68" spans="1:17" x14ac:dyDescent="0.2">
      <c r="A68" s="14" t="s">
        <v>137</v>
      </c>
      <c r="B68" s="16">
        <v>16</v>
      </c>
      <c r="C68" s="16">
        <f>SUM(C66:C67)</f>
        <v>16</v>
      </c>
      <c r="D68" s="16">
        <f>D66*256+D67</f>
        <v>0</v>
      </c>
      <c r="J68" s="16">
        <f>J66*256+J67</f>
        <v>0</v>
      </c>
      <c r="P68" s="27"/>
      <c r="Q68" s="27"/>
    </row>
    <row r="69" spans="1:17" x14ac:dyDescent="0.2">
      <c r="A69" s="14" t="s">
        <v>136</v>
      </c>
      <c r="B69" s="16">
        <v>13</v>
      </c>
      <c r="C69" s="16">
        <v>3</v>
      </c>
      <c r="D69" s="16">
        <f t="shared" si="18"/>
        <v>0</v>
      </c>
      <c r="J69" s="16">
        <f t="shared" si="19"/>
        <v>0</v>
      </c>
      <c r="P69" s="27"/>
      <c r="Q69" s="27"/>
    </row>
    <row r="70" spans="1:17" x14ac:dyDescent="0.2">
      <c r="A70" s="14" t="s">
        <v>135</v>
      </c>
      <c r="B70" s="16">
        <v>5</v>
      </c>
      <c r="C70" s="16">
        <v>8</v>
      </c>
      <c r="D70" s="16">
        <f t="shared" si="18"/>
        <v>0</v>
      </c>
      <c r="J70" s="16">
        <f t="shared" si="19"/>
        <v>0</v>
      </c>
      <c r="P70" s="27"/>
      <c r="Q70" s="27"/>
    </row>
    <row r="71" spans="1:17" x14ac:dyDescent="0.2">
      <c r="A71" s="14" t="s">
        <v>138</v>
      </c>
      <c r="B71" s="16">
        <v>5</v>
      </c>
      <c r="C71" s="16">
        <f>SUM(C69:C70)</f>
        <v>11</v>
      </c>
      <c r="D71" s="16">
        <f>D69*256+D70</f>
        <v>0</v>
      </c>
      <c r="J71" s="16">
        <f>J69*256+J70</f>
        <v>0</v>
      </c>
      <c r="P71" s="27"/>
      <c r="Q71" s="27"/>
    </row>
    <row r="72" spans="1:17" x14ac:dyDescent="0.2">
      <c r="A72" s="14" t="s">
        <v>71</v>
      </c>
      <c r="B72" s="16">
        <v>0</v>
      </c>
      <c r="C72" s="16">
        <v>5</v>
      </c>
      <c r="D72" s="16">
        <f t="shared" si="18"/>
        <v>6</v>
      </c>
      <c r="J72" s="16">
        <f t="shared" si="19"/>
        <v>3</v>
      </c>
      <c r="P72" s="26">
        <f>1000/($P$9) *(D72+1)</f>
        <v>70</v>
      </c>
      <c r="Q72" s="26">
        <f>1000/($Q$9) *(J72+1)</f>
        <v>80</v>
      </c>
    </row>
    <row r="73" spans="1:17" x14ac:dyDescent="0.2">
      <c r="A73" s="14"/>
      <c r="B73" s="16"/>
      <c r="C73" s="16">
        <f>SUM(C68,C71,C72)</f>
        <v>32</v>
      </c>
    </row>
    <row r="74" spans="1:17" x14ac:dyDescent="0.2">
      <c r="A74" s="14"/>
      <c r="B74" s="16"/>
      <c r="C74" s="16"/>
    </row>
    <row r="75" spans="1:17" x14ac:dyDescent="0.2">
      <c r="A75" s="23" t="s">
        <v>154</v>
      </c>
      <c r="B75" s="23" t="s">
        <v>47</v>
      </c>
      <c r="C75" s="23" t="s">
        <v>48</v>
      </c>
      <c r="D75" s="23" t="s">
        <v>49</v>
      </c>
      <c r="E75" s="24"/>
      <c r="F75" s="24"/>
      <c r="G75" s="24"/>
      <c r="H75" s="24"/>
      <c r="I75" s="24"/>
      <c r="J75" s="23" t="s">
        <v>50</v>
      </c>
      <c r="P75" s="23" t="s">
        <v>51</v>
      </c>
      <c r="Q75" s="23" t="s">
        <v>52</v>
      </c>
    </row>
    <row r="76" spans="1:17" x14ac:dyDescent="0.2">
      <c r="A76" s="14" t="s">
        <v>91</v>
      </c>
      <c r="B76" s="16">
        <v>31</v>
      </c>
      <c r="C76" s="16">
        <v>1</v>
      </c>
      <c r="D76" s="16">
        <f t="shared" ref="D76:D85" si="20">BIN2DEC(MID($I$13,33-$B76-$C76,$C76))</f>
        <v>0</v>
      </c>
      <c r="J76" s="16">
        <f t="shared" ref="J76:J85" si="21">BIN2DEC(MID($O$13,33-$B76-$C76,$C76))</f>
        <v>0</v>
      </c>
      <c r="P76" s="27"/>
      <c r="Q76" s="27"/>
    </row>
    <row r="77" spans="1:17" x14ac:dyDescent="0.2">
      <c r="A77" s="14" t="s">
        <v>94</v>
      </c>
      <c r="B77" s="16">
        <v>30</v>
      </c>
      <c r="C77" s="16">
        <v>1</v>
      </c>
      <c r="D77" s="16">
        <f t="shared" si="20"/>
        <v>0</v>
      </c>
      <c r="J77" s="16">
        <f t="shared" si="21"/>
        <v>0</v>
      </c>
      <c r="P77" s="27"/>
      <c r="Q77" s="27"/>
    </row>
    <row r="78" spans="1:17" x14ac:dyDescent="0.2">
      <c r="A78" s="14" t="s">
        <v>77</v>
      </c>
      <c r="B78" s="16">
        <v>26</v>
      </c>
      <c r="C78" s="16">
        <v>4</v>
      </c>
      <c r="D78" s="16">
        <f t="shared" si="20"/>
        <v>0</v>
      </c>
      <c r="J78" s="16">
        <f t="shared" si="21"/>
        <v>0</v>
      </c>
      <c r="P78" s="26">
        <f t="shared" ref="P78:P84" si="22">1000/($P$9) *(D78+1)</f>
        <v>10</v>
      </c>
      <c r="Q78" s="26">
        <f t="shared" ref="Q78:Q84" si="23">1000/($Q$9) *(J78+1)</f>
        <v>20</v>
      </c>
    </row>
    <row r="79" spans="1:17" x14ac:dyDescent="0.2">
      <c r="A79" s="14" t="s">
        <v>78</v>
      </c>
      <c r="B79" s="16">
        <v>20</v>
      </c>
      <c r="C79" s="16">
        <v>6</v>
      </c>
      <c r="D79" s="16">
        <f t="shared" si="20"/>
        <v>0</v>
      </c>
      <c r="J79" s="16">
        <f t="shared" si="21"/>
        <v>0</v>
      </c>
      <c r="P79" s="26">
        <f t="shared" si="22"/>
        <v>10</v>
      </c>
      <c r="Q79" s="26">
        <f t="shared" si="23"/>
        <v>20</v>
      </c>
    </row>
    <row r="80" spans="1:17" x14ac:dyDescent="0.2">
      <c r="A80" s="14" t="s">
        <v>79</v>
      </c>
      <c r="B80" s="16">
        <v>17</v>
      </c>
      <c r="C80" s="16">
        <v>3</v>
      </c>
      <c r="D80" s="16">
        <f t="shared" si="20"/>
        <v>0</v>
      </c>
      <c r="J80" s="16">
        <f t="shared" si="21"/>
        <v>0</v>
      </c>
      <c r="P80" s="26">
        <f t="shared" si="22"/>
        <v>10</v>
      </c>
      <c r="Q80" s="26">
        <f t="shared" si="23"/>
        <v>20</v>
      </c>
    </row>
    <row r="81" spans="1:17" x14ac:dyDescent="0.2">
      <c r="A81" s="14" t="s">
        <v>80</v>
      </c>
      <c r="B81" s="16">
        <v>13</v>
      </c>
      <c r="C81" s="16">
        <v>4</v>
      </c>
      <c r="D81" s="16">
        <f t="shared" si="20"/>
        <v>0</v>
      </c>
      <c r="J81" s="16">
        <f t="shared" si="21"/>
        <v>0</v>
      </c>
      <c r="P81" s="26">
        <f t="shared" si="22"/>
        <v>10</v>
      </c>
      <c r="Q81" s="26">
        <f t="shared" si="23"/>
        <v>20</v>
      </c>
    </row>
    <row r="82" spans="1:17" x14ac:dyDescent="0.2">
      <c r="A82" s="14" t="s">
        <v>81</v>
      </c>
      <c r="B82" s="16">
        <v>7</v>
      </c>
      <c r="C82" s="16">
        <v>6</v>
      </c>
      <c r="D82" s="16">
        <f t="shared" si="20"/>
        <v>2</v>
      </c>
      <c r="J82" s="16">
        <f t="shared" si="21"/>
        <v>1</v>
      </c>
      <c r="P82" s="26">
        <f t="shared" si="22"/>
        <v>30</v>
      </c>
      <c r="Q82" s="26">
        <f t="shared" si="23"/>
        <v>40</v>
      </c>
    </row>
    <row r="83" spans="1:17" x14ac:dyDescent="0.2">
      <c r="A83" s="14" t="s">
        <v>82</v>
      </c>
      <c r="B83" s="16">
        <v>4</v>
      </c>
      <c r="C83" s="16">
        <v>3</v>
      </c>
      <c r="D83" s="16">
        <f t="shared" si="20"/>
        <v>0</v>
      </c>
      <c r="J83" s="16">
        <f t="shared" si="21"/>
        <v>0</v>
      </c>
      <c r="P83" s="26">
        <f t="shared" si="22"/>
        <v>10</v>
      </c>
      <c r="Q83" s="26">
        <f t="shared" si="23"/>
        <v>20</v>
      </c>
    </row>
    <row r="84" spans="1:17" x14ac:dyDescent="0.2">
      <c r="A84" s="14" t="s">
        <v>83</v>
      </c>
      <c r="B84" s="16">
        <v>2</v>
      </c>
      <c r="C84" s="16">
        <v>2</v>
      </c>
      <c r="D84" s="16">
        <f t="shared" si="20"/>
        <v>0</v>
      </c>
      <c r="J84" s="16">
        <f t="shared" si="21"/>
        <v>0</v>
      </c>
      <c r="P84" s="26">
        <f t="shared" si="22"/>
        <v>10</v>
      </c>
      <c r="Q84" s="26">
        <f t="shared" si="23"/>
        <v>20</v>
      </c>
    </row>
    <row r="85" spans="1:17" x14ac:dyDescent="0.2">
      <c r="A85" s="14" t="s">
        <v>84</v>
      </c>
      <c r="B85" s="16">
        <v>0</v>
      </c>
      <c r="C85" s="16">
        <v>2</v>
      </c>
      <c r="D85" s="16">
        <f t="shared" si="20"/>
        <v>1</v>
      </c>
      <c r="J85" s="16">
        <f t="shared" si="21"/>
        <v>1</v>
      </c>
      <c r="P85" s="27"/>
      <c r="Q85" s="27"/>
    </row>
    <row r="86" spans="1:17" x14ac:dyDescent="0.2">
      <c r="A86" s="14"/>
      <c r="B86" s="16"/>
      <c r="C86" s="16">
        <f>SUM(C76:C85)</f>
        <v>32</v>
      </c>
      <c r="D86" s="16"/>
      <c r="P86" s="26"/>
      <c r="Q86" s="26"/>
    </row>
    <row r="87" spans="1:17" x14ac:dyDescent="0.2">
      <c r="A87" s="14"/>
      <c r="B87" s="16"/>
      <c r="C87" s="16"/>
    </row>
    <row r="88" spans="1:17" x14ac:dyDescent="0.2">
      <c r="A88" s="23" t="s">
        <v>155</v>
      </c>
      <c r="B88" s="23" t="s">
        <v>47</v>
      </c>
      <c r="C88" s="23" t="s">
        <v>48</v>
      </c>
      <c r="D88" s="23" t="s">
        <v>49</v>
      </c>
      <c r="E88" s="24"/>
      <c r="F88" s="24"/>
      <c r="G88" s="24"/>
      <c r="H88" s="24"/>
      <c r="I88" s="24"/>
      <c r="J88" s="23" t="s">
        <v>50</v>
      </c>
      <c r="P88" s="23" t="s">
        <v>51</v>
      </c>
      <c r="Q88" s="23" t="s">
        <v>52</v>
      </c>
    </row>
    <row r="89" spans="1:17" x14ac:dyDescent="0.2">
      <c r="A89" s="14" t="s">
        <v>91</v>
      </c>
      <c r="B89" s="16">
        <v>31</v>
      </c>
      <c r="C89" s="16">
        <v>1</v>
      </c>
      <c r="D89" s="16">
        <f t="shared" ref="D89:D98" si="24">BIN2DEC(MID($I$14,33-$B89-$C89,$C89))</f>
        <v>0</v>
      </c>
      <c r="J89" s="16">
        <f t="shared" ref="J89:J98" si="25">BIN2DEC(MID($O$14,33-$B89-$C89,$C89))</f>
        <v>0</v>
      </c>
      <c r="P89" s="27"/>
      <c r="Q89" s="27"/>
    </row>
    <row r="90" spans="1:17" x14ac:dyDescent="0.2">
      <c r="A90" s="14" t="s">
        <v>94</v>
      </c>
      <c r="B90" s="16">
        <v>30</v>
      </c>
      <c r="C90" s="16">
        <v>1</v>
      </c>
      <c r="D90" s="16">
        <f t="shared" si="24"/>
        <v>1</v>
      </c>
      <c r="J90" s="16">
        <f t="shared" si="25"/>
        <v>1</v>
      </c>
      <c r="P90" s="27"/>
      <c r="Q90" s="27"/>
    </row>
    <row r="91" spans="1:17" x14ac:dyDescent="0.2">
      <c r="A91" s="14" t="s">
        <v>77</v>
      </c>
      <c r="B91" s="16">
        <v>26</v>
      </c>
      <c r="C91" s="16">
        <v>4</v>
      </c>
      <c r="D91" s="16">
        <f t="shared" si="24"/>
        <v>0</v>
      </c>
      <c r="J91" s="16">
        <f t="shared" si="25"/>
        <v>0</v>
      </c>
      <c r="P91" s="26">
        <f t="shared" ref="P91:P97" si="26">1000/($P$9) *(D91+1)</f>
        <v>10</v>
      </c>
      <c r="Q91" s="26">
        <f t="shared" ref="Q91:Q97" si="27">1000/($Q$9) *(J91+1)</f>
        <v>20</v>
      </c>
    </row>
    <row r="92" spans="1:17" x14ac:dyDescent="0.2">
      <c r="A92" s="14" t="s">
        <v>78</v>
      </c>
      <c r="B92" s="16">
        <v>20</v>
      </c>
      <c r="C92" s="16">
        <v>6</v>
      </c>
      <c r="D92" s="16">
        <f t="shared" si="24"/>
        <v>4</v>
      </c>
      <c r="J92" s="16">
        <f t="shared" si="25"/>
        <v>2</v>
      </c>
      <c r="P92" s="26">
        <f t="shared" si="26"/>
        <v>50</v>
      </c>
      <c r="Q92" s="26">
        <f t="shared" si="27"/>
        <v>60</v>
      </c>
    </row>
    <row r="93" spans="1:17" x14ac:dyDescent="0.2">
      <c r="A93" s="14" t="s">
        <v>79</v>
      </c>
      <c r="B93" s="16">
        <v>17</v>
      </c>
      <c r="C93" s="16">
        <v>3</v>
      </c>
      <c r="D93" s="16">
        <f t="shared" si="24"/>
        <v>0</v>
      </c>
      <c r="J93" s="16">
        <f t="shared" si="25"/>
        <v>0</v>
      </c>
      <c r="P93" s="26">
        <f t="shared" si="26"/>
        <v>10</v>
      </c>
      <c r="Q93" s="26">
        <f t="shared" si="27"/>
        <v>20</v>
      </c>
    </row>
    <row r="94" spans="1:17" x14ac:dyDescent="0.2">
      <c r="A94" s="14" t="s">
        <v>80</v>
      </c>
      <c r="B94" s="16">
        <v>13</v>
      </c>
      <c r="C94" s="16">
        <v>4</v>
      </c>
      <c r="D94" s="16">
        <f t="shared" si="24"/>
        <v>3</v>
      </c>
      <c r="J94" s="16">
        <f t="shared" si="25"/>
        <v>1</v>
      </c>
      <c r="P94" s="26">
        <f t="shared" si="26"/>
        <v>40</v>
      </c>
      <c r="Q94" s="26">
        <f t="shared" si="27"/>
        <v>40</v>
      </c>
    </row>
    <row r="95" spans="1:17" x14ac:dyDescent="0.2">
      <c r="A95" s="14" t="s">
        <v>81</v>
      </c>
      <c r="B95" s="16">
        <v>7</v>
      </c>
      <c r="C95" s="16">
        <v>6</v>
      </c>
      <c r="D95" s="16">
        <f t="shared" si="24"/>
        <v>5</v>
      </c>
      <c r="J95" s="16">
        <f t="shared" si="25"/>
        <v>2</v>
      </c>
      <c r="P95" s="26">
        <f t="shared" si="26"/>
        <v>60</v>
      </c>
      <c r="Q95" s="26">
        <f t="shared" si="27"/>
        <v>60</v>
      </c>
    </row>
    <row r="96" spans="1:17" x14ac:dyDescent="0.2">
      <c r="A96" s="14" t="s">
        <v>82</v>
      </c>
      <c r="B96" s="16">
        <v>4</v>
      </c>
      <c r="C96" s="16">
        <v>3</v>
      </c>
      <c r="D96" s="16">
        <f t="shared" si="24"/>
        <v>0</v>
      </c>
      <c r="J96" s="16">
        <f t="shared" si="25"/>
        <v>0</v>
      </c>
      <c r="P96" s="26">
        <f t="shared" si="26"/>
        <v>10</v>
      </c>
      <c r="Q96" s="26">
        <f t="shared" si="27"/>
        <v>20</v>
      </c>
    </row>
    <row r="97" spans="1:17" x14ac:dyDescent="0.2">
      <c r="A97" s="14" t="s">
        <v>83</v>
      </c>
      <c r="B97" s="16">
        <v>2</v>
      </c>
      <c r="C97" s="16">
        <v>2</v>
      </c>
      <c r="D97" s="16">
        <f t="shared" si="24"/>
        <v>2</v>
      </c>
      <c r="J97" s="16">
        <f t="shared" si="25"/>
        <v>1</v>
      </c>
      <c r="P97" s="26">
        <f t="shared" si="26"/>
        <v>30</v>
      </c>
      <c r="Q97" s="26">
        <f t="shared" si="27"/>
        <v>40</v>
      </c>
    </row>
    <row r="98" spans="1:17" x14ac:dyDescent="0.2">
      <c r="A98" s="14" t="s">
        <v>84</v>
      </c>
      <c r="B98" s="16">
        <v>0</v>
      </c>
      <c r="C98" s="16">
        <v>2</v>
      </c>
      <c r="D98" s="16">
        <f t="shared" si="24"/>
        <v>1</v>
      </c>
      <c r="J98" s="16">
        <f t="shared" si="25"/>
        <v>1</v>
      </c>
      <c r="P98" s="27"/>
      <c r="Q98" s="27"/>
    </row>
    <row r="99" spans="1:17" x14ac:dyDescent="0.2">
      <c r="A99" s="14"/>
      <c r="B99" s="16"/>
      <c r="C99" s="16">
        <f>SUM(C89:C98)</f>
        <v>32</v>
      </c>
      <c r="D99" s="16"/>
      <c r="P99" s="26"/>
      <c r="Q99" s="26"/>
    </row>
    <row r="100" spans="1:17" x14ac:dyDescent="0.2">
      <c r="A100" s="14"/>
      <c r="B100" s="16"/>
      <c r="C100" s="16"/>
    </row>
    <row r="101" spans="1:17" x14ac:dyDescent="0.2">
      <c r="A101" s="23" t="s">
        <v>156</v>
      </c>
      <c r="B101" s="23" t="s">
        <v>47</v>
      </c>
      <c r="C101" s="23" t="s">
        <v>48</v>
      </c>
      <c r="D101" s="23" t="s">
        <v>49</v>
      </c>
      <c r="E101" s="24"/>
      <c r="F101" s="24"/>
      <c r="G101" s="24"/>
      <c r="H101" s="24"/>
      <c r="I101" s="24"/>
      <c r="J101" s="23" t="s">
        <v>50</v>
      </c>
      <c r="P101" s="23" t="s">
        <v>51</v>
      </c>
      <c r="Q101" s="23" t="s">
        <v>52</v>
      </c>
    </row>
    <row r="102" spans="1:17" x14ac:dyDescent="0.2">
      <c r="A102" s="14" t="s">
        <v>91</v>
      </c>
      <c r="B102" s="16">
        <v>31</v>
      </c>
      <c r="C102" s="16">
        <v>1</v>
      </c>
      <c r="D102" s="16">
        <f>BIN2DEC(MID($I$15,33-$B102-$C102,$C102))</f>
        <v>0</v>
      </c>
      <c r="J102" s="16">
        <f>BIN2DEC(MID($O$15,33-$B102-$C102,$C102))</f>
        <v>0</v>
      </c>
      <c r="P102" s="27"/>
      <c r="Q102" s="27"/>
    </row>
    <row r="103" spans="1:17" x14ac:dyDescent="0.2">
      <c r="A103" s="14" t="s">
        <v>94</v>
      </c>
      <c r="B103" s="16">
        <v>30</v>
      </c>
      <c r="C103" s="16">
        <v>1</v>
      </c>
      <c r="D103" s="16">
        <f t="shared" ref="D103:D111" si="28">BIN2DEC(MID($I$15,33-$B103-$C103,$C103))</f>
        <v>0</v>
      </c>
      <c r="J103" s="16">
        <f t="shared" ref="J103:J111" si="29">BIN2DEC(MID($O$15,33-$B103-$C103,$C103))</f>
        <v>0</v>
      </c>
      <c r="P103" s="27"/>
      <c r="Q103" s="27"/>
    </row>
    <row r="104" spans="1:17" x14ac:dyDescent="0.2">
      <c r="A104" s="14" t="s">
        <v>77</v>
      </c>
      <c r="B104" s="16">
        <v>26</v>
      </c>
      <c r="C104" s="16">
        <v>4</v>
      </c>
      <c r="D104" s="16">
        <f t="shared" si="28"/>
        <v>0</v>
      </c>
      <c r="J104" s="16">
        <f t="shared" si="29"/>
        <v>0</v>
      </c>
      <c r="P104" s="26">
        <f t="shared" ref="P104:P110" si="30">1000/($P$9) *(D104+1)</f>
        <v>10</v>
      </c>
      <c r="Q104" s="26">
        <f t="shared" ref="Q104:Q110" si="31">1000/($Q$9) *(J104+1)</f>
        <v>20</v>
      </c>
    </row>
    <row r="105" spans="1:17" x14ac:dyDescent="0.2">
      <c r="A105" s="14" t="s">
        <v>78</v>
      </c>
      <c r="B105" s="16">
        <v>20</v>
      </c>
      <c r="C105" s="16">
        <v>6</v>
      </c>
      <c r="D105" s="16">
        <f t="shared" si="28"/>
        <v>0</v>
      </c>
      <c r="J105" s="16">
        <f t="shared" si="29"/>
        <v>0</v>
      </c>
      <c r="P105" s="26">
        <f t="shared" si="30"/>
        <v>10</v>
      </c>
      <c r="Q105" s="26">
        <f t="shared" si="31"/>
        <v>20</v>
      </c>
    </row>
    <row r="106" spans="1:17" x14ac:dyDescent="0.2">
      <c r="A106" s="14" t="s">
        <v>79</v>
      </c>
      <c r="B106" s="16">
        <v>17</v>
      </c>
      <c r="C106" s="16">
        <v>3</v>
      </c>
      <c r="D106" s="16">
        <f t="shared" si="28"/>
        <v>0</v>
      </c>
      <c r="J106" s="16">
        <f t="shared" si="29"/>
        <v>0</v>
      </c>
      <c r="P106" s="26">
        <f t="shared" si="30"/>
        <v>10</v>
      </c>
      <c r="Q106" s="26">
        <f t="shared" si="31"/>
        <v>20</v>
      </c>
    </row>
    <row r="107" spans="1:17" x14ac:dyDescent="0.2">
      <c r="A107" s="14" t="s">
        <v>80</v>
      </c>
      <c r="B107" s="16">
        <v>13</v>
      </c>
      <c r="C107" s="16">
        <v>4</v>
      </c>
      <c r="D107" s="16">
        <f t="shared" si="28"/>
        <v>0</v>
      </c>
      <c r="J107" s="16">
        <f t="shared" si="29"/>
        <v>0</v>
      </c>
      <c r="P107" s="26">
        <f t="shared" si="30"/>
        <v>10</v>
      </c>
      <c r="Q107" s="26">
        <f t="shared" si="31"/>
        <v>20</v>
      </c>
    </row>
    <row r="108" spans="1:17" x14ac:dyDescent="0.2">
      <c r="A108" s="14" t="s">
        <v>81</v>
      </c>
      <c r="B108" s="16">
        <v>7</v>
      </c>
      <c r="C108" s="16">
        <v>6</v>
      </c>
      <c r="D108" s="16">
        <f t="shared" si="28"/>
        <v>1</v>
      </c>
      <c r="J108" s="16">
        <f t="shared" si="29"/>
        <v>0</v>
      </c>
      <c r="P108" s="26">
        <f t="shared" si="30"/>
        <v>20</v>
      </c>
      <c r="Q108" s="26">
        <f t="shared" si="31"/>
        <v>20</v>
      </c>
    </row>
    <row r="109" spans="1:17" x14ac:dyDescent="0.2">
      <c r="A109" s="14" t="s">
        <v>82</v>
      </c>
      <c r="B109" s="16">
        <v>4</v>
      </c>
      <c r="C109" s="16">
        <v>3</v>
      </c>
      <c r="D109" s="16">
        <f t="shared" si="28"/>
        <v>0</v>
      </c>
      <c r="J109" s="16">
        <f t="shared" si="29"/>
        <v>0</v>
      </c>
      <c r="P109" s="26">
        <f t="shared" si="30"/>
        <v>10</v>
      </c>
      <c r="Q109" s="26">
        <f t="shared" si="31"/>
        <v>20</v>
      </c>
    </row>
    <row r="110" spans="1:17" x14ac:dyDescent="0.2">
      <c r="A110" s="14" t="s">
        <v>83</v>
      </c>
      <c r="B110" s="16">
        <v>2</v>
      </c>
      <c r="C110" s="16">
        <v>2</v>
      </c>
      <c r="D110" s="16">
        <f t="shared" si="28"/>
        <v>0</v>
      </c>
      <c r="J110" s="16">
        <f t="shared" si="29"/>
        <v>0</v>
      </c>
      <c r="P110" s="26">
        <f t="shared" si="30"/>
        <v>10</v>
      </c>
      <c r="Q110" s="26">
        <f t="shared" si="31"/>
        <v>20</v>
      </c>
    </row>
    <row r="111" spans="1:17" x14ac:dyDescent="0.2">
      <c r="A111" s="14" t="s">
        <v>84</v>
      </c>
      <c r="B111" s="16">
        <v>0</v>
      </c>
      <c r="C111" s="16">
        <v>2</v>
      </c>
      <c r="D111" s="16">
        <f t="shared" si="28"/>
        <v>1</v>
      </c>
      <c r="J111" s="16">
        <f t="shared" si="29"/>
        <v>1</v>
      </c>
      <c r="P111" s="27"/>
      <c r="Q111" s="27"/>
    </row>
    <row r="112" spans="1:17" x14ac:dyDescent="0.2">
      <c r="A112" s="14"/>
      <c r="B112" s="16"/>
      <c r="C112" s="16">
        <f>SUM(C102:C111)</f>
        <v>32</v>
      </c>
      <c r="D112" s="16"/>
      <c r="P112" s="26"/>
      <c r="Q112" s="26"/>
    </row>
    <row r="113" spans="1:3" x14ac:dyDescent="0.2">
      <c r="A113" s="14"/>
      <c r="B113" s="16"/>
      <c r="C113" s="16"/>
    </row>
  </sheetData>
  <protectedRanges>
    <protectedRange sqref="D9:J15" name="Register Input"/>
    <protectedRange sqref="P9:Q9" name="Frequency Input"/>
  </protectedRanges>
  <phoneticPr fontId="6" type="noConversion"/>
  <conditionalFormatting sqref="J19:J21 J52:J53 J66 J28:J37 J41 J44:J48 J55 J57:J59 J61:J62 J69:J70 J72 J76">
    <cfRule type="cellIs" dxfId="45" priority="51" stopIfTrue="1" operator="notEqual">
      <formula>D19</formula>
    </cfRule>
  </conditionalFormatting>
  <conditionalFormatting sqref="D19:D21 D48 D52:D53 D66 D28:D37 D41 D44:D45 D55 D57:D59 D61:D62 D69:D70 D72 D76 D86">
    <cfRule type="cellIs" dxfId="44" priority="52" stopIfTrue="1" operator="notEqual">
      <formula>J19</formula>
    </cfRule>
  </conditionalFormatting>
  <conditionalFormatting sqref="J22:J27">
    <cfRule type="cellIs" dxfId="43" priority="49" stopIfTrue="1" operator="notEqual">
      <formula>D22</formula>
    </cfRule>
  </conditionalFormatting>
  <conditionalFormatting sqref="D22:D27">
    <cfRule type="cellIs" dxfId="42" priority="50" stopIfTrue="1" operator="notEqual">
      <formula>J22</formula>
    </cfRule>
  </conditionalFormatting>
  <conditionalFormatting sqref="J102">
    <cfRule type="cellIs" dxfId="41" priority="25" stopIfTrue="1" operator="notEqual">
      <formula>D102</formula>
    </cfRule>
  </conditionalFormatting>
  <conditionalFormatting sqref="D102 D112">
    <cfRule type="cellIs" dxfId="40" priority="26" stopIfTrue="1" operator="notEqual">
      <formula>J102</formula>
    </cfRule>
  </conditionalFormatting>
  <conditionalFormatting sqref="D43">
    <cfRule type="cellIs" dxfId="39" priority="46" stopIfTrue="1" operator="notEqual">
      <formula>J43</formula>
    </cfRule>
  </conditionalFormatting>
  <conditionalFormatting sqref="J43">
    <cfRule type="cellIs" dxfId="38" priority="45" stopIfTrue="1" operator="notEqual">
      <formula>D43</formula>
    </cfRule>
  </conditionalFormatting>
  <conditionalFormatting sqref="J54">
    <cfRule type="cellIs" dxfId="37" priority="43" stopIfTrue="1" operator="notEqual">
      <formula>D54</formula>
    </cfRule>
  </conditionalFormatting>
  <conditionalFormatting sqref="D54">
    <cfRule type="cellIs" dxfId="36" priority="44" stopIfTrue="1" operator="notEqual">
      <formula>J54</formula>
    </cfRule>
  </conditionalFormatting>
  <conditionalFormatting sqref="J56">
    <cfRule type="cellIs" dxfId="35" priority="41" stopIfTrue="1" operator="notEqual">
      <formula>D56</formula>
    </cfRule>
  </conditionalFormatting>
  <conditionalFormatting sqref="D56">
    <cfRule type="cellIs" dxfId="34" priority="42" stopIfTrue="1" operator="notEqual">
      <formula>J56</formula>
    </cfRule>
  </conditionalFormatting>
  <conditionalFormatting sqref="J60">
    <cfRule type="cellIs" dxfId="33" priority="39" stopIfTrue="1" operator="notEqual">
      <formula>D60</formula>
    </cfRule>
  </conditionalFormatting>
  <conditionalFormatting sqref="D60">
    <cfRule type="cellIs" dxfId="32" priority="40" stopIfTrue="1" operator="notEqual">
      <formula>J60</formula>
    </cfRule>
  </conditionalFormatting>
  <conditionalFormatting sqref="J67">
    <cfRule type="cellIs" dxfId="31" priority="37" stopIfTrue="1" operator="notEqual">
      <formula>D67</formula>
    </cfRule>
  </conditionalFormatting>
  <conditionalFormatting sqref="D67">
    <cfRule type="cellIs" dxfId="30" priority="38" stopIfTrue="1" operator="notEqual">
      <formula>J67</formula>
    </cfRule>
  </conditionalFormatting>
  <conditionalFormatting sqref="D68">
    <cfRule type="cellIs" dxfId="29" priority="36" stopIfTrue="1" operator="notEqual">
      <formula>J68</formula>
    </cfRule>
  </conditionalFormatting>
  <conditionalFormatting sqref="J68">
    <cfRule type="cellIs" dxfId="28" priority="35" stopIfTrue="1" operator="notEqual">
      <formula>D68</formula>
    </cfRule>
  </conditionalFormatting>
  <conditionalFormatting sqref="D71">
    <cfRule type="cellIs" dxfId="27" priority="34" stopIfTrue="1" operator="notEqual">
      <formula>J71</formula>
    </cfRule>
  </conditionalFormatting>
  <conditionalFormatting sqref="J71">
    <cfRule type="cellIs" dxfId="26" priority="33" stopIfTrue="1" operator="notEqual">
      <formula>D71</formula>
    </cfRule>
  </conditionalFormatting>
  <conditionalFormatting sqref="J77:J85">
    <cfRule type="cellIs" dxfId="25" priority="31" stopIfTrue="1" operator="notEqual">
      <formula>D77</formula>
    </cfRule>
  </conditionalFormatting>
  <conditionalFormatting sqref="D77:D85">
    <cfRule type="cellIs" dxfId="24" priority="32" stopIfTrue="1" operator="notEqual">
      <formula>J77</formula>
    </cfRule>
  </conditionalFormatting>
  <conditionalFormatting sqref="J89">
    <cfRule type="cellIs" dxfId="23" priority="29" stopIfTrue="1" operator="notEqual">
      <formula>D89</formula>
    </cfRule>
  </conditionalFormatting>
  <conditionalFormatting sqref="D89 D99">
    <cfRule type="cellIs" dxfId="22" priority="30" stopIfTrue="1" operator="notEqual">
      <formula>J89</formula>
    </cfRule>
  </conditionalFormatting>
  <conditionalFormatting sqref="J42">
    <cfRule type="cellIs" dxfId="21" priority="21" stopIfTrue="1" operator="notEqual">
      <formula>D42</formula>
    </cfRule>
  </conditionalFormatting>
  <conditionalFormatting sqref="D42">
    <cfRule type="cellIs" dxfId="20" priority="22" stopIfTrue="1" operator="notEqual">
      <formula>J42</formula>
    </cfRule>
  </conditionalFormatting>
  <conditionalFormatting sqref="J103:J111">
    <cfRule type="cellIs" dxfId="19" priority="1" stopIfTrue="1" operator="notEqual">
      <formula>D103</formula>
    </cfRule>
  </conditionalFormatting>
  <conditionalFormatting sqref="J90">
    <cfRule type="cellIs" dxfId="18" priority="19" stopIfTrue="1" operator="notEqual">
      <formula>D90</formula>
    </cfRule>
  </conditionalFormatting>
  <conditionalFormatting sqref="D90">
    <cfRule type="cellIs" dxfId="17" priority="20" stopIfTrue="1" operator="notEqual">
      <formula>J90</formula>
    </cfRule>
  </conditionalFormatting>
  <conditionalFormatting sqref="J91">
    <cfRule type="cellIs" dxfId="16" priority="17" stopIfTrue="1" operator="notEqual">
      <formula>D91</formula>
    </cfRule>
  </conditionalFormatting>
  <conditionalFormatting sqref="D91">
    <cfRule type="cellIs" dxfId="15" priority="18" stopIfTrue="1" operator="notEqual">
      <formula>J91</formula>
    </cfRule>
  </conditionalFormatting>
  <conditionalFormatting sqref="J92">
    <cfRule type="cellIs" dxfId="14" priority="15" stopIfTrue="1" operator="notEqual">
      <formula>D92</formula>
    </cfRule>
  </conditionalFormatting>
  <conditionalFormatting sqref="D92">
    <cfRule type="cellIs" dxfId="13" priority="16" stopIfTrue="1" operator="notEqual">
      <formula>J92</formula>
    </cfRule>
  </conditionalFormatting>
  <conditionalFormatting sqref="J93">
    <cfRule type="cellIs" dxfId="12" priority="13" stopIfTrue="1" operator="notEqual">
      <formula>D93</formula>
    </cfRule>
  </conditionalFormatting>
  <conditionalFormatting sqref="D93">
    <cfRule type="cellIs" dxfId="11" priority="14" stopIfTrue="1" operator="notEqual">
      <formula>J93</formula>
    </cfRule>
  </conditionalFormatting>
  <conditionalFormatting sqref="J94">
    <cfRule type="cellIs" dxfId="10" priority="11" stopIfTrue="1" operator="notEqual">
      <formula>D94</formula>
    </cfRule>
  </conditionalFormatting>
  <conditionalFormatting sqref="D94">
    <cfRule type="cellIs" dxfId="9" priority="12" stopIfTrue="1" operator="notEqual">
      <formula>J94</formula>
    </cfRule>
  </conditionalFormatting>
  <conditionalFormatting sqref="J95">
    <cfRule type="cellIs" dxfId="8" priority="9" stopIfTrue="1" operator="notEqual">
      <formula>D95</formula>
    </cfRule>
  </conditionalFormatting>
  <conditionalFormatting sqref="D95">
    <cfRule type="cellIs" dxfId="7" priority="10" stopIfTrue="1" operator="notEqual">
      <formula>J95</formula>
    </cfRule>
  </conditionalFormatting>
  <conditionalFormatting sqref="J96">
    <cfRule type="cellIs" dxfId="6" priority="7" stopIfTrue="1" operator="notEqual">
      <formula>D96</formula>
    </cfRule>
  </conditionalFormatting>
  <conditionalFormatting sqref="D96">
    <cfRule type="cellIs" dxfId="5" priority="8" stopIfTrue="1" operator="notEqual">
      <formula>J96</formula>
    </cfRule>
  </conditionalFormatting>
  <conditionalFormatting sqref="J97">
    <cfRule type="cellIs" dxfId="4" priority="5" stopIfTrue="1" operator="notEqual">
      <formula>D97</formula>
    </cfRule>
  </conditionalFormatting>
  <conditionalFormatting sqref="D97">
    <cfRule type="cellIs" dxfId="3" priority="6" stopIfTrue="1" operator="notEqual">
      <formula>J97</formula>
    </cfRule>
  </conditionalFormatting>
  <conditionalFormatting sqref="J98">
    <cfRule type="cellIs" dxfId="2" priority="3" stopIfTrue="1" operator="notEqual">
      <formula>D98</formula>
    </cfRule>
  </conditionalFormatting>
  <conditionalFormatting sqref="D98">
    <cfRule type="cellIs" dxfId="1" priority="4" stopIfTrue="1" operator="notEqual">
      <formula>J98</formula>
    </cfRule>
  </conditionalFormatting>
  <conditionalFormatting sqref="D103:D111">
    <cfRule type="cellIs" dxfId="0" priority="2" stopIfTrue="1" operator="notEqual">
      <formula>J103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2.75" x14ac:dyDescent="0.2"/>
  <cols>
    <col min="1" max="1" width="20.5703125" bestFit="1" customWidth="1"/>
    <col min="2" max="2" width="14.7109375" bestFit="1" customWidth="1"/>
    <col min="3" max="3" width="24.28515625" customWidth="1"/>
  </cols>
  <sheetData>
    <row r="1" spans="1:2" x14ac:dyDescent="0.2">
      <c r="A1" s="11" t="s">
        <v>107</v>
      </c>
      <c r="B1" s="11" t="s">
        <v>211</v>
      </c>
    </row>
    <row r="2" spans="1:2" x14ac:dyDescent="0.2">
      <c r="A2" s="11" t="s">
        <v>114</v>
      </c>
    </row>
    <row r="3" spans="1:2" x14ac:dyDescent="0.2">
      <c r="A3">
        <v>16</v>
      </c>
      <c r="B3">
        <v>1</v>
      </c>
    </row>
    <row r="4" spans="1:2" x14ac:dyDescent="0.2">
      <c r="A4">
        <v>32</v>
      </c>
      <c r="B4">
        <v>0</v>
      </c>
    </row>
    <row r="6" spans="1:2" x14ac:dyDescent="0.2">
      <c r="A6" s="11" t="s">
        <v>115</v>
      </c>
    </row>
    <row r="7" spans="1:2" x14ac:dyDescent="0.2">
      <c r="A7">
        <v>2</v>
      </c>
      <c r="B7">
        <v>2</v>
      </c>
    </row>
    <row r="8" spans="1:2" x14ac:dyDescent="0.2">
      <c r="A8">
        <v>3</v>
      </c>
      <c r="B8">
        <v>3</v>
      </c>
    </row>
    <row r="10" spans="1:2" x14ac:dyDescent="0.2">
      <c r="A10" s="11" t="s">
        <v>116</v>
      </c>
    </row>
    <row r="11" spans="1:2" x14ac:dyDescent="0.2">
      <c r="A11">
        <v>1</v>
      </c>
      <c r="B11">
        <v>0</v>
      </c>
    </row>
    <row r="12" spans="1:2" x14ac:dyDescent="0.2">
      <c r="A12">
        <v>2</v>
      </c>
      <c r="B12">
        <v>1</v>
      </c>
    </row>
    <row r="13" spans="1:2" x14ac:dyDescent="0.2">
      <c r="A13">
        <v>4</v>
      </c>
      <c r="B13">
        <v>2</v>
      </c>
    </row>
    <row r="15" spans="1:2" x14ac:dyDescent="0.2">
      <c r="A15" s="11" t="s">
        <v>185</v>
      </c>
    </row>
    <row r="16" spans="1:2" x14ac:dyDescent="0.2">
      <c r="A16" s="8" t="s">
        <v>205</v>
      </c>
      <c r="B16" s="11">
        <v>8</v>
      </c>
    </row>
    <row r="17" spans="1:2" x14ac:dyDescent="0.2">
      <c r="A17" s="8" t="s">
        <v>206</v>
      </c>
      <c r="B17" s="11">
        <v>9</v>
      </c>
    </row>
    <row r="18" spans="1:2" x14ac:dyDescent="0.2">
      <c r="A18" s="8" t="s">
        <v>207</v>
      </c>
      <c r="B18" s="11">
        <v>10</v>
      </c>
    </row>
    <row r="19" spans="1:2" x14ac:dyDescent="0.2">
      <c r="A19" s="8" t="s">
        <v>208</v>
      </c>
      <c r="B19" s="11">
        <v>11</v>
      </c>
    </row>
    <row r="21" spans="1:2" x14ac:dyDescent="0.2">
      <c r="A21" s="11" t="s">
        <v>117</v>
      </c>
    </row>
    <row r="22" spans="1:2" x14ac:dyDescent="0.2">
      <c r="A22" s="11">
        <v>256</v>
      </c>
      <c r="B22">
        <v>0</v>
      </c>
    </row>
    <row r="23" spans="1:2" x14ac:dyDescent="0.2">
      <c r="A23" s="11">
        <v>512</v>
      </c>
      <c r="B23">
        <v>1</v>
      </c>
    </row>
    <row r="24" spans="1:2" x14ac:dyDescent="0.2">
      <c r="A24" s="11">
        <v>1024</v>
      </c>
      <c r="B24">
        <v>2</v>
      </c>
    </row>
    <row r="25" spans="1:2" x14ac:dyDescent="0.2">
      <c r="A25" s="11">
        <v>2048</v>
      </c>
      <c r="B25">
        <v>3</v>
      </c>
    </row>
    <row r="27" spans="1:2" x14ac:dyDescent="0.2">
      <c r="A27" s="11" t="s">
        <v>118</v>
      </c>
    </row>
    <row r="28" spans="1:2" x14ac:dyDescent="0.2">
      <c r="A28" s="14" t="s">
        <v>92</v>
      </c>
      <c r="B28">
        <v>0</v>
      </c>
    </row>
    <row r="29" spans="1:2" x14ac:dyDescent="0.2">
      <c r="A29" s="14" t="s">
        <v>88</v>
      </c>
      <c r="B29">
        <v>1</v>
      </c>
    </row>
    <row r="31" spans="1:2" x14ac:dyDescent="0.2">
      <c r="A31" s="11" t="s">
        <v>119</v>
      </c>
    </row>
    <row r="32" spans="1:2" x14ac:dyDescent="0.2">
      <c r="A32" s="14" t="s">
        <v>92</v>
      </c>
      <c r="B32">
        <v>0</v>
      </c>
    </row>
    <row r="33" spans="1:3" x14ac:dyDescent="0.2">
      <c r="A33" s="14" t="s">
        <v>93</v>
      </c>
      <c r="B33">
        <v>1</v>
      </c>
    </row>
    <row r="35" spans="1:3" x14ac:dyDescent="0.2">
      <c r="A35" s="11" t="s">
        <v>120</v>
      </c>
    </row>
    <row r="36" spans="1:3" ht="38.25" x14ac:dyDescent="0.2">
      <c r="A36">
        <v>8</v>
      </c>
      <c r="B36">
        <v>0</v>
      </c>
      <c r="C36" s="3" t="s">
        <v>212</v>
      </c>
    </row>
    <row r="37" spans="1:3" ht="38.25" x14ac:dyDescent="0.2">
      <c r="A37">
        <v>16</v>
      </c>
      <c r="B37">
        <v>1</v>
      </c>
      <c r="C37" s="3" t="s">
        <v>213</v>
      </c>
    </row>
    <row r="38" spans="1:3" ht="38.25" x14ac:dyDescent="0.2">
      <c r="A38">
        <v>32</v>
      </c>
      <c r="B38">
        <v>2</v>
      </c>
      <c r="C38" s="3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F2807x_F2837x Configuration</vt:lpstr>
      <vt:lpstr>F2807x_F2837x_Decode</vt:lpstr>
      <vt:lpstr>Valid Values</vt:lpstr>
    </vt:vector>
  </TitlesOfParts>
  <Company>Texas Instruments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Martinez</dc:creator>
  <cp:lastModifiedBy>Tommy Lee</cp:lastModifiedBy>
  <dcterms:created xsi:type="dcterms:W3CDTF">2009-07-28T22:17:37Z</dcterms:created>
  <dcterms:modified xsi:type="dcterms:W3CDTF">2018-04-06T21:06:39Z</dcterms:modified>
</cp:coreProperties>
</file>