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Code_Library\"/>
    </mc:Choice>
  </mc:AlternateContent>
  <xr:revisionPtr revIDLastSave="0" documentId="13_ncr:1_{D7FE6E61-FD16-4DFB-B6FA-37EE714373B0}" xr6:coauthVersionLast="36" xr6:coauthVersionMax="36" xr10:uidLastSave="{00000000-0000-0000-0000-000000000000}"/>
  <bookViews>
    <workbookView xWindow="0" yWindow="0" windowWidth="28800" windowHeight="12225" firstSheet="15" activeTab="31" xr2:uid="{B4DD6F3E-6245-403B-9790-A19B7667D232}"/>
  </bookViews>
  <sheets>
    <sheet name="Solar cell" sheetId="3" r:id="rId1"/>
    <sheet name="New Solar" sheetId="5" r:id="rId2"/>
    <sheet name="01" sheetId="1" r:id="rId3"/>
    <sheet name="02" sheetId="2" r:id="rId4"/>
    <sheet name="03" sheetId="4" r:id="rId5"/>
    <sheet name="04" sheetId="6" r:id="rId6"/>
    <sheet name="05" sheetId="7" r:id="rId7"/>
    <sheet name="06" sheetId="8" r:id="rId8"/>
    <sheet name="07" sheetId="9" r:id="rId9"/>
    <sheet name="08" sheetId="10" r:id="rId10"/>
    <sheet name="09" sheetId="11" r:id="rId11"/>
    <sheet name="10" sheetId="12" r:id="rId12"/>
    <sheet name="11" sheetId="13" r:id="rId13"/>
    <sheet name="12" sheetId="14" r:id="rId14"/>
    <sheet name="01-65" sheetId="15" r:id="rId15"/>
    <sheet name="02-65" sheetId="16" r:id="rId16"/>
    <sheet name="03-65" sheetId="17" r:id="rId17"/>
    <sheet name="04-65" sheetId="18" r:id="rId18"/>
    <sheet name="05-65" sheetId="19" r:id="rId19"/>
    <sheet name="06-65" sheetId="20" r:id="rId20"/>
    <sheet name="07-65" sheetId="21" r:id="rId21"/>
    <sheet name="08-65" sheetId="22" r:id="rId22"/>
    <sheet name="09-65" sheetId="23" r:id="rId23"/>
    <sheet name="10-65" sheetId="24" r:id="rId24"/>
    <sheet name="11-65" sheetId="25" r:id="rId25"/>
    <sheet name="12-65" sheetId="26" r:id="rId26"/>
    <sheet name="01-66" sheetId="27" r:id="rId27"/>
    <sheet name="02-66" sheetId="28" r:id="rId28"/>
    <sheet name="03-66" sheetId="29" r:id="rId29"/>
    <sheet name="04-66" sheetId="30" r:id="rId30"/>
    <sheet name="05-66" sheetId="31" r:id="rId31"/>
    <sheet name="06-66" sheetId="32" r:id="rId3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32" l="1"/>
  <c r="N30" i="32"/>
  <c r="K33" i="32"/>
  <c r="K32" i="32"/>
  <c r="K30" i="32"/>
  <c r="M23" i="32"/>
  <c r="B35" i="32"/>
  <c r="B36" i="32" s="1"/>
  <c r="H4" i="32" s="1"/>
  <c r="H34" i="32" s="1"/>
  <c r="H41" i="32"/>
  <c r="M28" i="32"/>
  <c r="N28" i="32" s="1"/>
  <c r="L28" i="32"/>
  <c r="M27" i="32"/>
  <c r="N27" i="32" s="1"/>
  <c r="L27" i="32"/>
  <c r="M26" i="32"/>
  <c r="N26" i="32" s="1"/>
  <c r="L26" i="32"/>
  <c r="N25" i="32"/>
  <c r="M25" i="32"/>
  <c r="L25" i="32"/>
  <c r="D4" i="32"/>
  <c r="H3" i="32"/>
  <c r="G3" i="32"/>
  <c r="G34" i="32" s="1"/>
  <c r="C36" i="32" l="1"/>
  <c r="E4" i="32" s="1"/>
  <c r="I4" i="32" s="1"/>
  <c r="I34" i="32" s="1"/>
  <c r="H35" i="32" s="1"/>
  <c r="N30" i="31"/>
  <c r="M31" i="31" s="1"/>
  <c r="K33" i="31"/>
  <c r="L29" i="31"/>
  <c r="K32" i="31"/>
  <c r="K30" i="31"/>
  <c r="H45" i="31"/>
  <c r="H40" i="31"/>
  <c r="C35" i="31"/>
  <c r="C36" i="29"/>
  <c r="C35" i="29"/>
  <c r="B36" i="31"/>
  <c r="C36" i="31" s="1"/>
  <c r="H41" i="31"/>
  <c r="M28" i="31"/>
  <c r="N28" i="31" s="1"/>
  <c r="L28" i="31"/>
  <c r="M27" i="31"/>
  <c r="N27" i="31" s="1"/>
  <c r="L27" i="31"/>
  <c r="M26" i="31"/>
  <c r="N26" i="31" s="1"/>
  <c r="L26" i="31"/>
  <c r="M25" i="31"/>
  <c r="N25" i="31" s="1"/>
  <c r="L25" i="31"/>
  <c r="M23" i="31"/>
  <c r="D4" i="31"/>
  <c r="H3" i="31"/>
  <c r="G3" i="31"/>
  <c r="G34" i="31" s="1"/>
  <c r="H37" i="32" l="1"/>
  <c r="H40" i="32" s="1"/>
  <c r="I41" i="32" s="1"/>
  <c r="H43" i="32" s="1"/>
  <c r="H45" i="32" s="1"/>
  <c r="L29" i="32" s="1"/>
  <c r="H4" i="31"/>
  <c r="H34" i="31" s="1"/>
  <c r="E4" i="31"/>
  <c r="I4" i="31" s="1"/>
  <c r="I34" i="31" s="1"/>
  <c r="H37" i="31" s="1"/>
  <c r="L29" i="30"/>
  <c r="K33" i="30"/>
  <c r="N30" i="30"/>
  <c r="H40" i="30"/>
  <c r="C36" i="30"/>
  <c r="E4" i="30" s="1"/>
  <c r="I4" i="30" s="1"/>
  <c r="I34" i="30" s="1"/>
  <c r="B36" i="30"/>
  <c r="C35" i="30"/>
  <c r="H34" i="30"/>
  <c r="K30" i="30"/>
  <c r="M28" i="30"/>
  <c r="N28" i="30" s="1"/>
  <c r="L28" i="30"/>
  <c r="M27" i="30"/>
  <c r="N27" i="30" s="1"/>
  <c r="L27" i="30"/>
  <c r="M26" i="30"/>
  <c r="N26" i="30" s="1"/>
  <c r="L26" i="30"/>
  <c r="N25" i="30"/>
  <c r="M25" i="30"/>
  <c r="L25" i="30"/>
  <c r="M24" i="30"/>
  <c r="M23" i="30"/>
  <c r="H4" i="30"/>
  <c r="D4" i="30"/>
  <c r="H3" i="30"/>
  <c r="G3" i="30"/>
  <c r="G34" i="30" s="1"/>
  <c r="M29" i="32" l="1"/>
  <c r="L30" i="32"/>
  <c r="I41" i="31"/>
  <c r="H43" i="31" s="1"/>
  <c r="L30" i="31"/>
  <c r="M29" i="31"/>
  <c r="H35" i="31"/>
  <c r="H37" i="30"/>
  <c r="H39" i="30" s="1"/>
  <c r="H35" i="30"/>
  <c r="K33" i="29"/>
  <c r="M28" i="29"/>
  <c r="M26" i="29"/>
  <c r="M27" i="29"/>
  <c r="L29" i="29"/>
  <c r="M29" i="29" s="1"/>
  <c r="N29" i="29" s="1"/>
  <c r="K30" i="29"/>
  <c r="K32" i="29"/>
  <c r="H44" i="29"/>
  <c r="H40" i="29"/>
  <c r="B36" i="29"/>
  <c r="N28" i="29"/>
  <c r="L28" i="29"/>
  <c r="N27" i="29"/>
  <c r="L27" i="29"/>
  <c r="N26" i="29"/>
  <c r="L26" i="29"/>
  <c r="M25" i="29"/>
  <c r="N25" i="29" s="1"/>
  <c r="L25" i="29"/>
  <c r="M24" i="29"/>
  <c r="M23" i="29"/>
  <c r="D4" i="29"/>
  <c r="H3" i="29"/>
  <c r="G3" i="29"/>
  <c r="G34" i="29" s="1"/>
  <c r="N29" i="32" l="1"/>
  <c r="M30" i="31"/>
  <c r="N29" i="31"/>
  <c r="H42" i="30"/>
  <c r="H44" i="30" s="1"/>
  <c r="I40" i="30"/>
  <c r="H4" i="29"/>
  <c r="H34" i="29" s="1"/>
  <c r="E4" i="29"/>
  <c r="N30" i="28"/>
  <c r="K33" i="28"/>
  <c r="M30" i="28"/>
  <c r="L30" i="28"/>
  <c r="K30" i="28"/>
  <c r="K29" i="28" s="1"/>
  <c r="H39" i="28"/>
  <c r="H41" i="28"/>
  <c r="I38" i="28"/>
  <c r="D4" i="28"/>
  <c r="B36" i="28"/>
  <c r="H4" i="28" s="1"/>
  <c r="H34" i="28" s="1"/>
  <c r="B35" i="28"/>
  <c r="M28" i="28"/>
  <c r="N28" i="28" s="1"/>
  <c r="L28" i="28"/>
  <c r="M27" i="28"/>
  <c r="N27" i="28" s="1"/>
  <c r="L27" i="28"/>
  <c r="M26" i="28"/>
  <c r="N26" i="28" s="1"/>
  <c r="L26" i="28"/>
  <c r="M25" i="28"/>
  <c r="N25" i="28" s="1"/>
  <c r="L25" i="28"/>
  <c r="M24" i="28"/>
  <c r="M23" i="28"/>
  <c r="H3" i="28"/>
  <c r="G3" i="28"/>
  <c r="G34" i="28" s="1"/>
  <c r="M31" i="32" l="1"/>
  <c r="L30" i="30"/>
  <c r="I4" i="29"/>
  <c r="I34" i="29" s="1"/>
  <c r="H37" i="29"/>
  <c r="H39" i="29" s="1"/>
  <c r="H35" i="29"/>
  <c r="C36" i="28"/>
  <c r="E4" i="28" s="1"/>
  <c r="I4" i="28" s="1"/>
  <c r="I34" i="28" s="1"/>
  <c r="H37" i="28" s="1"/>
  <c r="K34" i="27"/>
  <c r="N26" i="27"/>
  <c r="N27" i="27"/>
  <c r="N28" i="27"/>
  <c r="N29" i="27"/>
  <c r="M29" i="27"/>
  <c r="K29" i="27"/>
  <c r="K30" i="27"/>
  <c r="L29" i="27" s="1"/>
  <c r="L30" i="27" s="1"/>
  <c r="M29" i="30" l="1"/>
  <c r="M30" i="30" s="1"/>
  <c r="I40" i="29"/>
  <c r="H42" i="29" s="1"/>
  <c r="H42" i="28"/>
  <c r="H35" i="28"/>
  <c r="K33" i="27"/>
  <c r="K32" i="26"/>
  <c r="K31" i="26"/>
  <c r="K30" i="26"/>
  <c r="H39" i="26"/>
  <c r="H41" i="26" s="1"/>
  <c r="H42" i="26" s="1"/>
  <c r="H35" i="26"/>
  <c r="H37" i="26"/>
  <c r="I38" i="27"/>
  <c r="B35" i="27"/>
  <c r="B36" i="27" s="1"/>
  <c r="M28" i="27"/>
  <c r="L28" i="27"/>
  <c r="M27" i="27"/>
  <c r="L27" i="27"/>
  <c r="M26" i="27"/>
  <c r="L26" i="27"/>
  <c r="M25" i="27"/>
  <c r="N25" i="27" s="1"/>
  <c r="L25" i="27"/>
  <c r="M24" i="27"/>
  <c r="M23" i="27"/>
  <c r="D4" i="27"/>
  <c r="H3" i="27"/>
  <c r="G3" i="27"/>
  <c r="G34" i="27" s="1"/>
  <c r="N29" i="30" l="1"/>
  <c r="L30" i="29"/>
  <c r="K32" i="28"/>
  <c r="L29" i="28"/>
  <c r="H4" i="27"/>
  <c r="H34" i="27" s="1"/>
  <c r="C36" i="27"/>
  <c r="E4" i="27" s="1"/>
  <c r="I4" i="27" s="1"/>
  <c r="I34" i="27" s="1"/>
  <c r="B35" i="26"/>
  <c r="B36" i="26" s="1"/>
  <c r="I38" i="26"/>
  <c r="H36" i="26"/>
  <c r="K35" i="26"/>
  <c r="G34" i="26"/>
  <c r="M28" i="26"/>
  <c r="N28" i="26" s="1"/>
  <c r="L28" i="26"/>
  <c r="M27" i="26"/>
  <c r="N27" i="26" s="1"/>
  <c r="L27" i="26"/>
  <c r="M26" i="26"/>
  <c r="N26" i="26" s="1"/>
  <c r="L26" i="26"/>
  <c r="M25" i="26"/>
  <c r="N25" i="26" s="1"/>
  <c r="L25" i="26"/>
  <c r="M24" i="26"/>
  <c r="M23" i="26"/>
  <c r="D4" i="26"/>
  <c r="H3" i="26"/>
  <c r="G3" i="26"/>
  <c r="M31" i="30" l="1"/>
  <c r="M30" i="29"/>
  <c r="M29" i="28"/>
  <c r="K31" i="28"/>
  <c r="L31" i="28" s="1"/>
  <c r="H37" i="27"/>
  <c r="H39" i="27" s="1"/>
  <c r="H41" i="27" s="1"/>
  <c r="H42" i="27" s="1"/>
  <c r="H35" i="27"/>
  <c r="C36" i="26"/>
  <c r="E4" i="26" s="1"/>
  <c r="H4" i="26"/>
  <c r="H34" i="26" s="1"/>
  <c r="K34" i="25"/>
  <c r="L31" i="25"/>
  <c r="K31" i="25"/>
  <c r="K30" i="25"/>
  <c r="K32" i="25"/>
  <c r="I38" i="25"/>
  <c r="H36" i="25"/>
  <c r="K35" i="25"/>
  <c r="B35" i="25"/>
  <c r="B36" i="25" s="1"/>
  <c r="M28" i="25"/>
  <c r="N28" i="25" s="1"/>
  <c r="L28" i="25"/>
  <c r="M27" i="25"/>
  <c r="N27" i="25" s="1"/>
  <c r="L27" i="25"/>
  <c r="M26" i="25"/>
  <c r="N26" i="25" s="1"/>
  <c r="L26" i="25"/>
  <c r="M25" i="25"/>
  <c r="N25" i="25" s="1"/>
  <c r="L25" i="25"/>
  <c r="M24" i="25"/>
  <c r="M23" i="25"/>
  <c r="D4" i="25"/>
  <c r="H3" i="25"/>
  <c r="G3" i="25"/>
  <c r="G34" i="25" s="1"/>
  <c r="N30" i="29" l="1"/>
  <c r="M31" i="29" s="1"/>
  <c r="N29" i="28"/>
  <c r="K34" i="28"/>
  <c r="K32" i="27"/>
  <c r="I4" i="26"/>
  <c r="I34" i="26" s="1"/>
  <c r="H4" i="25"/>
  <c r="H34" i="25" s="1"/>
  <c r="C36" i="25"/>
  <c r="E4" i="25" s="1"/>
  <c r="I4" i="25" s="1"/>
  <c r="I34" i="25" s="1"/>
  <c r="H35" i="25" s="1"/>
  <c r="M29" i="24"/>
  <c r="M30" i="24"/>
  <c r="K33" i="24"/>
  <c r="K31" i="24"/>
  <c r="K32" i="24"/>
  <c r="H39" i="24"/>
  <c r="H42" i="24"/>
  <c r="H41" i="24"/>
  <c r="I38" i="24"/>
  <c r="H36" i="24"/>
  <c r="K35" i="24"/>
  <c r="B35" i="24"/>
  <c r="B36" i="24" s="1"/>
  <c r="C36" i="24" s="1"/>
  <c r="K30" i="24"/>
  <c r="M28" i="24"/>
  <c r="N28" i="24" s="1"/>
  <c r="L28" i="24"/>
  <c r="M27" i="24"/>
  <c r="N27" i="24" s="1"/>
  <c r="L27" i="24"/>
  <c r="M26" i="24"/>
  <c r="N26" i="24" s="1"/>
  <c r="L26" i="24"/>
  <c r="M25" i="24"/>
  <c r="N25" i="24" s="1"/>
  <c r="L25" i="24"/>
  <c r="M24" i="24"/>
  <c r="M23" i="24"/>
  <c r="D4" i="24"/>
  <c r="H3" i="24"/>
  <c r="G3" i="24"/>
  <c r="G34" i="24" s="1"/>
  <c r="M30" i="27" l="1"/>
  <c r="K31" i="27"/>
  <c r="L31" i="27" s="1"/>
  <c r="H37" i="25"/>
  <c r="H39" i="25" s="1"/>
  <c r="H4" i="24"/>
  <c r="E4" i="24"/>
  <c r="K33" i="23"/>
  <c r="B35" i="23"/>
  <c r="L29" i="26" l="1"/>
  <c r="L30" i="26" s="1"/>
  <c r="N30" i="27"/>
  <c r="K33" i="26"/>
  <c r="H41" i="25"/>
  <c r="H42" i="25" s="1"/>
  <c r="I4" i="24"/>
  <c r="I34" i="24" s="1"/>
  <c r="H34" i="24"/>
  <c r="I38" i="23"/>
  <c r="H36" i="23"/>
  <c r="K35" i="23"/>
  <c r="H34" i="23"/>
  <c r="K30" i="23"/>
  <c r="M28" i="23"/>
  <c r="N28" i="23" s="1"/>
  <c r="L28" i="23"/>
  <c r="M27" i="23"/>
  <c r="N27" i="23" s="1"/>
  <c r="L27" i="23"/>
  <c r="M26" i="23"/>
  <c r="N26" i="23" s="1"/>
  <c r="L26" i="23"/>
  <c r="N25" i="23"/>
  <c r="M25" i="23"/>
  <c r="L25" i="23"/>
  <c r="M24" i="23"/>
  <c r="M23" i="23"/>
  <c r="B36" i="23"/>
  <c r="C36" i="23" s="1"/>
  <c r="E4" i="23" s="1"/>
  <c r="I4" i="23" s="1"/>
  <c r="I34" i="23" s="1"/>
  <c r="D4" i="23"/>
  <c r="H3" i="23"/>
  <c r="G3" i="23"/>
  <c r="G34" i="23" s="1"/>
  <c r="M32" i="22"/>
  <c r="K33" i="22"/>
  <c r="B34" i="22"/>
  <c r="B23" i="19"/>
  <c r="B15" i="22"/>
  <c r="I38" i="22"/>
  <c r="H36" i="22"/>
  <c r="K35" i="22"/>
  <c r="H34" i="22"/>
  <c r="B36" i="22"/>
  <c r="C36" i="22" s="1"/>
  <c r="E4" i="22" s="1"/>
  <c r="I4" i="22" s="1"/>
  <c r="I34" i="22" s="1"/>
  <c r="K30" i="22"/>
  <c r="M28" i="22"/>
  <c r="N28" i="22" s="1"/>
  <c r="L28" i="22"/>
  <c r="N27" i="22"/>
  <c r="M27" i="22"/>
  <c r="L27" i="22"/>
  <c r="M26" i="22"/>
  <c r="N26" i="22" s="1"/>
  <c r="L26" i="22"/>
  <c r="M25" i="22"/>
  <c r="N25" i="22" s="1"/>
  <c r="L25" i="22"/>
  <c r="M24" i="22"/>
  <c r="M23" i="22"/>
  <c r="D4" i="22"/>
  <c r="H3" i="22"/>
  <c r="G3" i="22"/>
  <c r="G34" i="22" s="1"/>
  <c r="L31" i="26" l="1"/>
  <c r="M29" i="26"/>
  <c r="N29" i="26" s="1"/>
  <c r="N30" i="26" s="1"/>
  <c r="L29" i="25"/>
  <c r="L30" i="25" s="1"/>
  <c r="K33" i="25"/>
  <c r="H35" i="24"/>
  <c r="H37" i="24"/>
  <c r="L29" i="24" s="1"/>
  <c r="L30" i="24" s="1"/>
  <c r="H35" i="23"/>
  <c r="H37" i="23"/>
  <c r="H39" i="23" s="1"/>
  <c r="H37" i="22"/>
  <c r="H39" i="22" s="1"/>
  <c r="H35" i="22"/>
  <c r="K35" i="21"/>
  <c r="M30" i="26" l="1"/>
  <c r="K34" i="26" s="1"/>
  <c r="M29" i="25"/>
  <c r="L31" i="24"/>
  <c r="H40" i="23"/>
  <c r="H41" i="23" s="1"/>
  <c r="H40" i="22"/>
  <c r="H41" i="22" s="1"/>
  <c r="B34" i="21"/>
  <c r="N29" i="25" l="1"/>
  <c r="N30" i="25" s="1"/>
  <c r="M30" i="25"/>
  <c r="N29" i="24"/>
  <c r="N30" i="24" s="1"/>
  <c r="L29" i="23"/>
  <c r="L30" i="23" s="1"/>
  <c r="K32" i="23"/>
  <c r="L29" i="22"/>
  <c r="L30" i="22" s="1"/>
  <c r="K32" i="22"/>
  <c r="I38" i="21"/>
  <c r="H36" i="21"/>
  <c r="H34" i="21"/>
  <c r="K30" i="21"/>
  <c r="N28" i="21"/>
  <c r="M28" i="21"/>
  <c r="L28" i="21"/>
  <c r="M27" i="21"/>
  <c r="N27" i="21" s="1"/>
  <c r="L27" i="21"/>
  <c r="M26" i="21"/>
  <c r="N26" i="21" s="1"/>
  <c r="L26" i="21"/>
  <c r="M25" i="21"/>
  <c r="N25" i="21" s="1"/>
  <c r="L25" i="21"/>
  <c r="M24" i="21"/>
  <c r="M23" i="21"/>
  <c r="B36" i="21"/>
  <c r="C36" i="21" s="1"/>
  <c r="E4" i="21" s="1"/>
  <c r="I4" i="21" s="1"/>
  <c r="I34" i="21" s="1"/>
  <c r="D4" i="21"/>
  <c r="H3" i="21"/>
  <c r="G3" i="21"/>
  <c r="G34" i="21" s="1"/>
  <c r="M29" i="23" l="1"/>
  <c r="K31" i="23"/>
  <c r="L31" i="23" s="1"/>
  <c r="M29" i="22"/>
  <c r="K31" i="22"/>
  <c r="L31" i="22" s="1"/>
  <c r="H35" i="21"/>
  <c r="H37" i="21"/>
  <c r="H39" i="21" s="1"/>
  <c r="K35" i="20"/>
  <c r="B34" i="20"/>
  <c r="M30" i="23" l="1"/>
  <c r="M32" i="23" s="1"/>
  <c r="N29" i="23"/>
  <c r="N30" i="23" s="1"/>
  <c r="N29" i="22"/>
  <c r="N30" i="22" s="1"/>
  <c r="M30" i="22"/>
  <c r="H40" i="21"/>
  <c r="H41" i="21" s="1"/>
  <c r="L29" i="21" s="1"/>
  <c r="B18" i="20"/>
  <c r="L30" i="21" l="1"/>
  <c r="K32" i="21"/>
  <c r="K33" i="21" s="1"/>
  <c r="I38" i="20"/>
  <c r="H36" i="20"/>
  <c r="B36" i="20"/>
  <c r="C36" i="20" s="1"/>
  <c r="E4" i="20" s="1"/>
  <c r="I4" i="20" s="1"/>
  <c r="I34" i="20" s="1"/>
  <c r="K30" i="20"/>
  <c r="M28" i="20"/>
  <c r="N28" i="20" s="1"/>
  <c r="L28" i="20"/>
  <c r="M27" i="20"/>
  <c r="N27" i="20" s="1"/>
  <c r="L27" i="20"/>
  <c r="M26" i="20"/>
  <c r="N26" i="20" s="1"/>
  <c r="L26" i="20"/>
  <c r="M25" i="20"/>
  <c r="N25" i="20" s="1"/>
  <c r="L25" i="20"/>
  <c r="M24" i="20"/>
  <c r="M23" i="20"/>
  <c r="D4" i="20"/>
  <c r="H3" i="20"/>
  <c r="H34" i="20" s="1"/>
  <c r="G3" i="20"/>
  <c r="G34" i="20" s="1"/>
  <c r="M29" i="21" l="1"/>
  <c r="K31" i="21"/>
  <c r="L31" i="21" s="1"/>
  <c r="H35" i="20"/>
  <c r="H37" i="20"/>
  <c r="H39" i="20" s="1"/>
  <c r="N29" i="21" l="1"/>
  <c r="N30" i="21" s="1"/>
  <c r="M30" i="21"/>
  <c r="H40" i="20"/>
  <c r="H41" i="20" s="1"/>
  <c r="K32" i="20" l="1"/>
  <c r="K33" i="20" s="1"/>
  <c r="L29" i="20"/>
  <c r="L30" i="20" s="1"/>
  <c r="M29" i="20" l="1"/>
  <c r="K31" i="20"/>
  <c r="L31" i="20" s="1"/>
  <c r="M30" i="20" l="1"/>
  <c r="N29" i="20"/>
  <c r="N30" i="20" s="1"/>
  <c r="B34" i="19" l="1"/>
  <c r="B31" i="19" l="1"/>
  <c r="A23" i="19" l="1"/>
  <c r="B19" i="19" l="1"/>
  <c r="I38" i="19"/>
  <c r="H36" i="19"/>
  <c r="H34" i="19"/>
  <c r="K30" i="19"/>
  <c r="M28" i="19"/>
  <c r="N28" i="19" s="1"/>
  <c r="L28" i="19"/>
  <c r="N27" i="19"/>
  <c r="M27" i="19"/>
  <c r="L27" i="19"/>
  <c r="M26" i="19"/>
  <c r="N26" i="19" s="1"/>
  <c r="L26" i="19"/>
  <c r="M25" i="19"/>
  <c r="N25" i="19" s="1"/>
  <c r="L25" i="19"/>
  <c r="M24" i="19"/>
  <c r="M23" i="19"/>
  <c r="B36" i="19"/>
  <c r="C36" i="19" s="1"/>
  <c r="E4" i="19" s="1"/>
  <c r="I4" i="19" s="1"/>
  <c r="I34" i="19" s="1"/>
  <c r="D4" i="19"/>
  <c r="H3" i="19"/>
  <c r="G3" i="19"/>
  <c r="G34" i="19" s="1"/>
  <c r="H35" i="19" l="1"/>
  <c r="H37" i="19"/>
  <c r="H39" i="19" s="1"/>
  <c r="N29" i="18"/>
  <c r="M29" i="18"/>
  <c r="L29" i="18"/>
  <c r="H40" i="19" l="1"/>
  <c r="H41" i="19" s="1"/>
  <c r="B34" i="18"/>
  <c r="L29" i="19" l="1"/>
  <c r="L30" i="19" s="1"/>
  <c r="K32" i="19"/>
  <c r="K33" i="19" s="1"/>
  <c r="B19" i="18"/>
  <c r="M29" i="19" l="1"/>
  <c r="K31" i="19"/>
  <c r="L31" i="19" s="1"/>
  <c r="B16" i="18"/>
  <c r="M30" i="19" l="1"/>
  <c r="N29" i="19"/>
  <c r="N30" i="19" s="1"/>
  <c r="I38" i="18"/>
  <c r="H36" i="18"/>
  <c r="K30" i="18"/>
  <c r="M28" i="18"/>
  <c r="N28" i="18" s="1"/>
  <c r="L28" i="18"/>
  <c r="M27" i="18"/>
  <c r="N27" i="18" s="1"/>
  <c r="L27" i="18"/>
  <c r="M26" i="18"/>
  <c r="N26" i="18" s="1"/>
  <c r="L26" i="18"/>
  <c r="M25" i="18"/>
  <c r="N25" i="18" s="1"/>
  <c r="L25" i="18"/>
  <c r="M24" i="18"/>
  <c r="M23" i="18"/>
  <c r="B36" i="18"/>
  <c r="C36" i="18" s="1"/>
  <c r="E4" i="18" s="1"/>
  <c r="I4" i="18" s="1"/>
  <c r="I34" i="18" s="1"/>
  <c r="D4" i="18"/>
  <c r="H3" i="18"/>
  <c r="H34" i="18" s="1"/>
  <c r="G3" i="18"/>
  <c r="G34" i="18" s="1"/>
  <c r="H35" i="18" l="1"/>
  <c r="H37" i="18"/>
  <c r="H39" i="18" s="1"/>
  <c r="N25" i="17"/>
  <c r="M25" i="17"/>
  <c r="M26" i="17"/>
  <c r="M27" i="17"/>
  <c r="M28" i="17"/>
  <c r="H40" i="18" l="1"/>
  <c r="H41" i="18" s="1"/>
  <c r="E4" i="17"/>
  <c r="I4" i="17"/>
  <c r="C36" i="17"/>
  <c r="D4" i="17"/>
  <c r="B36" i="17"/>
  <c r="B34" i="17"/>
  <c r="L30" i="18" l="1"/>
  <c r="K32" i="18"/>
  <c r="K33" i="18" s="1"/>
  <c r="B28" i="17"/>
  <c r="K31" i="18" l="1"/>
  <c r="L31" i="18" s="1"/>
  <c r="B25" i="17"/>
  <c r="N30" i="18" l="1"/>
  <c r="M30" i="18"/>
  <c r="B17" i="17"/>
  <c r="B13" i="17" l="1"/>
  <c r="B11" i="17" l="1"/>
  <c r="I38" i="17"/>
  <c r="H36" i="17"/>
  <c r="K30" i="17"/>
  <c r="N28" i="17"/>
  <c r="L28" i="17"/>
  <c r="N27" i="17"/>
  <c r="L27" i="17"/>
  <c r="N26" i="17"/>
  <c r="L26" i="17"/>
  <c r="L25" i="17"/>
  <c r="M24" i="17"/>
  <c r="M23" i="17"/>
  <c r="H3" i="17"/>
  <c r="H34" i="17" s="1"/>
  <c r="G3" i="17"/>
  <c r="G34" i="17" s="1"/>
  <c r="I34" i="17" l="1"/>
  <c r="M28" i="16"/>
  <c r="M27" i="16"/>
  <c r="M26" i="16"/>
  <c r="N26" i="16"/>
  <c r="N25" i="16"/>
  <c r="M25" i="16"/>
  <c r="L25" i="16"/>
  <c r="L26" i="16"/>
  <c r="L27" i="16"/>
  <c r="L28" i="16"/>
  <c r="B34" i="16"/>
  <c r="B32" i="16"/>
  <c r="H37" i="17" l="1"/>
  <c r="H39" i="17" s="1"/>
  <c r="H35" i="17"/>
  <c r="I38" i="16"/>
  <c r="H36" i="16"/>
  <c r="B36" i="16"/>
  <c r="C36" i="16" s="1"/>
  <c r="E4" i="16" s="1"/>
  <c r="I4" i="16" s="1"/>
  <c r="I34" i="16" s="1"/>
  <c r="H34" i="16"/>
  <c r="G34" i="16"/>
  <c r="K30" i="16"/>
  <c r="N28" i="16"/>
  <c r="N27" i="16"/>
  <c r="M24" i="16"/>
  <c r="M23" i="16"/>
  <c r="D4" i="16"/>
  <c r="H3" i="16"/>
  <c r="G3" i="16"/>
  <c r="L30" i="15"/>
  <c r="L31" i="15" s="1"/>
  <c r="N30" i="15"/>
  <c r="N29" i="15"/>
  <c r="N28" i="15"/>
  <c r="N27" i="15"/>
  <c r="N26" i="15"/>
  <c r="N25" i="15"/>
  <c r="M29" i="15"/>
  <c r="L29" i="15"/>
  <c r="K31" i="15"/>
  <c r="K32" i="15"/>
  <c r="K30" i="15"/>
  <c r="K33" i="15" s="1"/>
  <c r="H40" i="15"/>
  <c r="H39" i="15"/>
  <c r="H41" i="15"/>
  <c r="H37" i="15"/>
  <c r="I38" i="15"/>
  <c r="H40" i="17" l="1"/>
  <c r="H41" i="17" s="1"/>
  <c r="K32" i="17" s="1"/>
  <c r="K33" i="17" s="1"/>
  <c r="M29" i="17" s="1"/>
  <c r="M30" i="17" s="1"/>
  <c r="H35" i="16"/>
  <c r="H37" i="16"/>
  <c r="H39" i="16" s="1"/>
  <c r="L29" i="17" l="1"/>
  <c r="L30" i="17" s="1"/>
  <c r="K31" i="17"/>
  <c r="H40" i="16"/>
  <c r="H41" i="16" s="1"/>
  <c r="L29" i="16" s="1"/>
  <c r="L31" i="17" l="1"/>
  <c r="N29" i="17"/>
  <c r="N30" i="17" s="1"/>
  <c r="L30" i="16"/>
  <c r="K32" i="16"/>
  <c r="K33" i="16" s="1"/>
  <c r="M29" i="16" s="1"/>
  <c r="K31" i="16" l="1"/>
  <c r="L31" i="16" s="1"/>
  <c r="N29" i="16" l="1"/>
  <c r="N30" i="16" s="1"/>
  <c r="M30" i="16"/>
  <c r="M30" i="15" l="1"/>
  <c r="M28" i="15"/>
  <c r="M27" i="15"/>
  <c r="M26" i="15"/>
  <c r="M25" i="15"/>
  <c r="M24" i="15"/>
  <c r="M23" i="15"/>
  <c r="B34" i="15"/>
  <c r="B32" i="15" l="1"/>
  <c r="B18" i="15" l="1"/>
  <c r="B12" i="15" l="1"/>
  <c r="H36" i="15" l="1"/>
  <c r="H34" i="15"/>
  <c r="L26" i="15"/>
  <c r="B36" i="15"/>
  <c r="C36" i="15" s="1"/>
  <c r="E4" i="15" s="1"/>
  <c r="I4" i="15" s="1"/>
  <c r="I34" i="15" s="1"/>
  <c r="D4" i="15"/>
  <c r="H3" i="15"/>
  <c r="G3" i="15"/>
  <c r="G34" i="15" s="1"/>
  <c r="H35" i="15" l="1"/>
  <c r="L31" i="14"/>
  <c r="K32" i="14"/>
  <c r="K31" i="14"/>
  <c r="B34" i="14"/>
  <c r="L26" i="14" l="1"/>
  <c r="L24" i="14"/>
  <c r="L23" i="14"/>
  <c r="L30" i="14" s="1"/>
  <c r="B33" i="14" l="1"/>
  <c r="B26" i="14" l="1"/>
  <c r="B23" i="14" l="1"/>
  <c r="B21" i="14" l="1"/>
  <c r="B19" i="14" l="1"/>
  <c r="B17" i="14" l="1"/>
  <c r="F86" i="3" l="1"/>
  <c r="B13" i="14" l="1"/>
  <c r="B82" i="3" l="1"/>
  <c r="B81" i="3"/>
  <c r="B79" i="3"/>
  <c r="B34" i="13" l="1"/>
  <c r="I38" i="14"/>
  <c r="H36" i="14"/>
  <c r="B36" i="14"/>
  <c r="C36" i="14" s="1"/>
  <c r="D4" i="14"/>
  <c r="H3" i="14"/>
  <c r="H34" i="14" s="1"/>
  <c r="G3" i="14"/>
  <c r="G34" i="14" s="1"/>
  <c r="E4" i="14" l="1"/>
  <c r="I4" i="14" s="1"/>
  <c r="I34" i="14" s="1"/>
  <c r="H37" i="14" s="1"/>
  <c r="B31" i="13"/>
  <c r="H35" i="14" l="1"/>
  <c r="H39" i="14"/>
  <c r="H40" i="14" s="1"/>
  <c r="B30" i="13"/>
  <c r="B29" i="13"/>
  <c r="B27" i="13" l="1"/>
  <c r="B16" i="13" l="1"/>
  <c r="I38" i="13" l="1"/>
  <c r="B37" i="13"/>
  <c r="C37" i="13" s="1"/>
  <c r="H36" i="13"/>
  <c r="D5" i="13"/>
  <c r="H4" i="13"/>
  <c r="H35" i="13" s="1"/>
  <c r="G4" i="13"/>
  <c r="G35" i="13" s="1"/>
  <c r="E5" i="13" l="1"/>
  <c r="I5" i="13" s="1"/>
  <c r="I35" i="13" s="1"/>
  <c r="H37" i="13" s="1"/>
  <c r="B25" i="12"/>
  <c r="H39" i="13" l="1"/>
  <c r="H40" i="13" s="1"/>
  <c r="B23" i="12"/>
  <c r="B14" i="12" l="1"/>
  <c r="B37" i="12" s="1"/>
  <c r="C37" i="12" s="1"/>
  <c r="E5" i="12" s="1"/>
  <c r="I5" i="12" s="1"/>
  <c r="I35" i="12" s="1"/>
  <c r="I38" i="12"/>
  <c r="H36" i="12"/>
  <c r="D5" i="12"/>
  <c r="H4" i="12"/>
  <c r="H35" i="12" s="1"/>
  <c r="G4" i="12"/>
  <c r="G35" i="12" s="1"/>
  <c r="H37" i="12" l="1"/>
  <c r="B32" i="11"/>
  <c r="H39" i="12" l="1"/>
  <c r="H40" i="12" s="1"/>
  <c r="B25" i="11"/>
  <c r="B16" i="11" l="1"/>
  <c r="I38" i="11" l="1"/>
  <c r="B37" i="11"/>
  <c r="C37" i="11" s="1"/>
  <c r="E5" i="11" s="1"/>
  <c r="I5" i="11" s="1"/>
  <c r="I35" i="11" s="1"/>
  <c r="H36" i="11"/>
  <c r="Q26" i="11"/>
  <c r="Q27" i="11" s="1"/>
  <c r="P26" i="11"/>
  <c r="P27" i="11" s="1"/>
  <c r="O26" i="11"/>
  <c r="O27" i="11" s="1"/>
  <c r="D5" i="11"/>
  <c r="H4" i="11"/>
  <c r="H35" i="11" s="1"/>
  <c r="G4" i="11"/>
  <c r="G35" i="11" s="1"/>
  <c r="H37" i="11" l="1"/>
  <c r="H39" i="11" s="1"/>
  <c r="H40" i="11" s="1"/>
  <c r="B35" i="10"/>
  <c r="B15" i="10" l="1"/>
  <c r="C15" i="10" s="1"/>
  <c r="C16" i="10" s="1"/>
  <c r="C17" i="10" s="1"/>
  <c r="C18" i="10" s="1"/>
  <c r="B13" i="10" l="1"/>
  <c r="B10" i="10" l="1"/>
  <c r="C8" i="10" l="1"/>
  <c r="C7" i="10" s="1"/>
  <c r="B7" i="10"/>
  <c r="B6" i="10" l="1"/>
  <c r="I38" i="10"/>
  <c r="H36" i="10"/>
  <c r="H35" i="10"/>
  <c r="G35" i="10"/>
  <c r="B37" i="10"/>
  <c r="C37" i="10" s="1"/>
  <c r="E5" i="10" s="1"/>
  <c r="I5" i="10" s="1"/>
  <c r="I35" i="10" s="1"/>
  <c r="H37" i="10" s="1"/>
  <c r="Q26" i="10"/>
  <c r="Q27" i="10" s="1"/>
  <c r="P26" i="10"/>
  <c r="P27" i="10" s="1"/>
  <c r="O26" i="10"/>
  <c r="O27" i="10" s="1"/>
  <c r="D5" i="10"/>
  <c r="H4" i="10"/>
  <c r="G4" i="10"/>
  <c r="H39" i="10" l="1"/>
  <c r="H40" i="10" s="1"/>
  <c r="B35" i="9"/>
  <c r="B33" i="9" l="1"/>
  <c r="B32" i="9" l="1"/>
  <c r="B31" i="9" l="1"/>
  <c r="B30" i="9" l="1"/>
  <c r="B29" i="9"/>
  <c r="B28" i="9" l="1"/>
  <c r="B27" i="9" l="1"/>
  <c r="B26" i="9"/>
  <c r="B24" i="9" l="1"/>
  <c r="B23" i="9" l="1"/>
  <c r="B22" i="9" l="1"/>
  <c r="B21" i="9" l="1"/>
  <c r="B20" i="9" l="1"/>
  <c r="B19" i="9" l="1"/>
  <c r="B18" i="9" l="1"/>
  <c r="B17" i="9" l="1"/>
  <c r="B16" i="9" l="1"/>
  <c r="B15" i="9" l="1"/>
  <c r="B14" i="9" l="1"/>
  <c r="B13" i="9" l="1"/>
  <c r="B12" i="9" l="1"/>
  <c r="B11" i="9" l="1"/>
  <c r="B10" i="9" l="1"/>
  <c r="B9" i="9" l="1"/>
  <c r="B8" i="9" l="1"/>
  <c r="B7" i="9" l="1"/>
  <c r="B6" i="9" l="1"/>
  <c r="B37" i="9" s="1"/>
  <c r="I38" i="9"/>
  <c r="H36" i="9"/>
  <c r="Q26" i="9"/>
  <c r="Q27" i="9" s="1"/>
  <c r="P26" i="9"/>
  <c r="P27" i="9" s="1"/>
  <c r="O26" i="9"/>
  <c r="O27" i="9" s="1"/>
  <c r="D5" i="9"/>
  <c r="H4" i="9"/>
  <c r="H35" i="9" s="1"/>
  <c r="G4" i="9"/>
  <c r="G35" i="9" s="1"/>
  <c r="C37" i="9" l="1"/>
  <c r="E5" i="9" s="1"/>
  <c r="I5" i="9" s="1"/>
  <c r="I35" i="9" s="1"/>
  <c r="H37" i="9" s="1"/>
  <c r="B35" i="8"/>
  <c r="H39" i="9" l="1"/>
  <c r="H40" i="9" s="1"/>
  <c r="B34" i="8"/>
  <c r="B33" i="8" l="1"/>
  <c r="B32" i="8" l="1"/>
  <c r="B31" i="8" l="1"/>
  <c r="B30" i="8" l="1"/>
  <c r="B29" i="8" l="1"/>
  <c r="B28" i="8" l="1"/>
  <c r="B27" i="8" l="1"/>
  <c r="B26" i="8" l="1"/>
  <c r="B25" i="8" l="1"/>
  <c r="B24" i="8" l="1"/>
  <c r="B23" i="8" l="1"/>
  <c r="B22" i="8" l="1"/>
  <c r="B21" i="8" l="1"/>
  <c r="B20" i="8" l="1"/>
  <c r="B19" i="8" l="1"/>
  <c r="B18" i="8" l="1"/>
  <c r="B17" i="8" l="1"/>
  <c r="B16" i="8"/>
  <c r="B15" i="8" l="1"/>
  <c r="B14" i="8" l="1"/>
  <c r="B13" i="8" l="1"/>
  <c r="B12" i="8" l="1"/>
  <c r="B11" i="8" l="1"/>
  <c r="B10" i="8" l="1"/>
  <c r="B6" i="8" l="1"/>
  <c r="D5" i="8"/>
  <c r="B9" i="8"/>
  <c r="B8" i="8" l="1"/>
  <c r="B7" i="8" l="1"/>
  <c r="B37" i="8" s="1"/>
  <c r="C37" i="8" s="1"/>
  <c r="E5" i="8" s="1"/>
  <c r="H38" i="7" l="1"/>
  <c r="B35" i="7" l="1"/>
  <c r="C35" i="7" s="1"/>
  <c r="B36" i="7" s="1"/>
  <c r="I38" i="8"/>
  <c r="H36" i="8"/>
  <c r="Q26" i="8"/>
  <c r="Q27" i="8" s="1"/>
  <c r="P26" i="8"/>
  <c r="P27" i="8" s="1"/>
  <c r="O26" i="8"/>
  <c r="O27" i="8" s="1"/>
  <c r="I5" i="8"/>
  <c r="I35" i="8" s="1"/>
  <c r="H4" i="8"/>
  <c r="H35" i="8" s="1"/>
  <c r="G4" i="8"/>
  <c r="G35" i="8" s="1"/>
  <c r="H37" i="8" l="1"/>
  <c r="H39" i="8" l="1"/>
  <c r="H40" i="8" s="1"/>
  <c r="B34" i="7" l="1"/>
  <c r="E75" i="3" l="1"/>
  <c r="E73" i="3"/>
  <c r="E71" i="3"/>
  <c r="F71" i="3" s="1"/>
  <c r="H71" i="3" s="1"/>
  <c r="E76" i="3"/>
  <c r="E77" i="3"/>
  <c r="E78" i="3"/>
  <c r="B33" i="7" l="1"/>
  <c r="B32" i="7" l="1"/>
  <c r="B31" i="7" l="1"/>
  <c r="B30" i="7" l="1"/>
  <c r="B29" i="7" l="1"/>
  <c r="B28" i="7" l="1"/>
  <c r="B27" i="7" l="1"/>
  <c r="B26" i="7" l="1"/>
  <c r="B25" i="7" l="1"/>
  <c r="B24" i="7" l="1"/>
  <c r="B23" i="7" l="1"/>
  <c r="B22" i="7" l="1"/>
  <c r="B21" i="7" l="1"/>
  <c r="B20" i="7" l="1"/>
  <c r="B19" i="7" l="1"/>
  <c r="B18" i="7" l="1"/>
  <c r="B17" i="7" l="1"/>
  <c r="B16" i="7" l="1"/>
  <c r="B15" i="7" l="1"/>
  <c r="B14" i="7" l="1"/>
  <c r="B13" i="7" l="1"/>
  <c r="B12" i="7" l="1"/>
  <c r="B11" i="7" l="1"/>
  <c r="B10" i="7" l="1"/>
  <c r="B9" i="7" l="1"/>
  <c r="B8" i="7" l="1"/>
  <c r="B7" i="7" l="1"/>
  <c r="B6" i="7" l="1"/>
  <c r="I38" i="7"/>
  <c r="H36" i="7"/>
  <c r="Q26" i="7"/>
  <c r="Q27" i="7" s="1"/>
  <c r="P26" i="7"/>
  <c r="P27" i="7" s="1"/>
  <c r="O26" i="7"/>
  <c r="O27" i="7" s="1"/>
  <c r="B37" i="7"/>
  <c r="C37" i="7" s="1"/>
  <c r="E5" i="7" s="1"/>
  <c r="I5" i="7" s="1"/>
  <c r="I35" i="7" s="1"/>
  <c r="D5" i="7"/>
  <c r="H4" i="7"/>
  <c r="H35" i="7" s="1"/>
  <c r="G4" i="7"/>
  <c r="G35" i="7" s="1"/>
  <c r="H37" i="7" l="1"/>
  <c r="B35" i="6"/>
  <c r="H39" i="7" l="1"/>
  <c r="H40" i="7" s="1"/>
  <c r="B34" i="6"/>
  <c r="B33" i="6"/>
  <c r="B32" i="6" l="1"/>
  <c r="C30" i="6" l="1"/>
  <c r="B30" i="6"/>
  <c r="B29" i="6" l="1"/>
  <c r="B28" i="6" l="1"/>
  <c r="B27" i="6" l="1"/>
  <c r="B26" i="6" l="1"/>
  <c r="C24" i="6" l="1"/>
  <c r="B25" i="6"/>
  <c r="D5" i="6" l="1"/>
  <c r="B7" i="6"/>
  <c r="B21" i="6"/>
  <c r="B23" i="6"/>
  <c r="B22" i="6"/>
  <c r="E12" i="5"/>
  <c r="F12" i="5" s="1"/>
  <c r="E5" i="5"/>
  <c r="E4" i="5"/>
  <c r="F4" i="5" s="1"/>
  <c r="E11" i="5"/>
  <c r="F11" i="5" s="1"/>
  <c r="E8" i="5"/>
  <c r="C22" i="5"/>
  <c r="C23" i="5"/>
  <c r="B19" i="6" l="1"/>
  <c r="B18" i="6"/>
  <c r="B17" i="6"/>
  <c r="C15" i="6" l="1"/>
  <c r="B16" i="6" s="1"/>
  <c r="B15" i="6"/>
  <c r="B14" i="6" l="1"/>
  <c r="B13" i="6"/>
  <c r="B12" i="6"/>
  <c r="B11" i="6" l="1"/>
  <c r="B10" i="6"/>
  <c r="B8" i="6" l="1"/>
  <c r="B9" i="6" l="1"/>
  <c r="B37" i="6" s="1"/>
  <c r="C37" i="6" s="1"/>
  <c r="E5" i="6" s="1"/>
  <c r="I5" i="6" s="1"/>
  <c r="I35" i="6" s="1"/>
  <c r="I38" i="6" l="1"/>
  <c r="H36" i="6"/>
  <c r="Q26" i="6"/>
  <c r="Q27" i="6" s="1"/>
  <c r="P26" i="6"/>
  <c r="P27" i="6" s="1"/>
  <c r="O26" i="6"/>
  <c r="O27" i="6" s="1"/>
  <c r="H4" i="6"/>
  <c r="H35" i="6" s="1"/>
  <c r="G4" i="6"/>
  <c r="G35" i="6" s="1"/>
  <c r="H37" i="6" l="1"/>
  <c r="H39" i="6" l="1"/>
  <c r="H40" i="6" s="1"/>
  <c r="B36" i="4"/>
  <c r="B35" i="4" l="1"/>
  <c r="B34" i="4" l="1"/>
  <c r="E5" i="4" l="1"/>
  <c r="I5" i="4" s="1"/>
  <c r="B33" i="4"/>
  <c r="B32" i="4"/>
  <c r="B31" i="4" l="1"/>
  <c r="B29" i="4" l="1"/>
  <c r="A35" i="4" l="1"/>
  <c r="B28" i="4"/>
  <c r="B27" i="4" l="1"/>
  <c r="B26" i="4" l="1"/>
  <c r="E10" i="5" l="1"/>
  <c r="B16" i="5"/>
  <c r="E9" i="5"/>
  <c r="H9" i="5" s="1"/>
  <c r="H8" i="5"/>
  <c r="E7" i="5"/>
  <c r="F7" i="5" s="1"/>
  <c r="E6" i="5"/>
  <c r="H6" i="5" s="1"/>
  <c r="H5" i="5"/>
  <c r="E3" i="5"/>
  <c r="F3" i="5" s="1"/>
  <c r="E2" i="5"/>
  <c r="F2" i="5" s="1"/>
  <c r="H7" i="5" l="1"/>
  <c r="H10" i="5"/>
  <c r="F10" i="5"/>
  <c r="F6" i="5"/>
  <c r="E16" i="5"/>
  <c r="B22" i="5" s="1"/>
  <c r="H22" i="5" s="1"/>
  <c r="F8" i="5"/>
  <c r="H3" i="5"/>
  <c r="F9" i="5"/>
  <c r="H2" i="5"/>
  <c r="H16" i="5" s="1"/>
  <c r="F5" i="5"/>
  <c r="B24" i="4"/>
  <c r="F16" i="5" l="1"/>
  <c r="B20" i="5"/>
  <c r="B23" i="5"/>
  <c r="B23" i="4"/>
  <c r="B22" i="4" l="1"/>
  <c r="B21" i="4" l="1"/>
  <c r="B20" i="4" l="1"/>
  <c r="B19" i="4" l="1"/>
  <c r="B18" i="4" l="1"/>
  <c r="B17" i="4" l="1"/>
  <c r="B16" i="4" l="1"/>
  <c r="B61" i="3"/>
  <c r="E32" i="3"/>
  <c r="F32" i="3" s="1"/>
  <c r="E35" i="3"/>
  <c r="F35" i="3" s="1"/>
  <c r="H35" i="3" l="1"/>
  <c r="B15" i="4"/>
  <c r="B14" i="4" l="1"/>
  <c r="B11" i="4"/>
  <c r="B9" i="4" l="1"/>
  <c r="B10" i="4"/>
  <c r="C12" i="4"/>
  <c r="E36" i="3" l="1"/>
  <c r="F36" i="3" s="1"/>
  <c r="E33" i="3"/>
  <c r="E34" i="3"/>
  <c r="E30" i="3"/>
  <c r="H34" i="3" l="1"/>
  <c r="B41" i="3"/>
  <c r="F30" i="3"/>
  <c r="H36" i="3"/>
  <c r="F34" i="3"/>
  <c r="E37" i="3"/>
  <c r="H37" i="3" s="1"/>
  <c r="F33" i="3"/>
  <c r="E31" i="3"/>
  <c r="B38" i="3"/>
  <c r="F31" i="3" l="1"/>
  <c r="B42" i="3"/>
  <c r="E38" i="3"/>
  <c r="E39" i="3" s="1"/>
  <c r="H33" i="3"/>
  <c r="F37" i="3"/>
  <c r="F38" i="3" s="1"/>
  <c r="H31" i="3"/>
  <c r="H30" i="3"/>
  <c r="H38" i="3" l="1"/>
  <c r="C5" i="4" l="1"/>
  <c r="B37" i="4" s="1"/>
  <c r="I38" i="4"/>
  <c r="H36" i="4"/>
  <c r="Q27" i="4"/>
  <c r="Q26" i="4"/>
  <c r="P26" i="4"/>
  <c r="P27" i="4" s="1"/>
  <c r="O26" i="4"/>
  <c r="O27" i="4" s="1"/>
  <c r="H4" i="4"/>
  <c r="H35" i="4" s="1"/>
  <c r="G4" i="4"/>
  <c r="G35" i="4" s="1"/>
  <c r="G42" i="2" l="1"/>
  <c r="F67" i="3" l="1"/>
  <c r="B23" i="3"/>
  <c r="J25" i="3" l="1"/>
  <c r="F25" i="3"/>
  <c r="I25" i="3" s="1"/>
  <c r="I12" i="3"/>
  <c r="E22" i="3"/>
  <c r="I22" i="3" s="1"/>
  <c r="E21" i="3"/>
  <c r="E20" i="3"/>
  <c r="E19" i="3"/>
  <c r="E18" i="3"/>
  <c r="F18" i="3" s="1"/>
  <c r="E16" i="3"/>
  <c r="F11" i="3"/>
  <c r="F10" i="3"/>
  <c r="F9" i="3"/>
  <c r="H12" i="3"/>
  <c r="I21" i="3" l="1"/>
  <c r="I20" i="3"/>
  <c r="I16" i="3"/>
  <c r="B43" i="3"/>
  <c r="B44" i="3" s="1"/>
  <c r="K25" i="3"/>
  <c r="F16" i="3"/>
  <c r="C42" i="3" s="1"/>
  <c r="I18" i="3"/>
  <c r="I19" i="3"/>
  <c r="P26" i="2"/>
  <c r="P27" i="2" s="1"/>
  <c r="O26" i="2"/>
  <c r="O27" i="2" s="1"/>
  <c r="N26" i="2"/>
  <c r="N27" i="2" s="1"/>
  <c r="B60" i="3" l="1"/>
  <c r="B63" i="3" s="1"/>
  <c r="B48" i="3"/>
  <c r="B56" i="3"/>
  <c r="I23" i="3"/>
  <c r="H38" i="2"/>
  <c r="B53" i="3" l="1"/>
  <c r="B49" i="3"/>
  <c r="B52" i="3" s="1"/>
  <c r="A24" i="2"/>
  <c r="B24" i="2"/>
  <c r="F26" i="3" l="1"/>
  <c r="I26" i="3" s="1"/>
  <c r="K26" i="3" s="1"/>
  <c r="B25" i="2" l="1"/>
  <c r="B26" i="2" s="1"/>
  <c r="B27" i="2" s="1"/>
  <c r="E17" i="3" l="1"/>
  <c r="F17" i="3" l="1"/>
  <c r="I17" i="3"/>
  <c r="D5" i="2"/>
  <c r="H5" i="2" s="1"/>
  <c r="H35" i="2" s="1"/>
  <c r="G36" i="2"/>
  <c r="G4" i="2"/>
  <c r="G35" i="2" s="1"/>
  <c r="F4" i="2"/>
  <c r="F35" i="2" s="1"/>
  <c r="E38" i="1"/>
  <c r="G37" i="2" l="1"/>
  <c r="C5" i="1"/>
  <c r="E5" i="1" s="1"/>
  <c r="G39" i="2" l="1"/>
  <c r="G40" i="2" s="1"/>
  <c r="I35" i="1"/>
  <c r="H35" i="1"/>
  <c r="D36" i="1" l="1"/>
  <c r="E4" i="1"/>
  <c r="E35" i="1" s="1"/>
  <c r="D4" i="1"/>
  <c r="D35" i="1" s="1"/>
  <c r="D37" i="1" l="1"/>
  <c r="I35" i="4"/>
  <c r="H37" i="4" s="1"/>
  <c r="D39" i="1" l="1"/>
  <c r="D40" i="1" s="1"/>
  <c r="H39" i="4"/>
  <c r="H40" i="4" s="1"/>
  <c r="K30" i="14"/>
  <c r="M29" i="14" s="1"/>
</calcChain>
</file>

<file path=xl/sharedStrings.xml><?xml version="1.0" encoding="utf-8"?>
<sst xmlns="http://schemas.openxmlformats.org/spreadsheetml/2006/main" count="1670" uniqueCount="170">
  <si>
    <t>150 หน่วย (กิโลวัตต์ชั่วโมง) แรก (หน่วยที่ 1 – 150)</t>
  </si>
  <si>
    <t>หน่วยละ</t>
  </si>
  <si>
    <t>250 หน่วยต่อไป ( หน่วยที่ 151 – 400 )</t>
  </si>
  <si>
    <t>เกินกว่า 400 หน่วย (หน่วยที่ 401 เป็นต้นไป)</t>
  </si>
  <si>
    <t>บาท</t>
  </si>
  <si>
    <t>ค่าบริการ (บาท/เดือน) :</t>
  </si>
  <si>
    <t>เดิม</t>
  </si>
  <si>
    <t>ใช้ไป</t>
  </si>
  <si>
    <t>หน่วย</t>
  </si>
  <si>
    <t>ค่าบริการ</t>
  </si>
  <si>
    <t xml:space="preserve">ภาษี </t>
  </si>
  <si>
    <t>ค่าไฟ+บริการ</t>
  </si>
  <si>
    <t>ค่าผันแปร/ภาษี</t>
  </si>
  <si>
    <t>รวม</t>
  </si>
  <si>
    <t>ฟรี</t>
  </si>
  <si>
    <t>1660s</t>
  </si>
  <si>
    <t>หน่วยที่อ่าน</t>
  </si>
  <si>
    <t>ราคาจาก Watt meter</t>
  </si>
  <si>
    <t>PSU</t>
  </si>
  <si>
    <t>CPU</t>
  </si>
  <si>
    <t>1050ti</t>
  </si>
  <si>
    <t>Fan</t>
  </si>
  <si>
    <t>Over Current Protection (OCP) : ป้องกันกระแสไฟเกิน</t>
  </si>
  <si>
    <t>Over Voltage Protection (OVP) : ป้องกันแรงดันไฟเกิน</t>
  </si>
  <si>
    <t>Under Voltage Protection (UVP) : ป้องกันแรงดันไฟตก</t>
  </si>
  <si>
    <t>Short Circuit Protection (SCP) : ป้องกันไฟฟ้าลัดวงจร</t>
  </si>
  <si>
    <t>Over Power Protection (OPP) : ป้องกันกำลังไฟเกิน</t>
  </si>
  <si>
    <t>Over Temperature Protection (OTP) : ป้องกันอุณหภูมิสูงเกิน</t>
  </si>
  <si>
    <t>Surge &amp; Inrush Protection (SIP) : ป้องกันไฟกระชาก</t>
  </si>
  <si>
    <t>เซลล์แสงอาทิตย์ (Solar cell)</t>
  </si>
  <si>
    <t>ขนาดของแผง = ค่าการใช้พลังงานรวมทั้งหมด / 5 ชั่วโมง (ปริมาณแสงอาทิตย์ที่น่าจะได้ใน 1 วัน)</t>
  </si>
  <si>
    <t>แบตเตอรี่ (Battery)</t>
  </si>
  <si>
    <t>= {( 18W X 2 ดวง) X 6 ชั่วโมง} + {(120 W) X 3 ชั่วโมง} / [12 โวลต์ X 0.6 X 0.85]</t>
  </si>
  <si>
    <t>= 94.117 Ah</t>
  </si>
  <si>
    <t>พัดลม</t>
  </si>
  <si>
    <t>ชม</t>
  </si>
  <si>
    <t>จำนวน</t>
  </si>
  <si>
    <t>รวม W</t>
  </si>
  <si>
    <t>ดังนั้น ขนาดของแบตเตอรี่ที่ใช้จะเป็นขนาด 12 โวลต์ 94.117 Ah หรือมากกว่า ฉะนั้นควรใช้ขนาดรุ่น 12 โวลต์ 100Ah หรือ 125Ah</t>
  </si>
  <si>
    <t>Ah = ค่าพลังงานรวม / [แรงดันไฟฟ้าแบตเตอรี่ X 0.6 (% การใช้งานกระแสไฟฟ้าที่อยู่ในแบตเตอรี่) X 0.85(ประสิทธิภาพของ Inverter)]</t>
  </si>
  <si>
    <t>เครื่องแปลงไฟฟ้า (Inverter)</t>
  </si>
  <si>
    <t>ไฟฟลูออเรสเซนต์ชนิดมีบัลลาสน์อิเล็กทรอนิกส์ในตัว จำนวน 2 ดวง (18W x 2) เป็นเวลา 6 ชั่วโมงต่อวัน และโทรทัศน์สี 21 นิ้ว (120 W) ประมาณ 3 ชั่วโมงต่อวัน</t>
  </si>
  <si>
    <t>= (18 W X 2 ดวง) + (120 W)</t>
  </si>
  <si>
    <t>= 156 W</t>
  </si>
  <si>
    <t>ดั้งนั้น ขนาดของเครื่องแปลงกระแสไฟฟ้าควรมีขนาด 156 W แต่ควรมีขนาดสูงกว่าสำหรับขนาดที่เหมาะควรใช้ ขนาด 200 W ซึ่ง ใช้กับแบตเตอรี่ขนาด 12 โวลต์</t>
  </si>
  <si>
    <t>โดยสรุปก็คือ บ้านหลังนี้จะใช้อุปกรณ์ระบบโซล่าเซลล์ ดังต่อไปนี้</t>
  </si>
  <si>
    <t>3. เครื่องควบคุม ( Solar Charge Controller ) ขนาด 10A</t>
  </si>
  <si>
    <t>4. เครื่องแปลงไฟ ( Power Inverter ) ขนาด 200W</t>
  </si>
  <si>
    <t>1. แผงโซลาร์เซลล์ ( Solar Cell Panel ) ขนาด 12V 500W</t>
  </si>
  <si>
    <t>2. แบตเตอรี่ ( Battery ) ขนาด 12 V 500Ah หรือมากกว่า</t>
  </si>
  <si>
    <t>เครื่องควบคุมการประจุกระแสไฟฟ้า (Charge Controller)</t>
  </si>
  <si>
    <t>ซึ่งต้องมีขนาดเท่ากับหรือมากกว่า กระแสไฟฟ้า (Amp) ที่ไหลผ่านจากแผงโซลาร์เซลล์สู่แบตเตอรี่ดังนั้น ขนาดของเครื่องควบคุมการประจุกระแสไฟฟ้า ควรมีขนาดเกินกระแสไฟฟ้าของแผงโซลาร์เซลล์ เช่น แผงโซล่าเซลล์ ขนาด 120W 8A ควรใช้ เครื่องควบคุมการประจุกระแสไฟฟ้า ขนาด 10 A</t>
  </si>
  <si>
    <t>แผงต่ำกว่า 90 W x 0.5</t>
  </si>
  <si>
    <t>มากกว่า x 0.7</t>
  </si>
  <si>
    <t>p (w) = v (V) x I (Ah)</t>
  </si>
  <si>
    <t>สูตร</t>
  </si>
  <si>
    <t>v</t>
  </si>
  <si>
    <t>%</t>
  </si>
  <si>
    <t>w</t>
  </si>
  <si>
    <t>Ah</t>
  </si>
  <si>
    <t>12v</t>
  </si>
  <si>
    <t>24v</t>
  </si>
  <si>
    <t>Bat</t>
  </si>
  <si>
    <t>H การใช้งาน</t>
  </si>
  <si>
    <t>Ah/h</t>
  </si>
  <si>
    <t>IVT</t>
  </si>
  <si>
    <t>V</t>
  </si>
  <si>
    <t>1-150</t>
  </si>
  <si>
    <t>151-400</t>
  </si>
  <si>
    <t>401++</t>
  </si>
  <si>
    <t>1660ti</t>
  </si>
  <si>
    <t>หลอดไฟ</t>
  </si>
  <si>
    <t>inno3D</t>
  </si>
  <si>
    <t>MSI</t>
  </si>
  <si>
    <t>GALAX</t>
  </si>
  <si>
    <t>Gigabyte</t>
  </si>
  <si>
    <t>ASUS</t>
  </si>
  <si>
    <t>Colorful</t>
  </si>
  <si>
    <t>ใช้</t>
  </si>
  <si>
    <t>เหลือ</t>
  </si>
  <si>
    <t>DC</t>
  </si>
  <si>
    <t>AC</t>
  </si>
  <si>
    <t>24V</t>
  </si>
  <si>
    <t>แปลงหาค่าแบต</t>
  </si>
  <si>
    <t>Solar</t>
  </si>
  <si>
    <t>AC90%</t>
  </si>
  <si>
    <t>AC+DC</t>
  </si>
  <si>
    <t>Wh/D</t>
  </si>
  <si>
    <t>x2Day</t>
  </si>
  <si>
    <t>DOD 70-90%</t>
  </si>
  <si>
    <t>แบต</t>
  </si>
  <si>
    <t>W</t>
  </si>
  <si>
    <t>1300W</t>
  </si>
  <si>
    <t>Charger</t>
  </si>
  <si>
    <t>600W</t>
  </si>
  <si>
    <t>1600 w</t>
  </si>
  <si>
    <t>170W</t>
  </si>
  <si>
    <t>Bath</t>
  </si>
  <si>
    <t>แผง</t>
  </si>
  <si>
    <t>แบตx2</t>
  </si>
  <si>
    <t>x1</t>
  </si>
  <si>
    <t>12V</t>
  </si>
  <si>
    <t>Hr</t>
  </si>
  <si>
    <t>Total</t>
  </si>
  <si>
    <t>Amt</t>
  </si>
  <si>
    <t>Ah/D</t>
  </si>
  <si>
    <t>รวม Watt</t>
  </si>
  <si>
    <t>ห้ามเกิน</t>
  </si>
  <si>
    <t>Solar cell</t>
  </si>
  <si>
    <t>w/D</t>
  </si>
  <si>
    <t>หาแผง/วัน</t>
  </si>
  <si>
    <t>แบตเตอรี่</t>
  </si>
  <si>
    <t>เครื่องใช้ไฟฟ้า</t>
  </si>
  <si>
    <t>พัดลมไอเย็น</t>
  </si>
  <si>
    <t>พัดลมพี่รบ</t>
  </si>
  <si>
    <t>พัดลม imaflex</t>
  </si>
  <si>
    <t>พัดลม คอม</t>
  </si>
  <si>
    <t>พัดลม เก่า</t>
  </si>
  <si>
    <t>หลอดไฟ ห้อง</t>
  </si>
  <si>
    <t>หลอดไฟ ห้องน้ำ</t>
  </si>
  <si>
    <t>จ่ายจริง</t>
  </si>
  <si>
    <t>A</t>
  </si>
  <si>
    <t>มีอยู่</t>
  </si>
  <si>
    <t>พัดลม DC 3 ตัว</t>
  </si>
  <si>
    <t>ชาร์จ</t>
  </si>
  <si>
    <t>0-03</t>
  </si>
  <si>
    <t>23.52</t>
  </si>
  <si>
    <t>23.27</t>
  </si>
  <si>
    <t>00.14</t>
  </si>
  <si>
    <t>15.38</t>
  </si>
  <si>
    <t>22.37</t>
  </si>
  <si>
    <t>2.35</t>
  </si>
  <si>
    <t>11.38</t>
  </si>
  <si>
    <t>10.32</t>
  </si>
  <si>
    <t>12.57</t>
  </si>
  <si>
    <t>16.27</t>
  </si>
  <si>
    <t>18.26</t>
  </si>
  <si>
    <t>11.11</t>
  </si>
  <si>
    <t>16.05</t>
  </si>
  <si>
    <t>16.29</t>
  </si>
  <si>
    <t>1950</t>
  </si>
  <si>
    <t>17.26</t>
  </si>
  <si>
    <t>17.41</t>
  </si>
  <si>
    <t>lux rgb 750</t>
  </si>
  <si>
    <t>CV750 - 750W 80 PLUS BRONZE</t>
  </si>
  <si>
    <t>750W VIVA</t>
  </si>
  <si>
    <t>ห้องน้ำ</t>
  </si>
  <si>
    <t>ตู้เย็น</t>
  </si>
  <si>
    <t>ไมโครเวฟ</t>
  </si>
  <si>
    <t>ทีวี</t>
  </si>
  <si>
    <t>คอม2</t>
  </si>
  <si>
    <t>คอม1</t>
  </si>
  <si>
    <t>ค่าไฟจริง</t>
  </si>
  <si>
    <t>ห้อนอน</t>
  </si>
  <si>
    <t>ค่าไฟคร่าว</t>
  </si>
  <si>
    <t>1146</t>
  </si>
  <si>
    <t>ส่วนรวมแบบไม่หาร</t>
  </si>
  <si>
    <t>ส่วนตัว+หารแล้ว</t>
  </si>
  <si>
    <t>ภาษี</t>
  </si>
  <si>
    <t>ห้องนอน</t>
  </si>
  <si>
    <t>rob</t>
  </si>
  <si>
    <t>ห้องนอนแบบวัดไฟ</t>
  </si>
  <si>
    <t>ตู้เย็นชั้นบน</t>
  </si>
  <si>
    <t>ส่วนลด</t>
  </si>
  <si>
    <t>ค่าพลังงานไฟฟ้า</t>
  </si>
  <si>
    <t>ค่าผันแปร FT</t>
  </si>
  <si>
    <t>รวมค่าไฟเดือนนี้</t>
  </si>
  <si>
    <t>ค่าไฟ + FT</t>
  </si>
  <si>
    <t>คืนเงินล่วงหน้า</t>
  </si>
  <si>
    <t>ส่วนลดจากรัฐ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</si>
</sst>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187" formatCode="&quot;฿&quot;#,##0.00"/>
    <numFmt numFmtId="188" formatCode="0.0"/>
  </numFmts>
  <fonts count="12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rgb="FF006100"/>
      <name val="Tahoma"/>
      <family val="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rgb="FF3F3F76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color rgb="FFC0000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7" fillId="7" borderId="1" applyNumberFormat="0" applyAlignment="0" applyProtection="0"/>
    <xf numFmtId="0" fontId="5" fillId="8" borderId="2" applyNumberFormat="0" applyFont="0" applyAlignment="0" applyProtection="0"/>
    <xf numFmtId="0" fontId="9" fillId="9" borderId="0" applyNumberFormat="0" applyBorder="0" applyAlignment="0" applyProtection="0"/>
    <xf numFmtId="44" fontId="5" fillId="0" borderId="0" applyFon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2" xfId="7" applyFont="1" applyAlignment="1">
      <alignment horizontal="left" vertical="center" wrapText="1"/>
    </xf>
    <xf numFmtId="0" fontId="8" fillId="5" borderId="1" xfId="4" applyFont="1" applyAlignment="1">
      <alignment horizontal="center" vertical="center"/>
    </xf>
    <xf numFmtId="0" fontId="8" fillId="5" borderId="1" xfId="4" applyFont="1" applyAlignment="1">
      <alignment horizontal="center" vertical="center" wrapText="1"/>
    </xf>
    <xf numFmtId="0" fontId="8" fillId="5" borderId="1" xfId="4" applyFont="1"/>
    <xf numFmtId="0" fontId="7" fillId="7" borderId="1" xfId="6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4" fillId="5" borderId="1" xfId="4"/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10" fillId="0" borderId="0" xfId="2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10" borderId="0" xfId="3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/>
    <xf numFmtId="0" fontId="1" fillId="2" borderId="3" xfId="1" applyBorder="1" applyAlignment="1">
      <alignment vertical="center"/>
    </xf>
    <xf numFmtId="9" fontId="0" fillId="0" borderId="0" xfId="0" applyNumberFormat="1"/>
    <xf numFmtId="9" fontId="2" fillId="3" borderId="0" xfId="2" applyNumberFormat="1" applyAlignment="1">
      <alignment horizontal="center" vertical="center"/>
    </xf>
    <xf numFmtId="44" fontId="0" fillId="0" borderId="0" xfId="0" applyNumberFormat="1"/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/>
    <xf numFmtId="0" fontId="3" fillId="8" borderId="2" xfId="7" applyFont="1" applyAlignment="1">
      <alignment horizontal="center" vertical="center"/>
    </xf>
    <xf numFmtId="0" fontId="0" fillId="8" borderId="2" xfId="7" applyFont="1"/>
    <xf numFmtId="0" fontId="0" fillId="8" borderId="2" xfId="7" applyFont="1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0" fontId="0" fillId="14" borderId="0" xfId="0" applyFill="1" applyAlignment="1">
      <alignment horizontal="center"/>
    </xf>
    <xf numFmtId="0" fontId="11" fillId="14" borderId="0" xfId="3" applyFont="1" applyFill="1" applyAlignment="1">
      <alignment horizontal="center" vertical="center"/>
    </xf>
    <xf numFmtId="2" fontId="11" fillId="14" borderId="0" xfId="3" applyNumberFormat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7" fillId="7" borderId="1" xfId="6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7" borderId="1" xfId="6" applyNumberFormat="1" applyAlignment="1">
      <alignment horizontal="center"/>
    </xf>
    <xf numFmtId="0" fontId="3" fillId="4" borderId="1" xfId="3" applyBorder="1" applyAlignment="1">
      <alignment horizontal="center"/>
    </xf>
    <xf numFmtId="1" fontId="3" fillId="4" borderId="1" xfId="3" applyNumberFormat="1" applyBorder="1" applyAlignment="1">
      <alignment horizontal="center"/>
    </xf>
    <xf numFmtId="0" fontId="1" fillId="2" borderId="1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188" fontId="7" fillId="7" borderId="1" xfId="6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4" fillId="5" borderId="1" xfId="4" applyAlignment="1">
      <alignment horizontal="right"/>
    </xf>
    <xf numFmtId="0" fontId="3" fillId="8" borderId="2" xfId="7" applyFont="1" applyAlignment="1">
      <alignment horizontal="right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7" applyFont="1"/>
    <xf numFmtId="0" fontId="4" fillId="8" borderId="2" xfId="7" applyFont="1" applyAlignment="1">
      <alignment horizontal="center" vertical="center"/>
    </xf>
    <xf numFmtId="0" fontId="1" fillId="2" borderId="0" xfId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4" borderId="0" xfId="3" applyNumberFormat="1" applyAlignment="1">
      <alignment horizontal="center"/>
    </xf>
    <xf numFmtId="0" fontId="3" fillId="4" borderId="0" xfId="3" applyAlignment="1">
      <alignment horizont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/>
    </xf>
    <xf numFmtId="44" fontId="4" fillId="5" borderId="1" xfId="4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1" fontId="2" fillId="3" borderId="1" xfId="2" applyNumberFormat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1" fontId="2" fillId="3" borderId="1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7" fillId="7" borderId="1" xfId="6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7" fillId="7" borderId="1" xfId="6" applyAlignment="1">
      <alignment horizontal="right"/>
    </xf>
    <xf numFmtId="0" fontId="3" fillId="8" borderId="2" xfId="7" applyFont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9" fontId="7" fillId="7" borderId="1" xfId="6" applyNumberFormat="1" applyAlignment="1">
      <alignment horizontal="center"/>
    </xf>
    <xf numFmtId="0" fontId="1" fillId="2" borderId="1" xfId="1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1" xfId="2" applyBorder="1"/>
    <xf numFmtId="0" fontId="4" fillId="5" borderId="1" xfId="4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right" vertical="center"/>
    </xf>
    <xf numFmtId="0" fontId="3" fillId="4" borderId="1" xfId="3" applyBorder="1" applyAlignment="1">
      <alignment horizontal="right" vertical="center"/>
    </xf>
    <xf numFmtId="0" fontId="2" fillId="3" borderId="1" xfId="2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1" fillId="2" borderId="1" xfId="1" applyNumberFormat="1" applyBorder="1"/>
    <xf numFmtId="44" fontId="2" fillId="3" borderId="1" xfId="2" applyNumberFormat="1" applyBorder="1" applyAlignment="1">
      <alignment horizontal="center" vertical="center"/>
    </xf>
    <xf numFmtId="44" fontId="0" fillId="0" borderId="0" xfId="0" applyNumberFormat="1" applyAlignment="1">
      <alignment horizontal="left" vertical="center"/>
    </xf>
    <xf numFmtId="44" fontId="4" fillId="5" borderId="1" xfId="4" applyNumberFormat="1"/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7" fillId="7" borderId="1" xfId="6" applyNumberFormat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0" fillId="0" borderId="0" xfId="9" applyFon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4" fillId="5" borderId="1" xfId="4" applyNumberFormat="1" applyAlignment="1">
      <alignment horizontal="center" vertical="center"/>
    </xf>
    <xf numFmtId="44" fontId="2" fillId="3" borderId="1" xfId="2" applyNumberFormat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4" fillId="5" borderId="1" xfId="4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4" fillId="5" borderId="1" xfId="4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1" fillId="2" borderId="1" xfId="1" applyNumberForma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5" xfId="4" applyBorder="1" applyAlignment="1">
      <alignment horizontal="center" vertical="center"/>
    </xf>
    <xf numFmtId="0" fontId="4" fillId="5" borderId="7" xfId="4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2" fontId="7" fillId="7" borderId="5" xfId="6" applyNumberFormat="1" applyBorder="1" applyAlignment="1">
      <alignment horizontal="center" vertical="center"/>
    </xf>
    <xf numFmtId="2" fontId="7" fillId="7" borderId="6" xfId="6" applyNumberFormat="1" applyBorder="1" applyAlignment="1">
      <alignment horizontal="center" vertical="center"/>
    </xf>
    <xf numFmtId="2" fontId="7" fillId="7" borderId="7" xfId="6" applyNumberFormat="1" applyBorder="1" applyAlignment="1">
      <alignment horizontal="center" vertical="center"/>
    </xf>
    <xf numFmtId="0" fontId="7" fillId="7" borderId="5" xfId="6" applyBorder="1" applyAlignment="1">
      <alignment horizontal="center" vertical="center"/>
    </xf>
    <xf numFmtId="0" fontId="7" fillId="7" borderId="6" xfId="6" applyBorder="1" applyAlignment="1">
      <alignment horizontal="center" vertical="center"/>
    </xf>
    <xf numFmtId="0" fontId="7" fillId="7" borderId="7" xfId="6" applyBorder="1" applyAlignment="1">
      <alignment horizontal="center" vertical="center"/>
    </xf>
    <xf numFmtId="0" fontId="7" fillId="7" borderId="1" xfId="6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8" borderId="2" xfId="7" applyFont="1" applyAlignment="1">
      <alignment horizontal="center" vertical="center"/>
    </xf>
    <xf numFmtId="0" fontId="4" fillId="8" borderId="2" xfId="7" applyFon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1" fillId="2" borderId="3" xfId="1" applyNumberFormat="1" applyBorder="1" applyAlignment="1">
      <alignment horizontal="center" vertical="center"/>
    </xf>
    <xf numFmtId="2" fontId="1" fillId="2" borderId="0" xfId="1" applyNumberFormat="1" applyBorder="1" applyAlignment="1">
      <alignment horizontal="center" vertical="center"/>
    </xf>
    <xf numFmtId="0" fontId="2" fillId="3" borderId="0" xfId="2" applyAlignment="1">
      <alignment horizontal="center" vertical="center"/>
    </xf>
    <xf numFmtId="187" fontId="6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9" fillId="9" borderId="4" xfId="8" applyBorder="1" applyAlignment="1">
      <alignment horizontal="center" vertical="center"/>
    </xf>
    <xf numFmtId="0" fontId="5" fillId="6" borderId="0" xfId="5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6" fillId="2" borderId="0" xfId="1" applyNumberFormat="1" applyFont="1" applyAlignment="1">
      <alignment horizontal="center" vertical="center"/>
    </xf>
    <xf numFmtId="1" fontId="3" fillId="4" borderId="0" xfId="3" applyNumberFormat="1" applyAlignment="1">
      <alignment horizontal="center" vertical="center"/>
    </xf>
    <xf numFmtId="1" fontId="2" fillId="3" borderId="5" xfId="2" applyNumberFormat="1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44" fontId="7" fillId="7" borderId="1" xfId="6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1" fontId="4" fillId="5" borderId="1" xfId="4" applyNumberFormat="1" applyAlignment="1">
      <alignment horizontal="center" vertical="center"/>
    </xf>
    <xf numFmtId="44" fontId="4" fillId="5" borderId="1" xfId="4" applyNumberFormat="1" applyAlignment="1">
      <alignment horizontal="center" vertical="center"/>
    </xf>
    <xf numFmtId="44" fontId="0" fillId="0" borderId="0" xfId="9" applyFont="1" applyAlignment="1">
      <alignment horizontal="center" vertical="center"/>
    </xf>
    <xf numFmtId="44" fontId="0" fillId="0" borderId="0" xfId="9" applyFont="1"/>
  </cellXfs>
  <cellStyles count="10">
    <cellStyle name="40% - Accent5" xfId="5" builtinId="47"/>
    <cellStyle name="Accent1" xfId="8" builtinId="29"/>
    <cellStyle name="Bad" xfId="2" builtinId="27"/>
    <cellStyle name="Calculation" xfId="6" builtinId="22"/>
    <cellStyle name="Currency" xfId="9" builtinId="4"/>
    <cellStyle name="Good" xfId="1" builtinId="26"/>
    <cellStyle name="Input" xfId="4" builtinId="20"/>
    <cellStyle name="Neutral" xfId="3" builtinId="28"/>
    <cellStyle name="Normal" xfId="0" builtinId="0"/>
    <cellStyle name="Note" xfId="7" builtinId="1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19CA-4E0D-4731-8188-41FD43154BB7}">
  <dimension ref="A1:N97"/>
  <sheetViews>
    <sheetView topLeftCell="A64" workbookViewId="0">
      <selection activeCell="F98" sqref="F98"/>
    </sheetView>
  </sheetViews>
  <sheetFormatPr defaultRowHeight="14.25" x14ac:dyDescent="0.2"/>
  <cols>
    <col min="2" max="2" width="6.375" style="16" bestFit="1" customWidth="1"/>
    <col min="3" max="3" width="4.75" style="16" bestFit="1" customWidth="1"/>
    <col min="4" max="5" width="6.75" style="16" bestFit="1" customWidth="1"/>
    <col min="6" max="6" width="29.75" style="16" customWidth="1"/>
    <col min="7" max="7" width="3.375" style="23" customWidth="1"/>
    <col min="8" max="8" width="20.375" style="16" customWidth="1"/>
    <col min="9" max="9" width="46.25" style="23" customWidth="1"/>
    <col min="10" max="10" width="3.875" style="23" bestFit="1" customWidth="1"/>
    <col min="11" max="11" width="48.375" style="16" customWidth="1"/>
    <col min="12" max="12" width="49.625" style="16" customWidth="1"/>
    <col min="13" max="14" width="9" style="16"/>
  </cols>
  <sheetData>
    <row r="1" spans="1:14" x14ac:dyDescent="0.2">
      <c r="B1" s="23"/>
      <c r="C1" s="23"/>
      <c r="D1" s="23"/>
      <c r="E1" s="23"/>
      <c r="F1" s="23"/>
      <c r="H1" s="23"/>
      <c r="K1" s="23"/>
      <c r="L1" s="23"/>
      <c r="M1" s="23"/>
      <c r="N1" s="23"/>
    </row>
    <row r="2" spans="1:14" s="21" customFormat="1" ht="42.75" x14ac:dyDescent="0.2">
      <c r="B2" s="19" t="s">
        <v>34</v>
      </c>
      <c r="C2" s="19" t="s">
        <v>35</v>
      </c>
      <c r="D2" s="19" t="s">
        <v>36</v>
      </c>
      <c r="E2" s="19" t="s">
        <v>37</v>
      </c>
      <c r="F2" s="19" t="s">
        <v>29</v>
      </c>
      <c r="G2" s="19"/>
      <c r="H2" s="20" t="s">
        <v>50</v>
      </c>
      <c r="I2" s="19" t="s">
        <v>31</v>
      </c>
      <c r="J2" s="19"/>
      <c r="K2" s="19" t="s">
        <v>40</v>
      </c>
      <c r="L2" s="20" t="s">
        <v>45</v>
      </c>
      <c r="M2" s="19"/>
      <c r="N2" s="19"/>
    </row>
    <row r="3" spans="1:14" ht="46.5" customHeight="1" x14ac:dyDescent="0.2">
      <c r="B3" s="23"/>
      <c r="C3" s="23"/>
      <c r="D3" s="23"/>
      <c r="E3" s="23"/>
      <c r="F3" s="24" t="s">
        <v>30</v>
      </c>
      <c r="G3" s="24"/>
      <c r="H3" s="326" t="s">
        <v>51</v>
      </c>
      <c r="I3" s="24" t="s">
        <v>39</v>
      </c>
      <c r="J3" s="24"/>
      <c r="K3" s="17" t="s">
        <v>41</v>
      </c>
      <c r="L3" s="18" t="s">
        <v>48</v>
      </c>
    </row>
    <row r="4" spans="1:14" ht="28.5" x14ac:dyDescent="0.2">
      <c r="B4" s="23"/>
      <c r="C4" s="23"/>
      <c r="D4" s="23"/>
      <c r="E4" s="23"/>
      <c r="F4" s="16" t="s">
        <v>52</v>
      </c>
      <c r="H4" s="327"/>
      <c r="I4" s="24" t="s">
        <v>32</v>
      </c>
      <c r="J4" s="24"/>
      <c r="K4" s="17" t="s">
        <v>42</v>
      </c>
      <c r="L4" s="18" t="s">
        <v>49</v>
      </c>
    </row>
    <row r="5" spans="1:14" x14ac:dyDescent="0.2">
      <c r="F5" s="16" t="s">
        <v>53</v>
      </c>
      <c r="H5" s="327"/>
      <c r="I5" s="23" t="s">
        <v>33</v>
      </c>
      <c r="K5" s="17" t="s">
        <v>43</v>
      </c>
      <c r="L5" s="18" t="s">
        <v>46</v>
      </c>
    </row>
    <row r="6" spans="1:14" ht="60.75" customHeight="1" x14ac:dyDescent="0.2">
      <c r="F6" s="16" t="s">
        <v>55</v>
      </c>
      <c r="H6" s="327"/>
      <c r="I6" s="24" t="s">
        <v>38</v>
      </c>
      <c r="J6" s="24"/>
      <c r="K6" s="17" t="s">
        <v>44</v>
      </c>
      <c r="L6" s="18" t="s">
        <v>47</v>
      </c>
    </row>
    <row r="7" spans="1:14" x14ac:dyDescent="0.2">
      <c r="F7" s="16" t="s">
        <v>54</v>
      </c>
      <c r="H7" s="327"/>
      <c r="I7" s="14">
        <v>12</v>
      </c>
      <c r="J7" s="14" t="s">
        <v>56</v>
      </c>
      <c r="N7"/>
    </row>
    <row r="8" spans="1:14" x14ac:dyDescent="0.2">
      <c r="H8" s="327"/>
      <c r="I8" s="14">
        <v>0.6</v>
      </c>
      <c r="J8" s="14" t="s">
        <v>57</v>
      </c>
    </row>
    <row r="9" spans="1:14" x14ac:dyDescent="0.2">
      <c r="E9" s="16">
        <v>20</v>
      </c>
      <c r="F9" s="16">
        <f>E9*0.5</f>
        <v>10</v>
      </c>
      <c r="H9" s="327"/>
      <c r="I9" s="14">
        <v>0.85</v>
      </c>
      <c r="J9" s="14" t="s">
        <v>57</v>
      </c>
    </row>
    <row r="10" spans="1:14" x14ac:dyDescent="0.2">
      <c r="E10" s="16">
        <v>100</v>
      </c>
      <c r="F10" s="16">
        <f>E10*0.7</f>
        <v>70</v>
      </c>
      <c r="H10" s="327"/>
      <c r="I10" s="14">
        <v>0.7</v>
      </c>
      <c r="J10" s="14"/>
    </row>
    <row r="11" spans="1:14" x14ac:dyDescent="0.2">
      <c r="E11" s="16">
        <v>170</v>
      </c>
      <c r="F11" s="16">
        <f>E11*0.7</f>
        <v>118.99999999999999</v>
      </c>
      <c r="H11" s="327"/>
      <c r="I11" s="16"/>
      <c r="J11" s="16"/>
      <c r="M11"/>
      <c r="N11"/>
    </row>
    <row r="12" spans="1:14" x14ac:dyDescent="0.2">
      <c r="H12" s="16">
        <f>290/12</f>
        <v>24.166666666666668</v>
      </c>
      <c r="I12" s="14">
        <f>I7*I8*I9</f>
        <v>6.1199999999999992</v>
      </c>
      <c r="J12" s="14"/>
    </row>
    <row r="13" spans="1:14" x14ac:dyDescent="0.2">
      <c r="I13" s="14"/>
      <c r="J13" s="14"/>
    </row>
    <row r="14" spans="1:14" x14ac:dyDescent="0.2">
      <c r="I14" s="14"/>
      <c r="J14" s="14"/>
    </row>
    <row r="16" spans="1:14" x14ac:dyDescent="0.2">
      <c r="A16" s="45" t="s">
        <v>34</v>
      </c>
      <c r="B16" s="51">
        <v>50</v>
      </c>
      <c r="C16" s="51">
        <v>7</v>
      </c>
      <c r="D16" s="51">
        <v>1</v>
      </c>
      <c r="E16" s="51">
        <f>D16*C16*B16</f>
        <v>350</v>
      </c>
      <c r="F16" s="51">
        <f>E16/5</f>
        <v>70</v>
      </c>
      <c r="G16" s="51" t="s">
        <v>58</v>
      </c>
      <c r="H16" s="51"/>
      <c r="I16" s="51">
        <f>E16/I12</f>
        <v>57.189542483660141</v>
      </c>
      <c r="J16" s="51" t="s">
        <v>59</v>
      </c>
    </row>
    <row r="17" spans="1:14" x14ac:dyDescent="0.2">
      <c r="A17" s="14" t="s">
        <v>34</v>
      </c>
      <c r="B17" s="44">
        <v>115</v>
      </c>
      <c r="C17" s="44">
        <v>7</v>
      </c>
      <c r="D17" s="44">
        <v>1</v>
      </c>
      <c r="E17" s="44">
        <f>D17*C17*B17</f>
        <v>805</v>
      </c>
      <c r="F17" s="44">
        <f>E17/5</f>
        <v>161</v>
      </c>
      <c r="G17" s="51" t="s">
        <v>58</v>
      </c>
      <c r="H17" s="44"/>
      <c r="I17" s="44">
        <f>E17/I7*I10*I9</f>
        <v>39.914583333333326</v>
      </c>
      <c r="J17" s="51" t="s">
        <v>59</v>
      </c>
    </row>
    <row r="18" spans="1:14" x14ac:dyDescent="0.2">
      <c r="A18" s="46" t="s">
        <v>34</v>
      </c>
      <c r="B18" s="47">
        <v>45</v>
      </c>
      <c r="C18" s="47">
        <v>7</v>
      </c>
      <c r="D18" s="47">
        <v>1</v>
      </c>
      <c r="E18" s="47">
        <f>D18*C18*B18</f>
        <v>315</v>
      </c>
      <c r="F18" s="47">
        <f>E18/5</f>
        <v>63</v>
      </c>
      <c r="G18" s="51" t="s">
        <v>58</v>
      </c>
      <c r="H18" s="47"/>
      <c r="I18" s="47">
        <f>E18/I12</f>
        <v>51.470588235294123</v>
      </c>
      <c r="J18" s="51" t="s">
        <v>59</v>
      </c>
    </row>
    <row r="19" spans="1:14" x14ac:dyDescent="0.2">
      <c r="A19" s="48" t="s">
        <v>71</v>
      </c>
      <c r="B19" s="49">
        <v>8</v>
      </c>
      <c r="C19" s="50">
        <v>7</v>
      </c>
      <c r="D19" s="50">
        <v>1</v>
      </c>
      <c r="E19" s="50">
        <f>B19*C19*D19</f>
        <v>56</v>
      </c>
      <c r="F19" s="50"/>
      <c r="G19" s="51" t="s">
        <v>58</v>
      </c>
      <c r="H19" s="50"/>
      <c r="I19" s="50">
        <f>E19/I12</f>
        <v>9.1503267973856222</v>
      </c>
      <c r="J19" s="51" t="s">
        <v>59</v>
      </c>
    </row>
    <row r="20" spans="1:14" x14ac:dyDescent="0.2">
      <c r="A20" s="48" t="s">
        <v>71</v>
      </c>
      <c r="B20" s="49">
        <v>12</v>
      </c>
      <c r="C20" s="50">
        <v>7</v>
      </c>
      <c r="D20" s="50">
        <v>1</v>
      </c>
      <c r="E20" s="50">
        <f>D20*C20*B20</f>
        <v>84</v>
      </c>
      <c r="F20" s="49"/>
      <c r="G20" s="51" t="s">
        <v>58</v>
      </c>
      <c r="H20" s="49"/>
      <c r="I20" s="49">
        <f>E20/I12</f>
        <v>13.725490196078432</v>
      </c>
      <c r="J20" s="51" t="s">
        <v>59</v>
      </c>
    </row>
    <row r="21" spans="1:14" x14ac:dyDescent="0.2">
      <c r="A21" s="52" t="s">
        <v>34</v>
      </c>
      <c r="B21" s="53">
        <v>50</v>
      </c>
      <c r="C21" s="53">
        <v>7</v>
      </c>
      <c r="D21" s="53">
        <v>1</v>
      </c>
      <c r="E21" s="53">
        <f>D21*C21*B21</f>
        <v>350</v>
      </c>
      <c r="F21" s="53"/>
      <c r="G21" s="51" t="s">
        <v>58</v>
      </c>
      <c r="H21" s="53"/>
      <c r="I21" s="53">
        <f>E21/I12</f>
        <v>57.189542483660141</v>
      </c>
      <c r="J21" s="51" t="s">
        <v>59</v>
      </c>
    </row>
    <row r="22" spans="1:14" x14ac:dyDescent="0.2">
      <c r="A22" s="54" t="s">
        <v>34</v>
      </c>
      <c r="B22" s="55">
        <v>19</v>
      </c>
      <c r="C22" s="55">
        <v>7</v>
      </c>
      <c r="D22" s="55">
        <v>1</v>
      </c>
      <c r="E22" s="55">
        <f>D22*C22*B22</f>
        <v>133</v>
      </c>
      <c r="F22" s="55"/>
      <c r="G22" s="51" t="s">
        <v>58</v>
      </c>
      <c r="H22" s="55"/>
      <c r="I22" s="55">
        <f>E22/I12</f>
        <v>21.732026143790854</v>
      </c>
      <c r="J22" s="51" t="s">
        <v>59</v>
      </c>
      <c r="K22" s="25"/>
      <c r="L22" s="25"/>
      <c r="M22" s="25"/>
      <c r="N22" s="25"/>
    </row>
    <row r="23" spans="1:14" x14ac:dyDescent="0.2">
      <c r="A23" s="41" t="s">
        <v>13</v>
      </c>
      <c r="B23" s="40">
        <f>B16+B18+B19+B20+B21+B22</f>
        <v>184</v>
      </c>
      <c r="C23" s="43"/>
      <c r="D23" s="43"/>
      <c r="E23" s="43"/>
      <c r="F23" s="43"/>
      <c r="G23" s="43"/>
      <c r="H23" s="43"/>
      <c r="I23" s="43">
        <f>I16+I21+I20+I19+I18</f>
        <v>188.72549019607845</v>
      </c>
      <c r="J23" s="43" t="s">
        <v>59</v>
      </c>
      <c r="K23" s="25"/>
      <c r="L23" s="25"/>
      <c r="M23" s="25"/>
      <c r="N23" s="25"/>
    </row>
    <row r="24" spans="1:14" s="27" customFormat="1" x14ac:dyDescent="0.2">
      <c r="B24" s="26"/>
      <c r="C24" s="26"/>
      <c r="D24" s="26"/>
      <c r="E24" s="26"/>
      <c r="F24" s="26"/>
      <c r="G24" s="26" t="s">
        <v>66</v>
      </c>
      <c r="H24" s="26" t="s">
        <v>65</v>
      </c>
      <c r="I24" s="26" t="s">
        <v>64</v>
      </c>
      <c r="J24" s="26" t="s">
        <v>62</v>
      </c>
      <c r="K24" s="26" t="s">
        <v>63</v>
      </c>
      <c r="L24" s="26"/>
      <c r="M24" s="26"/>
      <c r="N24" s="26"/>
    </row>
    <row r="25" spans="1:14" x14ac:dyDescent="0.2">
      <c r="E25" s="16" t="s">
        <v>60</v>
      </c>
      <c r="F25" s="16">
        <f>B23/G25</f>
        <v>15.333333333333334</v>
      </c>
      <c r="G25" s="23">
        <v>12</v>
      </c>
      <c r="H25" s="16">
        <v>0.15</v>
      </c>
      <c r="I25" s="23">
        <f>F25+H25</f>
        <v>15.483333333333334</v>
      </c>
      <c r="J25" s="23">
        <f>50+50+12</f>
        <v>112</v>
      </c>
      <c r="K25" s="16">
        <f>J25/I25</f>
        <v>7.2335844994617862</v>
      </c>
    </row>
    <row r="26" spans="1:14" x14ac:dyDescent="0.2">
      <c r="E26" s="16" t="s">
        <v>61</v>
      </c>
      <c r="F26" s="16">
        <f>B23/G26</f>
        <v>7.666666666666667</v>
      </c>
      <c r="G26" s="23">
        <v>24</v>
      </c>
      <c r="H26" s="25">
        <v>0.15</v>
      </c>
      <c r="I26" s="23">
        <f>F26+H26</f>
        <v>7.8166666666666673</v>
      </c>
      <c r="J26" s="23">
        <v>62</v>
      </c>
      <c r="K26" s="16">
        <f>J26/I26</f>
        <v>7.9317697228144981</v>
      </c>
    </row>
    <row r="27" spans="1:14" x14ac:dyDescent="0.2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</row>
    <row r="28" spans="1:14" x14ac:dyDescent="0.2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14" customFormat="1" x14ac:dyDescent="0.2">
      <c r="A29" s="22"/>
      <c r="B29" s="22" t="s">
        <v>91</v>
      </c>
      <c r="C29" s="22" t="s">
        <v>102</v>
      </c>
      <c r="D29" s="22" t="s">
        <v>104</v>
      </c>
      <c r="E29" s="22" t="s">
        <v>103</v>
      </c>
      <c r="F29" s="22" t="s">
        <v>82</v>
      </c>
      <c r="G29" s="22"/>
      <c r="H29" s="22" t="s">
        <v>101</v>
      </c>
      <c r="I29" s="22"/>
      <c r="K29" s="71"/>
      <c r="L29" s="71"/>
      <c r="M29" s="71"/>
      <c r="N29" s="71"/>
    </row>
    <row r="30" spans="1:14" x14ac:dyDescent="0.2">
      <c r="A30" s="79" t="s">
        <v>34</v>
      </c>
      <c r="B30" s="80">
        <v>55</v>
      </c>
      <c r="C30" s="80">
        <v>12</v>
      </c>
      <c r="D30" s="80">
        <v>1</v>
      </c>
      <c r="E30" s="80">
        <f>D30*C30*B30</f>
        <v>660</v>
      </c>
      <c r="F30" s="81">
        <f t="shared" ref="F30:F37" si="0">E30/24</f>
        <v>27.5</v>
      </c>
      <c r="G30" s="78" t="s">
        <v>59</v>
      </c>
      <c r="H30" s="81">
        <f t="shared" ref="H30:H37" si="1">E30/12</f>
        <v>55</v>
      </c>
      <c r="I30" s="80"/>
      <c r="J30" s="78" t="s">
        <v>59</v>
      </c>
      <c r="K30" s="71"/>
      <c r="L30" s="71"/>
      <c r="M30" s="71"/>
      <c r="N30" s="71"/>
    </row>
    <row r="31" spans="1:14" x14ac:dyDescent="0.2">
      <c r="A31" s="46" t="s">
        <v>34</v>
      </c>
      <c r="B31" s="47">
        <v>50</v>
      </c>
      <c r="C31" s="47">
        <v>12</v>
      </c>
      <c r="D31" s="47">
        <v>1</v>
      </c>
      <c r="E31" s="47">
        <f>D31*C31*B31</f>
        <v>600</v>
      </c>
      <c r="F31" s="82">
        <f t="shared" si="0"/>
        <v>25</v>
      </c>
      <c r="G31" s="78" t="s">
        <v>59</v>
      </c>
      <c r="H31" s="82">
        <f t="shared" si="1"/>
        <v>50</v>
      </c>
      <c r="I31" s="47"/>
      <c r="J31" s="78" t="s">
        <v>59</v>
      </c>
      <c r="K31" s="71"/>
      <c r="L31" s="71"/>
      <c r="M31" s="71"/>
      <c r="N31" s="71"/>
    </row>
    <row r="32" spans="1:14" x14ac:dyDescent="0.2">
      <c r="A32" s="79" t="s">
        <v>34</v>
      </c>
      <c r="B32" s="80">
        <v>90</v>
      </c>
      <c r="C32" s="80">
        <v>12</v>
      </c>
      <c r="D32" s="80">
        <v>1</v>
      </c>
      <c r="E32" s="80">
        <f>D32*C32*B32</f>
        <v>1080</v>
      </c>
      <c r="F32" s="81">
        <f>E32/24</f>
        <v>45</v>
      </c>
      <c r="G32" s="78" t="s">
        <v>59</v>
      </c>
      <c r="H32"/>
      <c r="I32"/>
      <c r="J32" s="78"/>
      <c r="K32" s="102"/>
      <c r="L32" s="102"/>
      <c r="M32" s="102"/>
      <c r="N32" s="102"/>
    </row>
    <row r="33" spans="1:14" x14ac:dyDescent="0.2">
      <c r="A33" s="83" t="s">
        <v>34</v>
      </c>
      <c r="B33" s="84">
        <v>55</v>
      </c>
      <c r="C33" s="84">
        <v>12</v>
      </c>
      <c r="D33" s="84">
        <v>1</v>
      </c>
      <c r="E33" s="84">
        <f>D33*C33*B33</f>
        <v>660</v>
      </c>
      <c r="F33" s="85">
        <f t="shared" si="0"/>
        <v>27.5</v>
      </c>
      <c r="G33" s="78" t="s">
        <v>59</v>
      </c>
      <c r="H33" s="85">
        <f t="shared" si="1"/>
        <v>55</v>
      </c>
      <c r="I33" s="84"/>
      <c r="J33" s="78" t="s">
        <v>59</v>
      </c>
      <c r="K33" s="71"/>
      <c r="L33" s="71"/>
      <c r="M33" s="71"/>
      <c r="N33" s="71"/>
    </row>
    <row r="34" spans="1:14" x14ac:dyDescent="0.2">
      <c r="A34" s="14" t="s">
        <v>71</v>
      </c>
      <c r="B34" s="14">
        <v>15</v>
      </c>
      <c r="C34" s="14">
        <v>8</v>
      </c>
      <c r="D34" s="14">
        <v>1</v>
      </c>
      <c r="E34" s="14">
        <f>D34*B34*C34</f>
        <v>120</v>
      </c>
      <c r="F34" s="14">
        <f t="shared" si="0"/>
        <v>5</v>
      </c>
      <c r="G34" s="78" t="s">
        <v>59</v>
      </c>
      <c r="H34" s="14">
        <f>E34/12</f>
        <v>10</v>
      </c>
      <c r="I34" s="14"/>
      <c r="J34" s="78" t="s">
        <v>59</v>
      </c>
      <c r="K34" s="77"/>
      <c r="L34" s="77"/>
      <c r="M34" s="77"/>
      <c r="N34" s="77"/>
    </row>
    <row r="35" spans="1:14" x14ac:dyDescent="0.2">
      <c r="A35" s="14" t="s">
        <v>71</v>
      </c>
      <c r="B35" s="14">
        <v>15</v>
      </c>
      <c r="C35" s="14">
        <v>0</v>
      </c>
      <c r="D35" s="14">
        <v>1</v>
      </c>
      <c r="E35" s="14">
        <f>D35*B35*C35</f>
        <v>0</v>
      </c>
      <c r="F35" s="14">
        <f>E35/24</f>
        <v>0</v>
      </c>
      <c r="G35" s="78" t="s">
        <v>59</v>
      </c>
      <c r="H35" s="14">
        <f>E35/12</f>
        <v>0</v>
      </c>
      <c r="I35" s="14"/>
      <c r="J35" s="78"/>
      <c r="K35" s="102"/>
      <c r="L35" s="102"/>
      <c r="M35" s="102"/>
      <c r="N35" s="102"/>
    </row>
    <row r="36" spans="1:14" x14ac:dyDescent="0.2">
      <c r="A36" s="14" t="s">
        <v>71</v>
      </c>
      <c r="B36" s="14">
        <v>15</v>
      </c>
      <c r="C36" s="14">
        <v>3</v>
      </c>
      <c r="D36" s="14">
        <v>1</v>
      </c>
      <c r="E36" s="14">
        <f>D36*B36*C36</f>
        <v>45</v>
      </c>
      <c r="F36" s="14">
        <f t="shared" si="0"/>
        <v>1.875</v>
      </c>
      <c r="G36" s="78" t="s">
        <v>59</v>
      </c>
      <c r="H36" s="14">
        <f t="shared" si="1"/>
        <v>3.75</v>
      </c>
      <c r="I36" s="14"/>
      <c r="J36" s="78" t="s">
        <v>59</v>
      </c>
      <c r="K36" s="77"/>
      <c r="L36" s="77"/>
      <c r="M36" s="77"/>
      <c r="N36" s="77"/>
    </row>
    <row r="37" spans="1:14" x14ac:dyDescent="0.2">
      <c r="A37" s="54" t="s">
        <v>34</v>
      </c>
      <c r="B37" s="55">
        <v>20</v>
      </c>
      <c r="C37" s="55">
        <v>12</v>
      </c>
      <c r="D37" s="55">
        <v>1</v>
      </c>
      <c r="E37" s="55">
        <f>D37*C37*B37</f>
        <v>240</v>
      </c>
      <c r="F37" s="86">
        <f t="shared" si="0"/>
        <v>10</v>
      </c>
      <c r="G37" s="78" t="s">
        <v>59</v>
      </c>
      <c r="H37" s="86">
        <f t="shared" si="1"/>
        <v>20</v>
      </c>
      <c r="I37" s="55"/>
      <c r="J37" s="78" t="s">
        <v>59</v>
      </c>
      <c r="K37" s="71"/>
      <c r="L37" s="71"/>
      <c r="M37" s="71"/>
      <c r="N37" s="71"/>
    </row>
    <row r="38" spans="1:14" x14ac:dyDescent="0.2">
      <c r="A38" s="41" t="s">
        <v>13</v>
      </c>
      <c r="B38" s="70">
        <f>SUM(B30:B37)</f>
        <v>315</v>
      </c>
      <c r="C38" s="70"/>
      <c r="D38" s="70"/>
      <c r="E38" s="70">
        <f>SUM(E30:E37)</f>
        <v>3405</v>
      </c>
      <c r="F38" s="78">
        <f>SUM(F30:F37)</f>
        <v>141.875</v>
      </c>
      <c r="G38" s="78" t="s">
        <v>59</v>
      </c>
      <c r="H38" s="78">
        <f>SUM(H30:H37)</f>
        <v>193.75</v>
      </c>
      <c r="I38" s="70"/>
      <c r="J38" s="78" t="s">
        <v>59</v>
      </c>
      <c r="K38" s="71"/>
      <c r="L38" s="71"/>
      <c r="M38" s="71"/>
      <c r="N38" s="71"/>
    </row>
    <row r="39" spans="1:14" x14ac:dyDescent="0.2">
      <c r="B39" s="71"/>
      <c r="C39" s="71"/>
      <c r="D39" s="71"/>
      <c r="E39" s="71">
        <f>E38/5</f>
        <v>681</v>
      </c>
      <c r="F39" s="71"/>
      <c r="G39" s="71"/>
      <c r="H39" s="71"/>
      <c r="I39" s="71"/>
      <c r="J39" s="71"/>
    </row>
    <row r="41" spans="1:14" x14ac:dyDescent="0.2">
      <c r="A41" s="58" t="s">
        <v>80</v>
      </c>
      <c r="B41" s="56">
        <f>E34+E36+E35</f>
        <v>165</v>
      </c>
      <c r="C41" s="59"/>
      <c r="D41" s="59"/>
    </row>
    <row r="42" spans="1:14" x14ac:dyDescent="0.2">
      <c r="A42" s="58" t="s">
        <v>81</v>
      </c>
      <c r="B42" s="56">
        <f>E32+E31+E33/0.9</f>
        <v>2413.3333333333335</v>
      </c>
      <c r="C42" s="329">
        <f>F16+F18+F21+F22/0.9</f>
        <v>133</v>
      </c>
      <c r="D42" s="329"/>
    </row>
    <row r="43" spans="1:14" x14ac:dyDescent="0.2">
      <c r="A43" s="60">
        <v>0.9</v>
      </c>
      <c r="B43">
        <f>B42/0.9</f>
        <v>2681.4814814814818</v>
      </c>
      <c r="C43"/>
      <c r="D43" t="s">
        <v>85</v>
      </c>
      <c r="K43" s="57"/>
      <c r="L43" s="57"/>
      <c r="M43" s="57"/>
      <c r="N43" s="57"/>
    </row>
    <row r="44" spans="1:14" x14ac:dyDescent="0.2">
      <c r="A44" s="58"/>
      <c r="B44" s="58">
        <f>B41+B43</f>
        <v>2846.4814814814818</v>
      </c>
      <c r="C44" s="58"/>
      <c r="D44" s="58" t="s">
        <v>86</v>
      </c>
      <c r="E44" t="s">
        <v>87</v>
      </c>
      <c r="F44"/>
      <c r="G44" s="57"/>
      <c r="H44" s="57"/>
      <c r="I44" s="57"/>
      <c r="J44" s="57"/>
      <c r="K44" s="57"/>
      <c r="L44" s="57"/>
      <c r="M44" s="57"/>
      <c r="N44" s="57"/>
    </row>
    <row r="45" spans="1:14" x14ac:dyDescent="0.2">
      <c r="A45" t="s">
        <v>82</v>
      </c>
      <c r="B45"/>
      <c r="C45"/>
      <c r="D45"/>
      <c r="F45"/>
      <c r="G45" s="57"/>
      <c r="H45" s="57"/>
      <c r="I45" s="57"/>
      <c r="J45" s="57"/>
      <c r="K45" s="57"/>
      <c r="L45" s="57"/>
      <c r="M45" s="57"/>
      <c r="N45" s="57"/>
    </row>
    <row r="46" spans="1:14" x14ac:dyDescent="0.2">
      <c r="B46"/>
      <c r="C46"/>
      <c r="D46"/>
      <c r="E46"/>
      <c r="F46"/>
      <c r="G46" s="57"/>
      <c r="H46" s="57"/>
      <c r="I46" s="57"/>
      <c r="J46" s="57"/>
      <c r="K46" s="57"/>
      <c r="L46" s="57"/>
      <c r="M46" s="57"/>
      <c r="N46" s="57"/>
    </row>
    <row r="47" spans="1:14" x14ac:dyDescent="0.2">
      <c r="A47" t="s">
        <v>83</v>
      </c>
      <c r="B47"/>
      <c r="C47"/>
      <c r="D47"/>
      <c r="E47"/>
      <c r="F47"/>
      <c r="G47" s="57"/>
      <c r="H47" s="57"/>
      <c r="I47" s="57"/>
      <c r="J47" s="57"/>
      <c r="K47" s="57"/>
      <c r="L47" s="57"/>
      <c r="M47" s="57"/>
      <c r="N47" s="57"/>
    </row>
    <row r="48" spans="1:14" x14ac:dyDescent="0.2">
      <c r="B48">
        <f>B44/24</f>
        <v>118.60339506172841</v>
      </c>
      <c r="C48" t="s">
        <v>59</v>
      </c>
      <c r="D48"/>
      <c r="E48"/>
      <c r="F48"/>
      <c r="G48" s="57"/>
      <c r="H48" s="57"/>
      <c r="I48" s="57"/>
      <c r="J48" s="57"/>
      <c r="K48" s="57"/>
      <c r="L48" s="57"/>
      <c r="M48" s="57"/>
      <c r="N48" s="57"/>
    </row>
    <row r="49" spans="1:14" x14ac:dyDescent="0.2">
      <c r="A49" t="s">
        <v>88</v>
      </c>
      <c r="B49" s="16">
        <f>B48*2</f>
        <v>237.20679012345681</v>
      </c>
      <c r="C49" t="s">
        <v>59</v>
      </c>
      <c r="E49"/>
      <c r="F49" s="62"/>
      <c r="G49" s="57"/>
      <c r="H49" s="57"/>
      <c r="I49" s="57"/>
      <c r="J49" s="57"/>
    </row>
    <row r="50" spans="1:14" x14ac:dyDescent="0.2">
      <c r="F50" s="36"/>
    </row>
    <row r="51" spans="1:14" x14ac:dyDescent="0.2">
      <c r="A51" t="s">
        <v>89</v>
      </c>
      <c r="C51" s="61">
        <v>0.8</v>
      </c>
      <c r="F51" s="36"/>
    </row>
    <row r="52" spans="1:14" x14ac:dyDescent="0.2">
      <c r="A52" s="58" t="s">
        <v>99</v>
      </c>
      <c r="B52" s="56">
        <f>B49/0.8</f>
        <v>296.50848765432102</v>
      </c>
      <c r="C52" s="58" t="s">
        <v>59</v>
      </c>
      <c r="D52" s="16" t="s">
        <v>82</v>
      </c>
      <c r="E52" s="16">
        <v>50</v>
      </c>
      <c r="F52" s="36">
        <v>1230</v>
      </c>
    </row>
    <row r="53" spans="1:14" x14ac:dyDescent="0.2">
      <c r="A53" s="72" t="s">
        <v>100</v>
      </c>
      <c r="B53" s="68">
        <f>B48/0.8</f>
        <v>148.25424382716051</v>
      </c>
      <c r="C53" s="72" t="s">
        <v>59</v>
      </c>
      <c r="F53" s="36"/>
      <c r="K53" s="67"/>
      <c r="L53" s="67"/>
      <c r="M53" s="67"/>
      <c r="N53" s="67"/>
    </row>
    <row r="54" spans="1:14" x14ac:dyDescent="0.2">
      <c r="B54"/>
      <c r="C54" s="67"/>
      <c r="D54" s="67"/>
      <c r="E54" s="67"/>
      <c r="F54" s="36"/>
      <c r="G54" s="67"/>
      <c r="H54" s="67"/>
      <c r="I54" s="67"/>
      <c r="J54" s="67"/>
    </row>
    <row r="55" spans="1:14" x14ac:dyDescent="0.2">
      <c r="A55" t="s">
        <v>65</v>
      </c>
      <c r="F55" s="36"/>
    </row>
    <row r="56" spans="1:14" x14ac:dyDescent="0.2">
      <c r="B56" s="16">
        <f>1.25*B42</f>
        <v>3016.666666666667</v>
      </c>
      <c r="C56" s="16" t="s">
        <v>91</v>
      </c>
      <c r="F56" s="62"/>
    </row>
    <row r="57" spans="1:14" x14ac:dyDescent="0.2">
      <c r="A57" s="58"/>
      <c r="B57" s="56" t="s">
        <v>92</v>
      </c>
      <c r="C57" s="56"/>
      <c r="E57" s="16" t="s">
        <v>95</v>
      </c>
      <c r="F57" s="36">
        <v>1290</v>
      </c>
    </row>
    <row r="58" spans="1:14" x14ac:dyDescent="0.2">
      <c r="F58" s="36"/>
    </row>
    <row r="59" spans="1:14" x14ac:dyDescent="0.2">
      <c r="A59" t="s">
        <v>84</v>
      </c>
      <c r="F59" s="36"/>
    </row>
    <row r="60" spans="1:14" x14ac:dyDescent="0.2">
      <c r="A60" s="58"/>
      <c r="B60" s="56">
        <f>B44*1.73/4.54</f>
        <v>1084.6724588024149</v>
      </c>
      <c r="C60" s="56" t="s">
        <v>91</v>
      </c>
      <c r="E60" s="16" t="s">
        <v>96</v>
      </c>
      <c r="F60" s="36">
        <v>1500</v>
      </c>
    </row>
    <row r="61" spans="1:14" x14ac:dyDescent="0.2">
      <c r="B61" s="16">
        <f>170+170+110+20</f>
        <v>470</v>
      </c>
      <c r="F61" s="36"/>
    </row>
    <row r="62" spans="1:14" x14ac:dyDescent="0.2">
      <c r="A62" t="s">
        <v>93</v>
      </c>
      <c r="F62" s="36"/>
    </row>
    <row r="63" spans="1:14" x14ac:dyDescent="0.2">
      <c r="B63" s="16">
        <f>1.25*B60</f>
        <v>1355.8405735030187</v>
      </c>
      <c r="C63" s="16" t="s">
        <v>91</v>
      </c>
      <c r="F63" s="36"/>
    </row>
    <row r="64" spans="1:14" x14ac:dyDescent="0.2">
      <c r="A64" s="58" t="s">
        <v>82</v>
      </c>
      <c r="B64" s="56" t="s">
        <v>94</v>
      </c>
      <c r="C64" s="56"/>
      <c r="F64" s="36"/>
    </row>
    <row r="65" spans="1:14" x14ac:dyDescent="0.2">
      <c r="F65" s="36"/>
    </row>
    <row r="66" spans="1:14" x14ac:dyDescent="0.2">
      <c r="F66" s="36"/>
    </row>
    <row r="67" spans="1:14" x14ac:dyDescent="0.2">
      <c r="F67" s="36">
        <f>SUM(F52:F66)</f>
        <v>4020</v>
      </c>
      <c r="G67" s="23" t="s">
        <v>97</v>
      </c>
    </row>
    <row r="68" spans="1:14" x14ac:dyDescent="0.2">
      <c r="F68" s="36"/>
    </row>
    <row r="70" spans="1:14" x14ac:dyDescent="0.2">
      <c r="A70" t="s">
        <v>98</v>
      </c>
      <c r="B70" s="16" t="s">
        <v>66</v>
      </c>
      <c r="C70" s="16" t="s">
        <v>59</v>
      </c>
      <c r="D70" s="96" t="s">
        <v>66</v>
      </c>
      <c r="E70" s="92" t="s">
        <v>59</v>
      </c>
      <c r="F70" s="87" t="s">
        <v>59</v>
      </c>
      <c r="G70" s="87" t="s">
        <v>66</v>
      </c>
      <c r="H70" s="87" t="s">
        <v>105</v>
      </c>
    </row>
    <row r="71" spans="1:14" x14ac:dyDescent="0.2">
      <c r="A71" s="97">
        <v>170</v>
      </c>
      <c r="B71" s="69">
        <v>18</v>
      </c>
      <c r="C71" s="330">
        <v>9.44</v>
      </c>
      <c r="D71" s="332">
        <v>24</v>
      </c>
      <c r="E71" s="325">
        <f>8.52*0.8</f>
        <v>6.8159999999999998</v>
      </c>
      <c r="F71" s="335">
        <f>E71+E73+E75+E76+E77+E78</f>
        <v>40.18</v>
      </c>
      <c r="G71" s="338">
        <v>24</v>
      </c>
      <c r="H71" s="338">
        <f>F71*5</f>
        <v>200.9</v>
      </c>
    </row>
    <row r="72" spans="1:14" x14ac:dyDescent="0.2">
      <c r="A72" s="97">
        <v>170</v>
      </c>
      <c r="B72" s="69">
        <v>18</v>
      </c>
      <c r="C72" s="331"/>
      <c r="D72" s="333"/>
      <c r="E72" s="325"/>
      <c r="F72" s="336"/>
      <c r="G72" s="339"/>
      <c r="H72" s="339"/>
    </row>
    <row r="73" spans="1:14" x14ac:dyDescent="0.2">
      <c r="A73" s="98">
        <v>110</v>
      </c>
      <c r="B73" s="73">
        <v>18.5</v>
      </c>
      <c r="C73" s="73">
        <v>5.95</v>
      </c>
      <c r="D73" s="333"/>
      <c r="E73" s="328">
        <f>C73*0.8+C74*0.8/2</f>
        <v>5.2040000000000006</v>
      </c>
      <c r="F73" s="336"/>
      <c r="G73" s="339"/>
      <c r="H73" s="339"/>
    </row>
    <row r="74" spans="1:14" x14ac:dyDescent="0.2">
      <c r="A74" s="98">
        <v>110</v>
      </c>
      <c r="B74" s="73">
        <v>18</v>
      </c>
      <c r="C74" s="73">
        <v>1.1100000000000001</v>
      </c>
      <c r="D74" s="333"/>
      <c r="E74" s="328"/>
      <c r="F74" s="336"/>
      <c r="G74" s="339"/>
      <c r="H74" s="339"/>
    </row>
    <row r="75" spans="1:14" x14ac:dyDescent="0.2">
      <c r="A75" s="97">
        <v>330</v>
      </c>
      <c r="B75" s="99">
        <v>37.5</v>
      </c>
      <c r="C75" s="38">
        <v>8.8000000000000007</v>
      </c>
      <c r="D75" s="333"/>
      <c r="E75" s="122">
        <f>C75*0.8</f>
        <v>7.0400000000000009</v>
      </c>
      <c r="F75" s="336"/>
      <c r="G75" s="339"/>
      <c r="H75" s="339"/>
      <c r="I75" s="323">
        <v>5895</v>
      </c>
      <c r="J75" s="100"/>
      <c r="K75" s="100"/>
      <c r="L75" s="100"/>
      <c r="M75" s="100"/>
      <c r="N75" s="100"/>
    </row>
    <row r="76" spans="1:14" x14ac:dyDescent="0.2">
      <c r="A76" s="97">
        <v>340</v>
      </c>
      <c r="B76" s="101">
        <v>37.5</v>
      </c>
      <c r="C76" s="38">
        <v>8.8000000000000007</v>
      </c>
      <c r="D76" s="333"/>
      <c r="E76" s="131">
        <f>C76*0.8</f>
        <v>7.0400000000000009</v>
      </c>
      <c r="F76" s="336"/>
      <c r="G76" s="339"/>
      <c r="H76" s="339"/>
      <c r="I76" s="323"/>
      <c r="J76" s="100"/>
      <c r="K76" s="100"/>
      <c r="L76" s="100"/>
      <c r="M76" s="100"/>
      <c r="N76" s="100"/>
    </row>
    <row r="77" spans="1:14" x14ac:dyDescent="0.2">
      <c r="A77" s="98">
        <v>340</v>
      </c>
      <c r="B77" s="73">
        <v>37.5</v>
      </c>
      <c r="C77" s="140">
        <v>8.8000000000000007</v>
      </c>
      <c r="D77" s="333"/>
      <c r="E77" s="131">
        <f>C77*0.8</f>
        <v>7.0400000000000009</v>
      </c>
      <c r="F77" s="336"/>
      <c r="G77" s="339"/>
      <c r="H77" s="339"/>
      <c r="I77" s="14"/>
      <c r="J77" s="88"/>
      <c r="K77" s="88"/>
      <c r="L77" s="88"/>
      <c r="M77" s="88"/>
      <c r="N77" s="88"/>
    </row>
    <row r="78" spans="1:14" x14ac:dyDescent="0.2">
      <c r="A78" s="139">
        <v>340</v>
      </c>
      <c r="B78" s="132">
        <v>37.5</v>
      </c>
      <c r="C78" s="22">
        <v>8.8000000000000007</v>
      </c>
      <c r="D78" s="334"/>
      <c r="E78" s="131">
        <f>C78*0.8</f>
        <v>7.0400000000000009</v>
      </c>
      <c r="F78" s="337"/>
      <c r="G78" s="340"/>
      <c r="H78" s="340"/>
      <c r="I78" s="14"/>
      <c r="J78" s="130"/>
      <c r="K78" s="130"/>
      <c r="L78" s="130"/>
      <c r="M78" s="130"/>
      <c r="N78" s="130"/>
    </row>
    <row r="79" spans="1:14" x14ac:dyDescent="0.2">
      <c r="A79" s="14" t="s">
        <v>106</v>
      </c>
      <c r="B79" s="14">
        <f>A71+A72+A73+A74+A75+A76+A77+A78</f>
        <v>1910</v>
      </c>
      <c r="C79" s="14" t="s">
        <v>58</v>
      </c>
      <c r="D79" s="14"/>
      <c r="E79" s="14"/>
      <c r="F79" s="14"/>
      <c r="G79" s="14"/>
      <c r="H79" s="14"/>
      <c r="I79" s="14"/>
      <c r="J79" s="95"/>
      <c r="K79" s="95"/>
      <c r="L79" s="95"/>
      <c r="M79" s="95"/>
      <c r="N79" s="95"/>
    </row>
    <row r="80" spans="1:14" x14ac:dyDescent="0.2">
      <c r="A80" s="14" t="s">
        <v>107</v>
      </c>
      <c r="B80" s="14">
        <v>1440</v>
      </c>
      <c r="C80" s="14" t="s">
        <v>58</v>
      </c>
      <c r="D80" s="14">
        <v>60</v>
      </c>
      <c r="E80" s="14" t="s">
        <v>121</v>
      </c>
      <c r="F80" s="14"/>
      <c r="G80" s="14"/>
      <c r="H80" s="14"/>
      <c r="I80" s="14"/>
      <c r="J80" s="95"/>
      <c r="K80" s="95"/>
      <c r="L80" s="95"/>
      <c r="M80" s="95"/>
      <c r="N80" s="95"/>
    </row>
    <row r="81" spans="1:14" x14ac:dyDescent="0.2">
      <c r="A81" s="14"/>
      <c r="B81" s="14">
        <f>B79*0.7/24</f>
        <v>55.708333333333336</v>
      </c>
      <c r="C81" s="14"/>
      <c r="D81" s="14"/>
      <c r="E81" s="14"/>
      <c r="F81" s="14"/>
      <c r="G81" s="14"/>
      <c r="H81" s="14"/>
      <c r="I81" s="14"/>
      <c r="J81" s="95"/>
      <c r="K81" s="95"/>
      <c r="L81" s="95"/>
      <c r="M81" s="95"/>
      <c r="N81" s="95"/>
    </row>
    <row r="82" spans="1:14" x14ac:dyDescent="0.2">
      <c r="A82" s="14" t="s">
        <v>124</v>
      </c>
      <c r="B82" s="14">
        <f>B81*7</f>
        <v>389.95833333333337</v>
      </c>
      <c r="C82" s="14" t="s">
        <v>59</v>
      </c>
      <c r="D82" s="14"/>
      <c r="E82" s="14"/>
      <c r="F82" s="14"/>
      <c r="G82" s="14"/>
      <c r="H82" s="14"/>
      <c r="I82" s="14"/>
      <c r="J82" s="88"/>
      <c r="K82" s="88"/>
      <c r="L82" s="88"/>
      <c r="M82" s="88"/>
      <c r="N82" s="88"/>
    </row>
    <row r="83" spans="1:14" x14ac:dyDescent="0.2">
      <c r="A83" s="14"/>
      <c r="B83" s="14"/>
      <c r="C83" s="14"/>
      <c r="D83" s="14"/>
      <c r="E83" s="14"/>
      <c r="F83" s="14"/>
      <c r="G83" s="14"/>
      <c r="H83" s="88"/>
      <c r="I83" s="88"/>
      <c r="J83" s="88"/>
      <c r="K83" s="88"/>
      <c r="L83" s="88"/>
      <c r="M83" s="88"/>
      <c r="N83" s="88"/>
    </row>
    <row r="85" spans="1:14" x14ac:dyDescent="0.2">
      <c r="A85" t="s">
        <v>90</v>
      </c>
      <c r="B85" t="s">
        <v>66</v>
      </c>
      <c r="C85" t="s">
        <v>59</v>
      </c>
      <c r="D85" s="96" t="s">
        <v>66</v>
      </c>
      <c r="E85" s="92" t="s">
        <v>59</v>
      </c>
      <c r="F85" s="87" t="s">
        <v>59</v>
      </c>
      <c r="G85" s="87" t="s">
        <v>66</v>
      </c>
    </row>
    <row r="86" spans="1:14" x14ac:dyDescent="0.2">
      <c r="A86" s="27">
        <v>50</v>
      </c>
      <c r="B86" s="69">
        <v>12</v>
      </c>
      <c r="C86" s="342">
        <v>50</v>
      </c>
      <c r="D86" s="324">
        <v>24</v>
      </c>
      <c r="E86" s="325">
        <v>50</v>
      </c>
      <c r="F86" s="341">
        <f>E86+E88+E90+E92+E94+E96</f>
        <v>275</v>
      </c>
      <c r="G86" s="341">
        <v>24</v>
      </c>
    </row>
    <row r="87" spans="1:14" x14ac:dyDescent="0.2">
      <c r="A87" s="27">
        <v>50</v>
      </c>
      <c r="B87" s="69">
        <v>12</v>
      </c>
      <c r="C87" s="342"/>
      <c r="D87" s="324"/>
      <c r="E87" s="325"/>
      <c r="F87" s="341"/>
      <c r="G87" s="341"/>
    </row>
    <row r="88" spans="1:14" x14ac:dyDescent="0.2">
      <c r="A88" s="74">
        <v>50</v>
      </c>
      <c r="B88" s="75">
        <v>12</v>
      </c>
      <c r="C88" s="343">
        <v>50</v>
      </c>
      <c r="D88" s="324">
        <v>24</v>
      </c>
      <c r="E88" s="325">
        <v>50</v>
      </c>
      <c r="F88" s="341"/>
      <c r="G88" s="341"/>
    </row>
    <row r="89" spans="1:14" x14ac:dyDescent="0.2">
      <c r="A89" s="74">
        <v>50</v>
      </c>
      <c r="B89" s="75">
        <v>12</v>
      </c>
      <c r="C89" s="343"/>
      <c r="D89" s="324"/>
      <c r="E89" s="325"/>
      <c r="F89" s="341"/>
      <c r="G89" s="341"/>
    </row>
    <row r="90" spans="1:14" x14ac:dyDescent="0.2">
      <c r="A90" s="27">
        <v>75</v>
      </c>
      <c r="B90" s="76">
        <v>12</v>
      </c>
      <c r="C90" s="342">
        <v>75</v>
      </c>
      <c r="D90" s="324">
        <v>24</v>
      </c>
      <c r="E90" s="325">
        <v>75</v>
      </c>
      <c r="F90" s="341"/>
      <c r="G90" s="341"/>
      <c r="H90" s="323">
        <v>2430</v>
      </c>
    </row>
    <row r="91" spans="1:14" x14ac:dyDescent="0.2">
      <c r="A91" s="27">
        <v>75</v>
      </c>
      <c r="B91" s="76">
        <v>12</v>
      </c>
      <c r="C91" s="342"/>
      <c r="D91" s="324"/>
      <c r="E91" s="325"/>
      <c r="F91" s="341"/>
      <c r="G91" s="341"/>
      <c r="H91" s="323"/>
    </row>
    <row r="92" spans="1:14" x14ac:dyDescent="0.2">
      <c r="A92" s="103">
        <v>50</v>
      </c>
      <c r="B92" s="104">
        <v>12</v>
      </c>
      <c r="C92" s="344">
        <v>50</v>
      </c>
      <c r="D92" s="324">
        <v>24</v>
      </c>
      <c r="E92" s="325">
        <v>50</v>
      </c>
      <c r="F92" s="341"/>
      <c r="G92" s="341"/>
      <c r="H92" s="323">
        <v>2430</v>
      </c>
    </row>
    <row r="93" spans="1:14" x14ac:dyDescent="0.2">
      <c r="A93" s="103">
        <v>50</v>
      </c>
      <c r="B93" s="104">
        <v>12</v>
      </c>
      <c r="C93" s="344"/>
      <c r="D93" s="324"/>
      <c r="E93" s="325"/>
      <c r="F93" s="341"/>
      <c r="G93" s="341"/>
      <c r="H93" s="323"/>
    </row>
    <row r="94" spans="1:14" x14ac:dyDescent="0.2">
      <c r="A94" s="27">
        <v>50</v>
      </c>
      <c r="B94" s="174">
        <v>12</v>
      </c>
      <c r="C94" s="342">
        <v>50</v>
      </c>
      <c r="D94" s="324">
        <v>24</v>
      </c>
      <c r="E94" s="325">
        <v>50</v>
      </c>
      <c r="F94" s="341"/>
      <c r="G94" s="341"/>
    </row>
    <row r="95" spans="1:14" x14ac:dyDescent="0.2">
      <c r="A95" s="27">
        <v>50</v>
      </c>
      <c r="B95" s="174">
        <v>12</v>
      </c>
      <c r="C95" s="342"/>
      <c r="D95" s="324"/>
      <c r="E95" s="325"/>
      <c r="F95" s="341"/>
      <c r="G95" s="341"/>
    </row>
    <row r="96" spans="1:14" x14ac:dyDescent="0.2">
      <c r="A96" s="173">
        <v>50</v>
      </c>
      <c r="B96" s="172">
        <v>12</v>
      </c>
      <c r="C96" s="324">
        <v>50</v>
      </c>
      <c r="D96" s="324">
        <v>24</v>
      </c>
      <c r="E96" s="325">
        <v>0</v>
      </c>
      <c r="F96" s="341"/>
      <c r="G96" s="341"/>
    </row>
    <row r="97" spans="1:7" x14ac:dyDescent="0.2">
      <c r="A97" s="173">
        <v>50</v>
      </c>
      <c r="B97" s="172">
        <v>12</v>
      </c>
      <c r="C97" s="324"/>
      <c r="D97" s="324"/>
      <c r="E97" s="325"/>
      <c r="F97" s="341"/>
      <c r="G97" s="341"/>
    </row>
  </sheetData>
  <mergeCells count="32">
    <mergeCell ref="C96:C97"/>
    <mergeCell ref="D96:D97"/>
    <mergeCell ref="E96:E97"/>
    <mergeCell ref="F86:F97"/>
    <mergeCell ref="G86:G97"/>
    <mergeCell ref="C94:C95"/>
    <mergeCell ref="D94:D95"/>
    <mergeCell ref="E94:E95"/>
    <mergeCell ref="C86:C87"/>
    <mergeCell ref="C88:C89"/>
    <mergeCell ref="D86:D87"/>
    <mergeCell ref="D88:D89"/>
    <mergeCell ref="C92:C93"/>
    <mergeCell ref="C90:C91"/>
    <mergeCell ref="H3:H11"/>
    <mergeCell ref="E71:E72"/>
    <mergeCell ref="E73:E74"/>
    <mergeCell ref="C42:D42"/>
    <mergeCell ref="C71:C72"/>
    <mergeCell ref="D71:D78"/>
    <mergeCell ref="F71:F78"/>
    <mergeCell ref="H71:H78"/>
    <mergeCell ref="G71:G78"/>
    <mergeCell ref="H90:H91"/>
    <mergeCell ref="H92:H93"/>
    <mergeCell ref="I75:I76"/>
    <mergeCell ref="D92:D93"/>
    <mergeCell ref="E92:E93"/>
    <mergeCell ref="D90:D91"/>
    <mergeCell ref="E90:E91"/>
    <mergeCell ref="E86:E87"/>
    <mergeCell ref="E88:E89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7DBA-3A50-4D80-80D0-E40EE0E1C1B5}">
  <dimension ref="A1:Q44"/>
  <sheetViews>
    <sheetView workbookViewId="0">
      <selection activeCell="C36" sqref="C3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47" customWidth="1"/>
    <col min="4" max="4" width="9" style="151"/>
    <col min="5" max="6" width="13" style="151" customWidth="1"/>
    <col min="7" max="7" width="12.5" style="151" customWidth="1"/>
    <col min="8" max="9" width="12.375" style="151" customWidth="1"/>
    <col min="10" max="10" width="50.25" style="2" bestFit="1" customWidth="1"/>
    <col min="11" max="11" width="7.25" style="151" bestFit="1" customWidth="1"/>
    <col min="12" max="12" width="16.25" style="151" customWidth="1"/>
    <col min="13" max="15" width="9" style="151"/>
    <col min="16" max="16" width="9" style="14"/>
  </cols>
  <sheetData>
    <row r="1" spans="1:17" ht="15" thickBot="1" x14ac:dyDescent="0.25"/>
    <row r="2" spans="1:17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7" ht="15" thickTop="1" x14ac:dyDescent="0.2">
      <c r="E3" s="37"/>
      <c r="F3" s="37"/>
      <c r="G3" s="151" t="s">
        <v>67</v>
      </c>
      <c r="H3" s="151" t="s">
        <v>68</v>
      </c>
      <c r="I3" s="151" t="s">
        <v>69</v>
      </c>
    </row>
    <row r="4" spans="1:17" x14ac:dyDescent="0.2">
      <c r="A4" s="22" t="s">
        <v>17</v>
      </c>
      <c r="B4" s="90" t="s">
        <v>8</v>
      </c>
      <c r="C4" s="147" t="s">
        <v>16</v>
      </c>
      <c r="D4" s="151" t="s">
        <v>6</v>
      </c>
      <c r="E4" s="151" t="s">
        <v>7</v>
      </c>
      <c r="F4" s="151" t="s">
        <v>14</v>
      </c>
      <c r="G4" s="151">
        <f>L5</f>
        <v>3.2484000000000002</v>
      </c>
      <c r="H4" s="151">
        <f>L6</f>
        <v>4.2218</v>
      </c>
      <c r="I4" s="151">
        <v>4.4217000000000004</v>
      </c>
      <c r="L4" s="151" t="s">
        <v>4</v>
      </c>
      <c r="O4" s="351" t="s">
        <v>18</v>
      </c>
      <c r="P4" s="351"/>
      <c r="Q4" s="351"/>
    </row>
    <row r="5" spans="1:17" x14ac:dyDescent="0.2">
      <c r="A5" s="153"/>
      <c r="C5" s="93">
        <v>4054</v>
      </c>
      <c r="D5" s="361">
        <f>C5</f>
        <v>4054</v>
      </c>
      <c r="E5" s="356">
        <f>C37-D5</f>
        <v>2001.7333333333336</v>
      </c>
      <c r="F5" s="353">
        <v>90</v>
      </c>
      <c r="G5" s="329">
        <v>150</v>
      </c>
      <c r="H5" s="342">
        <v>250</v>
      </c>
      <c r="I5" s="357">
        <f>E5-G5-H5</f>
        <v>1601.7333333333336</v>
      </c>
      <c r="J5" s="2" t="s">
        <v>0</v>
      </c>
      <c r="K5" s="151" t="s">
        <v>1</v>
      </c>
      <c r="L5" s="151">
        <v>3.2484000000000002</v>
      </c>
      <c r="O5" s="148">
        <v>650</v>
      </c>
      <c r="P5" s="150">
        <v>650</v>
      </c>
      <c r="Q5" s="149">
        <v>750</v>
      </c>
    </row>
    <row r="6" spans="1:17" x14ac:dyDescent="0.2">
      <c r="A6" s="153"/>
      <c r="B6" s="91">
        <f>C6-C5</f>
        <v>93</v>
      </c>
      <c r="C6" s="93">
        <v>4147</v>
      </c>
      <c r="D6" s="348"/>
      <c r="E6" s="351"/>
      <c r="F6" s="353"/>
      <c r="G6" s="329"/>
      <c r="H6" s="342"/>
      <c r="I6" s="333"/>
      <c r="J6" s="2" t="s">
        <v>2</v>
      </c>
      <c r="K6" s="151" t="s">
        <v>1</v>
      </c>
      <c r="L6" s="151">
        <v>4.2218</v>
      </c>
      <c r="N6" s="151" t="s">
        <v>19</v>
      </c>
      <c r="O6" s="151">
        <v>65</v>
      </c>
      <c r="P6"/>
    </row>
    <row r="7" spans="1:17" x14ac:dyDescent="0.2">
      <c r="A7" s="153"/>
      <c r="B7" s="91">
        <f>159/3</f>
        <v>53</v>
      </c>
      <c r="C7" s="93">
        <f>C8-B7</f>
        <v>4200</v>
      </c>
      <c r="D7" s="348"/>
      <c r="E7" s="351"/>
      <c r="F7" s="353"/>
      <c r="G7" s="329"/>
      <c r="H7" s="342"/>
      <c r="I7" s="333"/>
      <c r="J7" s="2" t="s">
        <v>3</v>
      </c>
      <c r="K7" s="151" t="s">
        <v>1</v>
      </c>
      <c r="L7" s="151">
        <v>4.4217000000000004</v>
      </c>
      <c r="N7" s="151" t="s">
        <v>21</v>
      </c>
      <c r="O7" s="151">
        <v>200</v>
      </c>
      <c r="P7"/>
    </row>
    <row r="8" spans="1:17" x14ac:dyDescent="0.2">
      <c r="A8" s="153"/>
      <c r="B8" s="91">
        <v>53</v>
      </c>
      <c r="C8" s="93">
        <f>C9-B8</f>
        <v>4253</v>
      </c>
      <c r="D8" s="348"/>
      <c r="E8" s="351"/>
      <c r="F8" s="353"/>
      <c r="G8" s="329"/>
      <c r="H8" s="342"/>
      <c r="I8" s="333"/>
      <c r="J8" s="2" t="s">
        <v>5</v>
      </c>
      <c r="L8" s="151">
        <v>38.22</v>
      </c>
      <c r="M8" s="151" t="s">
        <v>72</v>
      </c>
      <c r="N8" s="151">
        <v>2070</v>
      </c>
      <c r="Q8" s="14">
        <v>215</v>
      </c>
    </row>
    <row r="9" spans="1:17" x14ac:dyDescent="0.2">
      <c r="A9" s="153">
        <v>11.26</v>
      </c>
      <c r="B9" s="91">
        <v>53</v>
      </c>
      <c r="C9" s="93">
        <v>4306</v>
      </c>
      <c r="D9" s="348"/>
      <c r="E9" s="351"/>
      <c r="F9" s="353"/>
      <c r="G9" s="329"/>
      <c r="H9" s="342"/>
      <c r="I9" s="333"/>
      <c r="M9" s="151" t="s">
        <v>74</v>
      </c>
      <c r="N9" s="151" t="s">
        <v>15</v>
      </c>
      <c r="P9" s="14">
        <v>90</v>
      </c>
      <c r="Q9" s="14"/>
    </row>
    <row r="10" spans="1:17" x14ac:dyDescent="0.2">
      <c r="A10" s="153"/>
      <c r="B10" s="91">
        <f>226/3</f>
        <v>75.333333333333329</v>
      </c>
      <c r="C10" s="93"/>
      <c r="D10" s="348"/>
      <c r="E10" s="351"/>
      <c r="F10" s="353"/>
      <c r="G10" s="329"/>
      <c r="H10" s="342"/>
      <c r="I10" s="333"/>
      <c r="M10" s="151" t="s">
        <v>74</v>
      </c>
      <c r="N10" s="151" t="s">
        <v>15</v>
      </c>
      <c r="P10" s="14">
        <v>90</v>
      </c>
      <c r="Q10" s="14"/>
    </row>
    <row r="11" spans="1:17" x14ac:dyDescent="0.2">
      <c r="A11" s="153"/>
      <c r="B11" s="91">
        <v>75</v>
      </c>
      <c r="C11" s="93"/>
      <c r="D11" s="348"/>
      <c r="E11" s="351"/>
      <c r="F11" s="353"/>
      <c r="G11" s="329"/>
      <c r="H11" s="342"/>
      <c r="I11" s="333"/>
      <c r="M11" s="151" t="s">
        <v>77</v>
      </c>
      <c r="N11" s="151" t="s">
        <v>15</v>
      </c>
      <c r="O11" s="151">
        <v>90</v>
      </c>
      <c r="Q11" s="14"/>
    </row>
    <row r="12" spans="1:17" x14ac:dyDescent="0.2">
      <c r="A12" s="153" t="s">
        <v>126</v>
      </c>
      <c r="B12" s="91">
        <v>76</v>
      </c>
      <c r="C12" s="93">
        <v>4532</v>
      </c>
      <c r="D12" s="348"/>
      <c r="E12" s="351"/>
      <c r="F12" s="353"/>
      <c r="G12" s="329"/>
      <c r="H12" s="342"/>
      <c r="I12" s="333"/>
      <c r="M12" s="151" t="s">
        <v>77</v>
      </c>
      <c r="N12" s="151" t="s">
        <v>15</v>
      </c>
      <c r="O12" s="151">
        <v>90</v>
      </c>
      <c r="Q12" s="14"/>
    </row>
    <row r="13" spans="1:17" x14ac:dyDescent="0.2">
      <c r="A13" s="153"/>
      <c r="B13" s="91">
        <f>124/2</f>
        <v>62</v>
      </c>
      <c r="D13" s="348"/>
      <c r="E13" s="351"/>
      <c r="F13" s="353"/>
      <c r="G13" s="329"/>
      <c r="H13" s="342"/>
      <c r="I13" s="333"/>
      <c r="M13" s="151" t="s">
        <v>72</v>
      </c>
      <c r="N13" s="151" t="s">
        <v>15</v>
      </c>
      <c r="P13" s="14">
        <v>90</v>
      </c>
      <c r="Q13" s="14"/>
    </row>
    <row r="14" spans="1:17" x14ac:dyDescent="0.2">
      <c r="A14" s="153" t="s">
        <v>127</v>
      </c>
      <c r="B14" s="91">
        <v>62</v>
      </c>
      <c r="C14" s="93">
        <v>4656</v>
      </c>
      <c r="D14" s="348"/>
      <c r="E14" s="351"/>
      <c r="F14" s="353"/>
      <c r="G14" s="329"/>
      <c r="H14" s="342"/>
      <c r="I14" s="333"/>
      <c r="L14" s="36"/>
      <c r="M14" s="151" t="s">
        <v>75</v>
      </c>
      <c r="N14" s="151" t="s">
        <v>15</v>
      </c>
      <c r="P14" s="14">
        <v>90</v>
      </c>
    </row>
    <row r="15" spans="1:17" x14ac:dyDescent="0.2">
      <c r="A15" s="153"/>
      <c r="B15" s="91">
        <f>322/5</f>
        <v>64.400000000000006</v>
      </c>
      <c r="C15" s="93">
        <f>C14+B15</f>
        <v>4720.3999999999996</v>
      </c>
      <c r="D15" s="348"/>
      <c r="E15" s="351"/>
      <c r="F15" s="353"/>
      <c r="G15" s="329"/>
      <c r="H15" s="342"/>
      <c r="I15" s="333"/>
      <c r="J15" s="2" t="s">
        <v>22</v>
      </c>
      <c r="L15" s="36"/>
      <c r="M15" s="151" t="s">
        <v>73</v>
      </c>
      <c r="N15" s="151" t="s">
        <v>70</v>
      </c>
      <c r="P15" s="14">
        <v>90</v>
      </c>
      <c r="Q15" s="14"/>
    </row>
    <row r="16" spans="1:17" x14ac:dyDescent="0.2">
      <c r="A16" s="153"/>
      <c r="B16" s="91">
        <v>64</v>
      </c>
      <c r="C16" s="93">
        <f>C15+B16</f>
        <v>4784.3999999999996</v>
      </c>
      <c r="D16" s="348"/>
      <c r="E16" s="351"/>
      <c r="F16" s="353"/>
      <c r="G16" s="329"/>
      <c r="H16" s="342"/>
      <c r="I16" s="333"/>
      <c r="J16" s="2" t="s">
        <v>23</v>
      </c>
      <c r="L16" s="36"/>
      <c r="M16" s="151" t="s">
        <v>75</v>
      </c>
      <c r="N16" s="151">
        <v>1070</v>
      </c>
      <c r="Q16" s="14">
        <v>150</v>
      </c>
    </row>
    <row r="17" spans="1:17" x14ac:dyDescent="0.2">
      <c r="A17" s="153"/>
      <c r="B17" s="91">
        <v>64</v>
      </c>
      <c r="C17" s="93">
        <f>C16+B17</f>
        <v>4848.3999999999996</v>
      </c>
      <c r="D17" s="348"/>
      <c r="E17" s="351"/>
      <c r="F17" s="353"/>
      <c r="G17" s="329"/>
      <c r="H17" s="342"/>
      <c r="I17" s="333"/>
      <c r="J17" s="2" t="s">
        <v>24</v>
      </c>
      <c r="L17" s="36"/>
      <c r="M17" s="151" t="s">
        <v>76</v>
      </c>
      <c r="N17" s="151" t="s">
        <v>20</v>
      </c>
      <c r="O17" s="151">
        <v>60</v>
      </c>
      <c r="Q17" s="14"/>
    </row>
    <row r="18" spans="1:17" x14ac:dyDescent="0.2">
      <c r="A18" s="153"/>
      <c r="B18" s="91">
        <v>64</v>
      </c>
      <c r="C18" s="93">
        <f>C17+B18</f>
        <v>4912.3999999999996</v>
      </c>
      <c r="D18" s="348"/>
      <c r="E18" s="351"/>
      <c r="F18" s="353"/>
      <c r="G18" s="329"/>
      <c r="H18" s="342"/>
      <c r="I18" s="333"/>
      <c r="J18" s="2" t="s">
        <v>25</v>
      </c>
      <c r="L18" s="36"/>
      <c r="O18" s="151">
        <v>100</v>
      </c>
    </row>
    <row r="19" spans="1:17" x14ac:dyDescent="0.2">
      <c r="A19" s="153" t="s">
        <v>128</v>
      </c>
      <c r="B19" s="91">
        <v>64</v>
      </c>
      <c r="C19" s="93">
        <v>4978</v>
      </c>
      <c r="D19" s="348"/>
      <c r="E19" s="351"/>
      <c r="F19" s="353"/>
      <c r="G19" s="329"/>
      <c r="H19" s="342"/>
      <c r="I19" s="333"/>
      <c r="J19" s="2" t="s">
        <v>26</v>
      </c>
      <c r="L19" s="36"/>
      <c r="Q19" s="14"/>
    </row>
    <row r="20" spans="1:17" x14ac:dyDescent="0.2">
      <c r="A20" s="153"/>
      <c r="B20" s="91">
        <v>69</v>
      </c>
      <c r="C20" s="93"/>
      <c r="D20" s="348"/>
      <c r="E20" s="351"/>
      <c r="F20" s="353"/>
      <c r="G20" s="329"/>
      <c r="H20" s="342"/>
      <c r="I20" s="333"/>
      <c r="J20" s="2" t="s">
        <v>27</v>
      </c>
      <c r="L20" s="36"/>
    </row>
    <row r="21" spans="1:17" x14ac:dyDescent="0.2">
      <c r="A21" s="153"/>
      <c r="B21" s="91">
        <v>69</v>
      </c>
      <c r="C21" s="93"/>
      <c r="D21" s="348"/>
      <c r="E21" s="351"/>
      <c r="F21" s="353"/>
      <c r="G21" s="329"/>
      <c r="H21" s="342"/>
      <c r="I21" s="333"/>
      <c r="J21" s="2" t="s">
        <v>28</v>
      </c>
      <c r="L21" s="36"/>
      <c r="Q21" s="14"/>
    </row>
    <row r="22" spans="1:17" x14ac:dyDescent="0.2">
      <c r="A22" s="153"/>
      <c r="B22" s="91">
        <v>69</v>
      </c>
      <c r="C22" s="93"/>
      <c r="D22" s="348"/>
      <c r="E22" s="351"/>
      <c r="F22" s="353"/>
      <c r="G22" s="329"/>
      <c r="H22" s="342"/>
      <c r="I22" s="333"/>
      <c r="L22" s="36"/>
    </row>
    <row r="23" spans="1:17" x14ac:dyDescent="0.2">
      <c r="A23" s="153"/>
      <c r="B23" s="91">
        <v>69</v>
      </c>
      <c r="C23" s="93"/>
      <c r="D23" s="348"/>
      <c r="E23" s="351"/>
      <c r="F23" s="353"/>
      <c r="G23" s="329"/>
      <c r="H23" s="342"/>
      <c r="I23" s="333"/>
      <c r="L23" s="36"/>
      <c r="Q23" s="14"/>
    </row>
    <row r="24" spans="1:17" x14ac:dyDescent="0.2">
      <c r="A24" s="153"/>
      <c r="B24" s="91">
        <v>69</v>
      </c>
      <c r="C24" s="93"/>
      <c r="D24" s="348"/>
      <c r="E24" s="351"/>
      <c r="F24" s="353"/>
      <c r="G24" s="329"/>
      <c r="H24" s="342"/>
      <c r="I24" s="333"/>
      <c r="L24" s="36"/>
      <c r="Q24" s="14"/>
    </row>
    <row r="25" spans="1:17" x14ac:dyDescent="0.2">
      <c r="A25" s="153"/>
      <c r="B25" s="91">
        <v>69</v>
      </c>
      <c r="D25" s="348"/>
      <c r="E25" s="351"/>
      <c r="F25" s="353"/>
      <c r="G25" s="329"/>
      <c r="H25" s="342"/>
      <c r="I25" s="333"/>
      <c r="L25" s="36"/>
      <c r="Q25" s="14"/>
    </row>
    <row r="26" spans="1:17" x14ac:dyDescent="0.2">
      <c r="A26" s="153"/>
      <c r="B26" s="91">
        <v>69</v>
      </c>
      <c r="C26" s="93"/>
      <c r="D26" s="348"/>
      <c r="E26" s="351"/>
      <c r="F26" s="353"/>
      <c r="G26" s="329"/>
      <c r="H26" s="342"/>
      <c r="I26" s="333"/>
      <c r="L26" s="36"/>
      <c r="N26" s="151" t="s">
        <v>78</v>
      </c>
      <c r="O26" s="148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A27" s="153"/>
      <c r="B27" s="91">
        <v>69</v>
      </c>
      <c r="C27" s="93"/>
      <c r="D27" s="348"/>
      <c r="E27" s="351"/>
      <c r="F27" s="353"/>
      <c r="G27" s="329"/>
      <c r="H27" s="342"/>
      <c r="I27" s="333"/>
      <c r="L27" s="36"/>
      <c r="N27" s="151" t="s">
        <v>79</v>
      </c>
      <c r="O27" s="151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A28" s="153"/>
      <c r="B28" s="91">
        <v>69</v>
      </c>
      <c r="C28" s="93"/>
      <c r="D28" s="348"/>
      <c r="E28" s="351"/>
      <c r="F28" s="353"/>
      <c r="G28" s="329"/>
      <c r="H28" s="342"/>
      <c r="I28" s="333"/>
      <c r="L28" s="36"/>
      <c r="Q28" s="14"/>
    </row>
    <row r="29" spans="1:17" x14ac:dyDescent="0.2">
      <c r="A29" s="153"/>
      <c r="B29" s="91">
        <v>69</v>
      </c>
      <c r="C29" s="93"/>
      <c r="D29" s="348"/>
      <c r="E29" s="351"/>
      <c r="F29" s="353"/>
      <c r="G29" s="329"/>
      <c r="H29" s="342"/>
      <c r="I29" s="333"/>
      <c r="L29" s="36"/>
      <c r="Q29" s="14"/>
    </row>
    <row r="30" spans="1:17" x14ac:dyDescent="0.2">
      <c r="A30" s="153"/>
      <c r="B30" s="91">
        <v>69</v>
      </c>
      <c r="C30" s="93"/>
      <c r="D30" s="348"/>
      <c r="E30" s="351"/>
      <c r="F30" s="353"/>
      <c r="G30" s="329"/>
      <c r="H30" s="342"/>
      <c r="I30" s="333"/>
      <c r="L30" s="36"/>
    </row>
    <row r="31" spans="1:17" x14ac:dyDescent="0.2">
      <c r="A31" s="153"/>
      <c r="B31" s="91">
        <v>69</v>
      </c>
      <c r="C31" s="93"/>
      <c r="D31" s="348"/>
      <c r="E31" s="351"/>
      <c r="F31" s="353"/>
      <c r="G31" s="329"/>
      <c r="H31" s="342"/>
      <c r="I31" s="333"/>
      <c r="L31" s="36"/>
    </row>
    <row r="32" spans="1:17" x14ac:dyDescent="0.2">
      <c r="A32" s="153" t="s">
        <v>129</v>
      </c>
      <c r="B32" s="91">
        <v>70</v>
      </c>
      <c r="C32" s="147">
        <v>5875</v>
      </c>
      <c r="D32" s="348"/>
      <c r="E32" s="351"/>
      <c r="F32" s="353"/>
      <c r="G32" s="329"/>
      <c r="H32" s="342"/>
      <c r="I32" s="333"/>
      <c r="L32" s="36"/>
    </row>
    <row r="33" spans="1:17" x14ac:dyDescent="0.2">
      <c r="A33" s="153"/>
      <c r="B33" s="91"/>
      <c r="C33" s="93"/>
      <c r="D33" s="348"/>
      <c r="E33" s="351"/>
      <c r="F33" s="353"/>
      <c r="G33" s="329"/>
      <c r="H33" s="342"/>
      <c r="I33" s="333"/>
      <c r="L33" s="36"/>
    </row>
    <row r="34" spans="1:17" x14ac:dyDescent="0.2">
      <c r="A34" s="153"/>
      <c r="B34" s="91"/>
      <c r="C34" s="93"/>
      <c r="D34" s="348"/>
      <c r="E34" s="351"/>
      <c r="F34" s="353"/>
      <c r="G34" s="329"/>
      <c r="H34" s="342"/>
      <c r="I34" s="334"/>
      <c r="L34" s="36"/>
    </row>
    <row r="35" spans="1:17" x14ac:dyDescent="0.2">
      <c r="A35" s="153"/>
      <c r="B35" s="91">
        <f>C35-C32</f>
        <v>181</v>
      </c>
      <c r="C35" s="93">
        <v>6056</v>
      </c>
      <c r="G35" s="148">
        <f>G5*G4</f>
        <v>487.26000000000005</v>
      </c>
      <c r="H35" s="111">
        <f>H5*H4</f>
        <v>1055.45</v>
      </c>
      <c r="I35" s="152">
        <f>I5*I4</f>
        <v>7082.384280000002</v>
      </c>
      <c r="L35" s="36"/>
      <c r="N35"/>
      <c r="O35"/>
      <c r="P35"/>
    </row>
    <row r="36" spans="1:17" x14ac:dyDescent="0.2">
      <c r="A36" s="110"/>
      <c r="B36" s="91"/>
      <c r="C36" s="93"/>
      <c r="F36" s="151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SUM(B5:B36)</f>
        <v>2001.7333333333331</v>
      </c>
      <c r="C37" s="121">
        <f>C5+B37</f>
        <v>6055.7333333333336</v>
      </c>
      <c r="F37" s="151" t="s">
        <v>11</v>
      </c>
      <c r="H37" s="359">
        <f>H36+G35+H35+I35</f>
        <v>8663.3142800000023</v>
      </c>
      <c r="I37" s="359"/>
      <c r="L37" s="36"/>
      <c r="N37"/>
      <c r="O37"/>
      <c r="P37"/>
    </row>
    <row r="38" spans="1:17" x14ac:dyDescent="0.2">
      <c r="F38" s="151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51" t="s">
        <v>10</v>
      </c>
      <c r="H39" s="360">
        <f>(H37-H38)*I38</f>
        <v>598.87199960000021</v>
      </c>
      <c r="I39" s="360"/>
      <c r="N39"/>
      <c r="O39"/>
      <c r="P39"/>
    </row>
    <row r="40" spans="1:17" x14ac:dyDescent="0.2">
      <c r="F40" s="151" t="s">
        <v>13</v>
      </c>
      <c r="H40" s="355">
        <f>H37+H39-H38</f>
        <v>9154.1862796000023</v>
      </c>
      <c r="I40" s="355"/>
      <c r="N40"/>
      <c r="O40"/>
      <c r="P40"/>
    </row>
    <row r="41" spans="1:17" x14ac:dyDescent="0.2">
      <c r="F41" s="148" t="s">
        <v>120</v>
      </c>
      <c r="G41" s="148"/>
      <c r="H41" s="355">
        <v>0</v>
      </c>
      <c r="I41" s="355"/>
      <c r="J41" s="151"/>
      <c r="K41" s="2"/>
      <c r="N41"/>
      <c r="O41"/>
      <c r="P41"/>
    </row>
    <row r="44" spans="1:17" x14ac:dyDescent="0.2">
      <c r="M44" s="6"/>
      <c r="P44" s="151"/>
      <c r="Q44" s="14"/>
    </row>
  </sheetData>
  <mergeCells count="13">
    <mergeCell ref="H36:I36"/>
    <mergeCell ref="H37:I37"/>
    <mergeCell ref="H39:I39"/>
    <mergeCell ref="H40:I40"/>
    <mergeCell ref="H41:I41"/>
    <mergeCell ref="D2:I2"/>
    <mergeCell ref="O4:Q4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283-1FE6-46A4-BA8A-7BECEAB47607}">
  <dimension ref="A1:Q44"/>
  <sheetViews>
    <sheetView workbookViewId="0">
      <selection activeCell="B33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54" customWidth="1"/>
    <col min="4" max="4" width="9" style="158"/>
    <col min="5" max="6" width="13" style="158" customWidth="1"/>
    <col min="7" max="7" width="12.5" style="158" customWidth="1"/>
    <col min="8" max="9" width="12.375" style="158" customWidth="1"/>
    <col min="10" max="10" width="50.25" style="2" bestFit="1" customWidth="1"/>
    <col min="11" max="11" width="7.25" style="158" bestFit="1" customWidth="1"/>
    <col min="12" max="12" width="16.25" style="158" customWidth="1"/>
    <col min="13" max="15" width="9" style="158"/>
    <col min="16" max="16" width="9" style="14"/>
  </cols>
  <sheetData>
    <row r="1" spans="1:17" ht="15" thickBot="1" x14ac:dyDescent="0.25"/>
    <row r="2" spans="1:17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7" ht="15" thickTop="1" x14ac:dyDescent="0.2">
      <c r="E3" s="37"/>
      <c r="F3" s="37"/>
      <c r="G3" s="158" t="s">
        <v>67</v>
      </c>
      <c r="H3" s="158" t="s">
        <v>68</v>
      </c>
      <c r="I3" s="158" t="s">
        <v>69</v>
      </c>
    </row>
    <row r="4" spans="1:17" x14ac:dyDescent="0.2">
      <c r="A4" s="22" t="s">
        <v>17</v>
      </c>
      <c r="B4" s="90" t="s">
        <v>8</v>
      </c>
      <c r="C4" s="154" t="s">
        <v>16</v>
      </c>
      <c r="D4" s="158" t="s">
        <v>6</v>
      </c>
      <c r="E4" s="158" t="s">
        <v>7</v>
      </c>
      <c r="F4" s="158" t="s">
        <v>14</v>
      </c>
      <c r="G4" s="158">
        <f>L5</f>
        <v>3.2484000000000002</v>
      </c>
      <c r="H4" s="158">
        <f>L6</f>
        <v>4.2218</v>
      </c>
      <c r="I4" s="158">
        <v>4.4217000000000004</v>
      </c>
      <c r="L4" s="158" t="s">
        <v>4</v>
      </c>
      <c r="O4" s="351" t="s">
        <v>18</v>
      </c>
      <c r="P4" s="351"/>
      <c r="Q4" s="351"/>
    </row>
    <row r="5" spans="1:17" x14ac:dyDescent="0.2">
      <c r="A5" s="153"/>
      <c r="C5" s="93">
        <v>6056</v>
      </c>
      <c r="D5" s="361">
        <f>C5</f>
        <v>6056</v>
      </c>
      <c r="E5" s="356">
        <f>C37-D5</f>
        <v>1726</v>
      </c>
      <c r="F5" s="353">
        <v>90</v>
      </c>
      <c r="G5" s="329">
        <v>150</v>
      </c>
      <c r="H5" s="342">
        <v>250</v>
      </c>
      <c r="I5" s="357">
        <f>E5-G5-H5</f>
        <v>1326</v>
      </c>
      <c r="J5" s="2" t="s">
        <v>0</v>
      </c>
      <c r="K5" s="158" t="s">
        <v>1</v>
      </c>
      <c r="L5" s="158">
        <v>3.2484000000000002</v>
      </c>
      <c r="O5" s="156">
        <v>650</v>
      </c>
      <c r="P5" s="157">
        <v>650</v>
      </c>
      <c r="Q5" s="155">
        <v>750</v>
      </c>
    </row>
    <row r="6" spans="1:17" x14ac:dyDescent="0.2">
      <c r="A6" s="153"/>
      <c r="B6" s="91"/>
      <c r="C6" s="93"/>
      <c r="D6" s="348"/>
      <c r="E6" s="351"/>
      <c r="F6" s="353"/>
      <c r="G6" s="329"/>
      <c r="H6" s="342"/>
      <c r="I6" s="333"/>
      <c r="J6" s="2" t="s">
        <v>2</v>
      </c>
      <c r="K6" s="158" t="s">
        <v>1</v>
      </c>
      <c r="L6" s="158">
        <v>4.2218</v>
      </c>
      <c r="N6" s="158" t="s">
        <v>19</v>
      </c>
      <c r="O6" s="158">
        <v>65</v>
      </c>
      <c r="P6"/>
    </row>
    <row r="7" spans="1:17" x14ac:dyDescent="0.2">
      <c r="A7" s="153"/>
      <c r="B7" s="91"/>
      <c r="C7" s="93"/>
      <c r="D7" s="348"/>
      <c r="E7" s="351"/>
      <c r="F7" s="353"/>
      <c r="G7" s="329"/>
      <c r="H7" s="342"/>
      <c r="I7" s="333"/>
      <c r="J7" s="2" t="s">
        <v>3</v>
      </c>
      <c r="K7" s="158" t="s">
        <v>1</v>
      </c>
      <c r="L7" s="158">
        <v>4.4217000000000004</v>
      </c>
      <c r="N7" s="158" t="s">
        <v>21</v>
      </c>
      <c r="O7" s="158">
        <v>200</v>
      </c>
      <c r="P7"/>
    </row>
    <row r="8" spans="1:17" x14ac:dyDescent="0.2">
      <c r="A8" s="153"/>
      <c r="B8" s="91"/>
      <c r="C8" s="93"/>
      <c r="D8" s="348"/>
      <c r="E8" s="351"/>
      <c r="F8" s="353"/>
      <c r="G8" s="329"/>
      <c r="H8" s="342"/>
      <c r="I8" s="333"/>
      <c r="J8" s="2" t="s">
        <v>5</v>
      </c>
      <c r="L8" s="158">
        <v>38.22</v>
      </c>
      <c r="M8" s="158" t="s">
        <v>72</v>
      </c>
      <c r="N8" s="158">
        <v>2070</v>
      </c>
      <c r="Q8" s="14">
        <v>215</v>
      </c>
    </row>
    <row r="9" spans="1:17" x14ac:dyDescent="0.2">
      <c r="A9" s="153"/>
      <c r="B9" s="91"/>
      <c r="C9" s="93"/>
      <c r="D9" s="348"/>
      <c r="E9" s="351"/>
      <c r="F9" s="353"/>
      <c r="G9" s="329"/>
      <c r="H9" s="342"/>
      <c r="I9" s="333"/>
      <c r="M9" s="158" t="s">
        <v>74</v>
      </c>
      <c r="N9" s="158" t="s">
        <v>15</v>
      </c>
      <c r="P9" s="14">
        <v>90</v>
      </c>
      <c r="Q9" s="14"/>
    </row>
    <row r="10" spans="1:17" x14ac:dyDescent="0.2">
      <c r="A10" s="153"/>
      <c r="B10" s="91"/>
      <c r="C10" s="93"/>
      <c r="D10" s="348"/>
      <c r="E10" s="351"/>
      <c r="F10" s="353"/>
      <c r="G10" s="329"/>
      <c r="H10" s="342"/>
      <c r="I10" s="333"/>
      <c r="M10" s="158" t="s">
        <v>74</v>
      </c>
      <c r="N10" s="158" t="s">
        <v>15</v>
      </c>
      <c r="P10" s="14">
        <v>90</v>
      </c>
      <c r="Q10" s="14"/>
    </row>
    <row r="11" spans="1:17" x14ac:dyDescent="0.2">
      <c r="A11" s="153"/>
      <c r="B11" s="91"/>
      <c r="C11" s="93"/>
      <c r="D11" s="348"/>
      <c r="E11" s="351"/>
      <c r="F11" s="353"/>
      <c r="G11" s="329"/>
      <c r="H11" s="342"/>
      <c r="I11" s="333"/>
      <c r="M11" s="158" t="s">
        <v>77</v>
      </c>
      <c r="N11" s="158" t="s">
        <v>15</v>
      </c>
      <c r="O11" s="158">
        <v>90</v>
      </c>
      <c r="Q11" s="14"/>
    </row>
    <row r="12" spans="1:17" x14ac:dyDescent="0.2">
      <c r="A12" s="153"/>
      <c r="B12" s="91"/>
      <c r="C12" s="93"/>
      <c r="D12" s="348"/>
      <c r="E12" s="351"/>
      <c r="F12" s="353"/>
      <c r="G12" s="329"/>
      <c r="H12" s="342"/>
      <c r="I12" s="333"/>
      <c r="M12" s="158" t="s">
        <v>77</v>
      </c>
      <c r="N12" s="158" t="s">
        <v>15</v>
      </c>
      <c r="O12" s="158">
        <v>90</v>
      </c>
      <c r="Q12" s="14"/>
    </row>
    <row r="13" spans="1:17" x14ac:dyDescent="0.2">
      <c r="A13" s="153"/>
      <c r="B13" s="91"/>
      <c r="D13" s="348"/>
      <c r="E13" s="351"/>
      <c r="F13" s="353"/>
      <c r="G13" s="329"/>
      <c r="H13" s="342"/>
      <c r="I13" s="333"/>
      <c r="M13" s="158" t="s">
        <v>72</v>
      </c>
      <c r="N13" s="158" t="s">
        <v>15</v>
      </c>
      <c r="P13" s="14">
        <v>90</v>
      </c>
      <c r="Q13" s="14"/>
    </row>
    <row r="14" spans="1:17" x14ac:dyDescent="0.2">
      <c r="A14" s="153"/>
      <c r="B14" s="91"/>
      <c r="C14" s="93"/>
      <c r="D14" s="348"/>
      <c r="E14" s="351"/>
      <c r="F14" s="353"/>
      <c r="G14" s="329"/>
      <c r="H14" s="342"/>
      <c r="I14" s="333"/>
      <c r="L14" s="36"/>
      <c r="M14" s="158" t="s">
        <v>75</v>
      </c>
      <c r="N14" s="158" t="s">
        <v>15</v>
      </c>
      <c r="P14" s="14">
        <v>90</v>
      </c>
    </row>
    <row r="15" spans="1:17" x14ac:dyDescent="0.2">
      <c r="A15" s="153"/>
      <c r="B15" s="91"/>
      <c r="C15" s="93"/>
      <c r="D15" s="348"/>
      <c r="E15" s="351"/>
      <c r="F15" s="353"/>
      <c r="G15" s="329"/>
      <c r="H15" s="342"/>
      <c r="I15" s="333"/>
      <c r="J15" s="2" t="s">
        <v>22</v>
      </c>
      <c r="L15" s="36"/>
      <c r="M15" s="158" t="s">
        <v>73</v>
      </c>
      <c r="N15" s="158" t="s">
        <v>70</v>
      </c>
      <c r="P15" s="14">
        <v>90</v>
      </c>
      <c r="Q15" s="14"/>
    </row>
    <row r="16" spans="1:17" x14ac:dyDescent="0.2">
      <c r="A16" s="153" t="s">
        <v>130</v>
      </c>
      <c r="B16" s="91">
        <f>C16-C5</f>
        <v>745</v>
      </c>
      <c r="C16" s="93">
        <v>6801</v>
      </c>
      <c r="D16" s="348"/>
      <c r="E16" s="351"/>
      <c r="F16" s="353"/>
      <c r="G16" s="329"/>
      <c r="H16" s="342"/>
      <c r="I16" s="333"/>
      <c r="J16" s="2" t="s">
        <v>23</v>
      </c>
      <c r="L16" s="36"/>
      <c r="M16" s="158" t="s">
        <v>75</v>
      </c>
      <c r="N16" s="158">
        <v>1070</v>
      </c>
      <c r="Q16" s="14">
        <v>150</v>
      </c>
    </row>
    <row r="17" spans="1:17" x14ac:dyDescent="0.2">
      <c r="A17" s="153"/>
      <c r="B17" s="91"/>
      <c r="C17" s="93"/>
      <c r="D17" s="348"/>
      <c r="E17" s="351"/>
      <c r="F17" s="353"/>
      <c r="G17" s="329"/>
      <c r="H17" s="342"/>
      <c r="I17" s="333"/>
      <c r="J17" s="2" t="s">
        <v>24</v>
      </c>
      <c r="L17" s="36"/>
      <c r="M17" s="158" t="s">
        <v>76</v>
      </c>
      <c r="N17" s="158" t="s">
        <v>20</v>
      </c>
      <c r="O17" s="158">
        <v>60</v>
      </c>
      <c r="Q17" s="14"/>
    </row>
    <row r="18" spans="1:17" x14ac:dyDescent="0.2">
      <c r="A18" s="153"/>
      <c r="B18" s="91"/>
      <c r="C18" s="93"/>
      <c r="D18" s="348"/>
      <c r="E18" s="351"/>
      <c r="F18" s="353"/>
      <c r="G18" s="329"/>
      <c r="H18" s="342"/>
      <c r="I18" s="333"/>
      <c r="J18" s="2" t="s">
        <v>25</v>
      </c>
      <c r="L18" s="36"/>
      <c r="O18" s="158">
        <v>100</v>
      </c>
    </row>
    <row r="19" spans="1:17" x14ac:dyDescent="0.2">
      <c r="A19" s="153"/>
      <c r="B19" s="91"/>
      <c r="C19" s="93"/>
      <c r="D19" s="348"/>
      <c r="E19" s="351"/>
      <c r="F19" s="353"/>
      <c r="G19" s="329"/>
      <c r="H19" s="342"/>
      <c r="I19" s="333"/>
      <c r="J19" s="2" t="s">
        <v>26</v>
      </c>
      <c r="L19" s="36"/>
      <c r="Q19" s="14"/>
    </row>
    <row r="20" spans="1:17" x14ac:dyDescent="0.2">
      <c r="A20" s="153"/>
      <c r="B20" s="91"/>
      <c r="C20" s="93"/>
      <c r="D20" s="348"/>
      <c r="E20" s="351"/>
      <c r="F20" s="353"/>
      <c r="G20" s="329"/>
      <c r="H20" s="342"/>
      <c r="I20" s="333"/>
      <c r="J20" s="2" t="s">
        <v>27</v>
      </c>
      <c r="L20" s="36"/>
    </row>
    <row r="21" spans="1:17" x14ac:dyDescent="0.2">
      <c r="A21" s="153"/>
      <c r="B21" s="91"/>
      <c r="C21" s="93"/>
      <c r="D21" s="348"/>
      <c r="E21" s="351"/>
      <c r="F21" s="353"/>
      <c r="G21" s="329"/>
      <c r="H21" s="342"/>
      <c r="I21" s="333"/>
      <c r="J21" s="2" t="s">
        <v>28</v>
      </c>
      <c r="L21" s="36"/>
      <c r="Q21" s="14"/>
    </row>
    <row r="22" spans="1:17" x14ac:dyDescent="0.2">
      <c r="A22" s="153"/>
      <c r="B22" s="91"/>
      <c r="C22" s="93"/>
      <c r="D22" s="348"/>
      <c r="E22" s="351"/>
      <c r="F22" s="353"/>
      <c r="G22" s="329"/>
      <c r="H22" s="342"/>
      <c r="I22" s="333"/>
      <c r="L22" s="36"/>
    </row>
    <row r="23" spans="1:17" x14ac:dyDescent="0.2">
      <c r="A23" s="153"/>
      <c r="B23" s="91"/>
      <c r="C23" s="93"/>
      <c r="D23" s="348"/>
      <c r="E23" s="351"/>
      <c r="F23" s="353"/>
      <c r="G23" s="329"/>
      <c r="H23" s="342"/>
      <c r="I23" s="333"/>
      <c r="L23" s="36"/>
      <c r="Q23" s="14"/>
    </row>
    <row r="24" spans="1:17" x14ac:dyDescent="0.2">
      <c r="A24" s="153"/>
      <c r="B24" s="91"/>
      <c r="C24" s="93"/>
      <c r="D24" s="348"/>
      <c r="E24" s="351"/>
      <c r="F24" s="353"/>
      <c r="G24" s="329"/>
      <c r="H24" s="342"/>
      <c r="I24" s="333"/>
      <c r="L24" s="36"/>
      <c r="Q24" s="14"/>
    </row>
    <row r="25" spans="1:17" x14ac:dyDescent="0.2">
      <c r="A25" s="153" t="s">
        <v>131</v>
      </c>
      <c r="B25" s="91">
        <f>C25-C16</f>
        <v>589</v>
      </c>
      <c r="C25" s="154">
        <v>7390</v>
      </c>
      <c r="D25" s="348"/>
      <c r="E25" s="351"/>
      <c r="F25" s="353"/>
      <c r="G25" s="329"/>
      <c r="H25" s="342"/>
      <c r="I25" s="333"/>
      <c r="L25" s="36"/>
      <c r="Q25" s="14"/>
    </row>
    <row r="26" spans="1:17" x14ac:dyDescent="0.2">
      <c r="A26" s="153"/>
      <c r="B26" s="91"/>
      <c r="C26" s="93"/>
      <c r="D26" s="348"/>
      <c r="E26" s="351"/>
      <c r="F26" s="353"/>
      <c r="G26" s="329"/>
      <c r="H26" s="342"/>
      <c r="I26" s="333"/>
      <c r="L26" s="36"/>
      <c r="N26" s="158" t="s">
        <v>78</v>
      </c>
      <c r="O26" s="156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A27" s="153"/>
      <c r="B27" s="91"/>
      <c r="C27" s="93"/>
      <c r="D27" s="348"/>
      <c r="E27" s="351"/>
      <c r="F27" s="353"/>
      <c r="G27" s="329"/>
      <c r="H27" s="342"/>
      <c r="I27" s="333"/>
      <c r="L27" s="36"/>
      <c r="N27" s="158" t="s">
        <v>79</v>
      </c>
      <c r="O27" s="158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A28" s="153"/>
      <c r="B28" s="91"/>
      <c r="C28" s="93"/>
      <c r="D28" s="348"/>
      <c r="E28" s="351"/>
      <c r="F28" s="353"/>
      <c r="G28" s="329"/>
      <c r="H28" s="342"/>
      <c r="I28" s="333"/>
      <c r="L28" s="36"/>
      <c r="Q28" s="14"/>
    </row>
    <row r="29" spans="1:17" x14ac:dyDescent="0.2">
      <c r="A29" s="153"/>
      <c r="B29" s="91"/>
      <c r="C29" s="93"/>
      <c r="D29" s="348"/>
      <c r="E29" s="351"/>
      <c r="F29" s="353"/>
      <c r="G29" s="329"/>
      <c r="H29" s="342"/>
      <c r="I29" s="333"/>
      <c r="L29" s="36"/>
      <c r="Q29" s="14"/>
    </row>
    <row r="30" spans="1:17" x14ac:dyDescent="0.2">
      <c r="A30" s="153"/>
      <c r="B30" s="91"/>
      <c r="C30" s="93"/>
      <c r="D30" s="348"/>
      <c r="E30" s="351"/>
      <c r="F30" s="353"/>
      <c r="G30" s="329"/>
      <c r="H30" s="342"/>
      <c r="I30" s="333"/>
      <c r="L30" s="36"/>
    </row>
    <row r="31" spans="1:17" x14ac:dyDescent="0.2">
      <c r="A31" s="153"/>
      <c r="B31" s="91"/>
      <c r="C31" s="93"/>
      <c r="D31" s="348"/>
      <c r="E31" s="351"/>
      <c r="F31" s="353"/>
      <c r="G31" s="329"/>
      <c r="H31" s="342"/>
      <c r="I31" s="333"/>
      <c r="L31" s="36"/>
    </row>
    <row r="32" spans="1:17" x14ac:dyDescent="0.2">
      <c r="A32" s="153"/>
      <c r="B32" s="91">
        <f>C32-C25</f>
        <v>392</v>
      </c>
      <c r="C32" s="154">
        <v>7782</v>
      </c>
      <c r="D32" s="348"/>
      <c r="E32" s="351"/>
      <c r="F32" s="353"/>
      <c r="G32" s="329"/>
      <c r="H32" s="342"/>
      <c r="I32" s="333"/>
      <c r="L32" s="36"/>
    </row>
    <row r="33" spans="1:17" x14ac:dyDescent="0.2">
      <c r="A33" s="153"/>
      <c r="B33" s="91"/>
      <c r="C33" s="93"/>
      <c r="D33" s="348"/>
      <c r="E33" s="351"/>
      <c r="F33" s="353"/>
      <c r="G33" s="329"/>
      <c r="H33" s="342"/>
      <c r="I33" s="333"/>
      <c r="L33" s="36"/>
    </row>
    <row r="34" spans="1:17" x14ac:dyDescent="0.2">
      <c r="A34" s="153"/>
      <c r="B34" s="91"/>
      <c r="C34" s="93"/>
      <c r="D34" s="348"/>
      <c r="E34" s="351"/>
      <c r="F34" s="353"/>
      <c r="G34" s="329"/>
      <c r="H34" s="342"/>
      <c r="I34" s="334"/>
      <c r="L34" s="36"/>
    </row>
    <row r="35" spans="1:17" x14ac:dyDescent="0.2">
      <c r="A35" s="153"/>
      <c r="B35" s="91"/>
      <c r="C35" s="93"/>
      <c r="G35" s="156">
        <f>G5*G4</f>
        <v>487.26000000000005</v>
      </c>
      <c r="H35" s="111">
        <f>H5*H4</f>
        <v>1055.45</v>
      </c>
      <c r="I35" s="159">
        <f>I5*I4</f>
        <v>5863.1742000000004</v>
      </c>
      <c r="L35" s="36"/>
      <c r="N35"/>
      <c r="O35"/>
      <c r="P35"/>
    </row>
    <row r="36" spans="1:17" x14ac:dyDescent="0.2">
      <c r="A36" s="110"/>
      <c r="B36" s="91"/>
      <c r="C36" s="93"/>
      <c r="F36" s="158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SUM(B5:B36)</f>
        <v>1726</v>
      </c>
      <c r="C37" s="121">
        <f>C5+B37</f>
        <v>7782</v>
      </c>
      <c r="F37" s="158" t="s">
        <v>11</v>
      </c>
      <c r="H37" s="359">
        <f>H36+G35+H35+I35</f>
        <v>7444.1042000000007</v>
      </c>
      <c r="I37" s="359"/>
      <c r="L37" s="36"/>
      <c r="N37"/>
      <c r="O37"/>
      <c r="P37"/>
    </row>
    <row r="38" spans="1:17" x14ac:dyDescent="0.2">
      <c r="F38" s="158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58" t="s">
        <v>10</v>
      </c>
      <c r="H39" s="360">
        <f>(H37-H38)*I38</f>
        <v>513.5272940000001</v>
      </c>
      <c r="I39" s="360"/>
      <c r="N39"/>
      <c r="O39"/>
      <c r="P39"/>
    </row>
    <row r="40" spans="1:17" x14ac:dyDescent="0.2">
      <c r="F40" s="158" t="s">
        <v>13</v>
      </c>
      <c r="H40" s="355">
        <f>H37+H39-H38</f>
        <v>7849.6314940000011</v>
      </c>
      <c r="I40" s="355"/>
      <c r="N40"/>
      <c r="O40"/>
      <c r="P40"/>
    </row>
    <row r="41" spans="1:17" x14ac:dyDescent="0.2">
      <c r="F41" s="156" t="s">
        <v>120</v>
      </c>
      <c r="G41" s="156"/>
      <c r="H41" s="355">
        <v>0</v>
      </c>
      <c r="I41" s="355"/>
      <c r="J41" s="158"/>
      <c r="K41" s="2"/>
      <c r="N41"/>
      <c r="O41"/>
      <c r="P41"/>
    </row>
    <row r="44" spans="1:17" x14ac:dyDescent="0.2">
      <c r="M44" s="6"/>
      <c r="P44" s="158"/>
      <c r="Q44" s="14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F9C4-1B0B-409A-817A-58FB2D3EF583}">
  <dimension ref="A1:Q44"/>
  <sheetViews>
    <sheetView workbookViewId="0">
      <selection activeCell="B6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60" customWidth="1"/>
    <col min="4" max="4" width="9" style="162"/>
    <col min="5" max="6" width="13" style="162" customWidth="1"/>
    <col min="7" max="7" width="12.5" style="162" customWidth="1"/>
    <col min="8" max="9" width="12.375" style="162" customWidth="1"/>
    <col min="10" max="10" width="50.25" style="2" bestFit="1" customWidth="1"/>
    <col min="11" max="11" width="7.25" style="162" bestFit="1" customWidth="1"/>
    <col min="12" max="12" width="16.25" style="162" customWidth="1"/>
    <col min="13" max="15" width="9" style="162"/>
    <col min="16" max="16" width="9" style="14"/>
  </cols>
  <sheetData>
    <row r="1" spans="1:16" ht="15" thickBot="1" x14ac:dyDescent="0.25"/>
    <row r="2" spans="1:16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6" ht="15" thickTop="1" x14ac:dyDescent="0.2">
      <c r="E3" s="37"/>
      <c r="F3" s="37"/>
      <c r="G3" s="162" t="s">
        <v>67</v>
      </c>
      <c r="H3" s="162" t="s">
        <v>68</v>
      </c>
      <c r="I3" s="162" t="s">
        <v>69</v>
      </c>
      <c r="M3"/>
      <c r="N3"/>
      <c r="O3"/>
      <c r="P3"/>
    </row>
    <row r="4" spans="1:16" x14ac:dyDescent="0.2">
      <c r="A4" s="22" t="s">
        <v>17</v>
      </c>
      <c r="B4" s="90" t="s">
        <v>8</v>
      </c>
      <c r="C4" s="160" t="s">
        <v>16</v>
      </c>
      <c r="D4" s="162" t="s">
        <v>6</v>
      </c>
      <c r="E4" s="162" t="s">
        <v>7</v>
      </c>
      <c r="F4" s="162" t="s">
        <v>14</v>
      </c>
      <c r="G4" s="162">
        <f>L5</f>
        <v>3.2484000000000002</v>
      </c>
      <c r="H4" s="162">
        <f>L6</f>
        <v>4.2218</v>
      </c>
      <c r="I4" s="162">
        <v>4.4217000000000004</v>
      </c>
      <c r="L4" s="162" t="s">
        <v>4</v>
      </c>
      <c r="M4"/>
      <c r="N4"/>
      <c r="O4"/>
      <c r="P4"/>
    </row>
    <row r="5" spans="1:16" x14ac:dyDescent="0.2">
      <c r="A5" s="153"/>
      <c r="B5" s="90">
        <v>5</v>
      </c>
      <c r="C5" s="93">
        <v>5</v>
      </c>
      <c r="D5" s="361">
        <f>C5</f>
        <v>5</v>
      </c>
      <c r="E5" s="356">
        <f>C37-D5</f>
        <v>1377</v>
      </c>
      <c r="F5" s="353"/>
      <c r="G5" s="329">
        <v>150</v>
      </c>
      <c r="H5" s="342">
        <v>250</v>
      </c>
      <c r="I5" s="357">
        <f>E5-G5-H5</f>
        <v>977</v>
      </c>
      <c r="J5" s="2" t="s">
        <v>0</v>
      </c>
      <c r="K5" s="162" t="s">
        <v>1</v>
      </c>
      <c r="L5" s="162">
        <v>3.2484000000000002</v>
      </c>
      <c r="M5"/>
      <c r="N5"/>
      <c r="O5"/>
      <c r="P5"/>
    </row>
    <row r="6" spans="1:16" x14ac:dyDescent="0.2">
      <c r="A6" s="153"/>
      <c r="B6" s="91"/>
      <c r="C6" s="93"/>
      <c r="D6" s="348"/>
      <c r="E6" s="351"/>
      <c r="F6" s="353"/>
      <c r="G6" s="329"/>
      <c r="H6" s="342"/>
      <c r="I6" s="333"/>
      <c r="J6" s="2" t="s">
        <v>2</v>
      </c>
      <c r="K6" s="162" t="s">
        <v>1</v>
      </c>
      <c r="L6" s="162">
        <v>4.2218</v>
      </c>
      <c r="M6"/>
      <c r="N6"/>
      <c r="O6"/>
      <c r="P6"/>
    </row>
    <row r="7" spans="1:16" x14ac:dyDescent="0.2">
      <c r="A7" s="153"/>
      <c r="B7" s="91"/>
      <c r="C7" s="93"/>
      <c r="D7" s="348"/>
      <c r="E7" s="351"/>
      <c r="F7" s="353"/>
      <c r="G7" s="329"/>
      <c r="H7" s="342"/>
      <c r="I7" s="333"/>
      <c r="J7" s="2" t="s">
        <v>3</v>
      </c>
      <c r="K7" s="162" t="s">
        <v>1</v>
      </c>
      <c r="L7" s="162">
        <v>4.4217000000000004</v>
      </c>
      <c r="M7"/>
      <c r="N7"/>
      <c r="O7"/>
      <c r="P7"/>
    </row>
    <row r="8" spans="1:16" x14ac:dyDescent="0.2">
      <c r="A8" s="153"/>
      <c r="B8" s="91"/>
      <c r="C8" s="93"/>
      <c r="D8" s="348"/>
      <c r="E8" s="351"/>
      <c r="F8" s="353"/>
      <c r="G8" s="329"/>
      <c r="H8" s="342"/>
      <c r="I8" s="333"/>
      <c r="J8" s="2" t="s">
        <v>5</v>
      </c>
      <c r="L8" s="162">
        <v>38.22</v>
      </c>
      <c r="M8"/>
      <c r="N8"/>
      <c r="O8"/>
      <c r="P8"/>
    </row>
    <row r="9" spans="1:16" x14ac:dyDescent="0.2">
      <c r="A9" s="153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153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153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153"/>
      <c r="B12" s="91"/>
      <c r="C12" s="93"/>
      <c r="D12" s="348"/>
      <c r="E12" s="351"/>
      <c r="F12" s="353"/>
      <c r="G12" s="329"/>
      <c r="H12" s="342"/>
      <c r="I12" s="333"/>
      <c r="M12"/>
      <c r="N12"/>
      <c r="O12"/>
      <c r="P12"/>
    </row>
    <row r="13" spans="1:16" x14ac:dyDescent="0.2">
      <c r="A13" s="153"/>
      <c r="B13" s="91"/>
      <c r="D13" s="348"/>
      <c r="E13" s="351"/>
      <c r="F13" s="353"/>
      <c r="G13" s="329"/>
      <c r="H13" s="342"/>
      <c r="I13" s="333"/>
      <c r="M13"/>
      <c r="N13"/>
      <c r="O13"/>
      <c r="P13"/>
    </row>
    <row r="14" spans="1:16" x14ac:dyDescent="0.2">
      <c r="A14" s="153" t="s">
        <v>132</v>
      </c>
      <c r="B14" s="91">
        <f>C14-C5</f>
        <v>723</v>
      </c>
      <c r="C14" s="93">
        <v>728</v>
      </c>
      <c r="D14" s="348"/>
      <c r="E14" s="351"/>
      <c r="F14" s="353"/>
      <c r="G14" s="329"/>
      <c r="H14" s="342"/>
      <c r="I14" s="333"/>
      <c r="L14" s="36"/>
      <c r="M14"/>
      <c r="N14"/>
      <c r="O14"/>
      <c r="P14"/>
    </row>
    <row r="15" spans="1:16" x14ac:dyDescent="0.2">
      <c r="A15" s="153"/>
      <c r="B15" s="91"/>
      <c r="C15" s="93"/>
      <c r="D15" s="348"/>
      <c r="E15" s="351"/>
      <c r="F15" s="353"/>
      <c r="G15" s="329"/>
      <c r="H15" s="342"/>
      <c r="I15" s="333"/>
      <c r="J15" s="2" t="s">
        <v>22</v>
      </c>
      <c r="L15" s="36"/>
      <c r="M15"/>
      <c r="N15"/>
      <c r="O15"/>
      <c r="P15"/>
    </row>
    <row r="16" spans="1:16" x14ac:dyDescent="0.2">
      <c r="A16" s="153"/>
      <c r="B16" s="91"/>
      <c r="C16" s="93"/>
      <c r="D16" s="348"/>
      <c r="E16" s="351"/>
      <c r="F16" s="353"/>
      <c r="G16" s="329"/>
      <c r="H16" s="342"/>
      <c r="I16" s="333"/>
      <c r="J16" s="2" t="s">
        <v>23</v>
      </c>
      <c r="L16" s="36"/>
      <c r="M16"/>
      <c r="N16"/>
      <c r="O16"/>
      <c r="P16"/>
    </row>
    <row r="17" spans="1:16" x14ac:dyDescent="0.2">
      <c r="A17" s="153"/>
      <c r="B17" s="91"/>
      <c r="C17" s="93"/>
      <c r="D17" s="348"/>
      <c r="E17" s="351"/>
      <c r="F17" s="353"/>
      <c r="G17" s="329"/>
      <c r="H17" s="342"/>
      <c r="I17" s="333"/>
      <c r="J17" s="2" t="s">
        <v>24</v>
      </c>
      <c r="L17" s="36"/>
      <c r="M17"/>
      <c r="N17"/>
      <c r="O17"/>
      <c r="P17"/>
    </row>
    <row r="18" spans="1:16" x14ac:dyDescent="0.2">
      <c r="A18" s="153"/>
      <c r="B18" s="91"/>
      <c r="C18" s="93"/>
      <c r="D18" s="348"/>
      <c r="E18" s="351"/>
      <c r="F18" s="353"/>
      <c r="G18" s="329"/>
      <c r="H18" s="342"/>
      <c r="I18" s="333"/>
      <c r="J18" s="2" t="s">
        <v>25</v>
      </c>
      <c r="L18" s="36"/>
      <c r="M18"/>
      <c r="N18"/>
      <c r="O18"/>
      <c r="P18"/>
    </row>
    <row r="19" spans="1:16" x14ac:dyDescent="0.2">
      <c r="A19" s="153"/>
      <c r="B19" s="91"/>
      <c r="C19" s="93"/>
      <c r="D19" s="348"/>
      <c r="E19" s="351"/>
      <c r="F19" s="353"/>
      <c r="G19" s="329"/>
      <c r="H19" s="342"/>
      <c r="I19" s="333"/>
      <c r="J19" s="2" t="s">
        <v>26</v>
      </c>
      <c r="L19" s="36"/>
      <c r="M19"/>
      <c r="N19"/>
      <c r="O19"/>
      <c r="P19"/>
    </row>
    <row r="20" spans="1:16" x14ac:dyDescent="0.2">
      <c r="A20" s="153"/>
      <c r="B20" s="91"/>
      <c r="C20" s="93"/>
      <c r="D20" s="348"/>
      <c r="E20" s="351"/>
      <c r="F20" s="353"/>
      <c r="G20" s="329"/>
      <c r="H20" s="342"/>
      <c r="I20" s="333"/>
      <c r="J20" s="2" t="s">
        <v>27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48"/>
      <c r="E21" s="351"/>
      <c r="F21" s="353"/>
      <c r="G21" s="329"/>
      <c r="H21" s="342"/>
      <c r="I21" s="333"/>
      <c r="J21" s="2" t="s">
        <v>28</v>
      </c>
      <c r="L21" s="36"/>
      <c r="M21"/>
      <c r="N21"/>
      <c r="O21"/>
      <c r="P21"/>
    </row>
    <row r="22" spans="1:16" x14ac:dyDescent="0.2">
      <c r="A22" s="153"/>
      <c r="B22" s="91"/>
      <c r="C22" s="93"/>
      <c r="D22" s="348"/>
      <c r="E22" s="351"/>
      <c r="F22" s="353"/>
      <c r="G22" s="329"/>
      <c r="H22" s="342"/>
      <c r="I22" s="333"/>
      <c r="L22" s="36"/>
      <c r="M22"/>
      <c r="N22"/>
      <c r="O22"/>
      <c r="P22"/>
    </row>
    <row r="23" spans="1:16" x14ac:dyDescent="0.2">
      <c r="A23" s="153" t="s">
        <v>133</v>
      </c>
      <c r="B23" s="91">
        <f>C23-C14</f>
        <v>545</v>
      </c>
      <c r="C23" s="93">
        <v>1273</v>
      </c>
      <c r="D23" s="348"/>
      <c r="E23" s="351"/>
      <c r="F23" s="353"/>
      <c r="G23" s="329"/>
      <c r="H23" s="342"/>
      <c r="I23" s="333"/>
      <c r="L23" s="36"/>
      <c r="M23"/>
      <c r="N23"/>
      <c r="O23"/>
      <c r="P23"/>
    </row>
    <row r="24" spans="1:16" x14ac:dyDescent="0.2">
      <c r="A24" s="153"/>
      <c r="B24" s="91"/>
      <c r="C24" s="93"/>
      <c r="D24" s="348"/>
      <c r="E24" s="351"/>
      <c r="F24" s="353"/>
      <c r="G24" s="329"/>
      <c r="H24" s="342"/>
      <c r="I24" s="333"/>
      <c r="L24" s="36"/>
      <c r="M24"/>
      <c r="N24"/>
      <c r="O24"/>
      <c r="P24"/>
    </row>
    <row r="25" spans="1:16" x14ac:dyDescent="0.2">
      <c r="A25" s="153" t="s">
        <v>134</v>
      </c>
      <c r="B25" s="91">
        <f>C25-C23</f>
        <v>104</v>
      </c>
      <c r="C25" s="160">
        <v>1377</v>
      </c>
      <c r="D25" s="348"/>
      <c r="E25" s="351"/>
      <c r="F25" s="353"/>
      <c r="G25" s="329"/>
      <c r="H25" s="342"/>
      <c r="I25" s="333"/>
      <c r="L25" s="36"/>
      <c r="M25"/>
      <c r="N25"/>
      <c r="O25"/>
      <c r="P25"/>
    </row>
    <row r="26" spans="1:16" x14ac:dyDescent="0.2">
      <c r="A26" s="153"/>
      <c r="B26" s="91"/>
      <c r="C26" s="93"/>
      <c r="D26" s="348"/>
      <c r="E26" s="351"/>
      <c r="F26" s="353"/>
      <c r="G26" s="329"/>
      <c r="H26" s="342"/>
      <c r="I26" s="333"/>
      <c r="L26" s="36"/>
      <c r="M26"/>
      <c r="N26"/>
      <c r="O26"/>
      <c r="P26"/>
    </row>
    <row r="27" spans="1:16" x14ac:dyDescent="0.2">
      <c r="A27" s="153"/>
      <c r="B27" s="91"/>
      <c r="C27" s="93"/>
      <c r="D27" s="348"/>
      <c r="E27" s="351"/>
      <c r="F27" s="353"/>
      <c r="G27" s="329"/>
      <c r="H27" s="342"/>
      <c r="I27" s="333"/>
      <c r="L27" s="36"/>
      <c r="M27"/>
      <c r="N27"/>
      <c r="O27"/>
      <c r="P27"/>
    </row>
    <row r="28" spans="1:16" x14ac:dyDescent="0.2">
      <c r="A28" s="153"/>
      <c r="B28" s="91"/>
      <c r="C28" s="93"/>
      <c r="D28" s="348"/>
      <c r="E28" s="351"/>
      <c r="F28" s="353"/>
      <c r="G28" s="329"/>
      <c r="H28" s="342"/>
      <c r="I28" s="333"/>
      <c r="L28" s="36"/>
      <c r="M28"/>
      <c r="N28"/>
      <c r="O28"/>
      <c r="P28"/>
    </row>
    <row r="29" spans="1:16" x14ac:dyDescent="0.2">
      <c r="A29" s="153"/>
      <c r="B29" s="91"/>
      <c r="C29" s="93"/>
      <c r="D29" s="348"/>
      <c r="E29" s="351"/>
      <c r="F29" s="353"/>
      <c r="G29" s="329"/>
      <c r="H29" s="342"/>
      <c r="I29" s="333"/>
      <c r="L29" s="36"/>
      <c r="M29"/>
      <c r="N29"/>
      <c r="O29"/>
      <c r="P29"/>
    </row>
    <row r="30" spans="1:16" x14ac:dyDescent="0.2">
      <c r="A30" s="153"/>
      <c r="B30" s="91"/>
      <c r="C30" s="93"/>
      <c r="D30" s="348"/>
      <c r="E30" s="351"/>
      <c r="F30" s="353"/>
      <c r="G30" s="329"/>
      <c r="H30" s="342"/>
      <c r="I30" s="333"/>
      <c r="L30" s="36"/>
      <c r="M30"/>
      <c r="N30"/>
      <c r="O30"/>
      <c r="P30"/>
    </row>
    <row r="31" spans="1:16" x14ac:dyDescent="0.2">
      <c r="A31" s="153"/>
      <c r="B31" s="91"/>
      <c r="C31" s="93"/>
      <c r="D31" s="348"/>
      <c r="E31" s="351"/>
      <c r="F31" s="353"/>
      <c r="G31" s="329"/>
      <c r="H31" s="342"/>
      <c r="I31" s="333"/>
      <c r="L31" s="36"/>
    </row>
    <row r="32" spans="1:16" x14ac:dyDescent="0.2">
      <c r="A32" s="153"/>
      <c r="B32" s="91"/>
      <c r="D32" s="348"/>
      <c r="E32" s="351"/>
      <c r="F32" s="353"/>
      <c r="G32" s="329"/>
      <c r="H32" s="342"/>
      <c r="I32" s="333"/>
      <c r="L32" s="36"/>
    </row>
    <row r="33" spans="1:17" x14ac:dyDescent="0.2">
      <c r="A33" s="153"/>
      <c r="B33" s="91"/>
      <c r="C33" s="93"/>
      <c r="D33" s="348"/>
      <c r="E33" s="351"/>
      <c r="F33" s="353"/>
      <c r="G33" s="329"/>
      <c r="H33" s="342"/>
      <c r="I33" s="333"/>
      <c r="L33" s="36"/>
    </row>
    <row r="34" spans="1:17" x14ac:dyDescent="0.2">
      <c r="A34" s="153"/>
      <c r="B34" s="91"/>
      <c r="C34" s="93"/>
      <c r="D34" s="348"/>
      <c r="E34" s="351"/>
      <c r="F34" s="353"/>
      <c r="G34" s="329"/>
      <c r="H34" s="342"/>
      <c r="I34" s="334"/>
      <c r="L34" s="36"/>
    </row>
    <row r="35" spans="1:17" x14ac:dyDescent="0.2">
      <c r="A35" s="153"/>
      <c r="B35" s="91"/>
      <c r="C35" s="93"/>
      <c r="G35" s="161">
        <f>G5*G4</f>
        <v>487.26000000000005</v>
      </c>
      <c r="H35" s="111">
        <f>H5*H4</f>
        <v>1055.45</v>
      </c>
      <c r="I35" s="163">
        <f>I5*I4</f>
        <v>4320.0009</v>
      </c>
      <c r="L35" s="36"/>
      <c r="N35"/>
      <c r="O35"/>
      <c r="P35"/>
    </row>
    <row r="36" spans="1:17" x14ac:dyDescent="0.2">
      <c r="A36" s="110"/>
      <c r="B36" s="91"/>
      <c r="C36" s="93"/>
      <c r="F36" s="162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SUM(B5:B36)</f>
        <v>1377</v>
      </c>
      <c r="C37" s="121">
        <f>C5+B37</f>
        <v>1382</v>
      </c>
      <c r="F37" s="162" t="s">
        <v>11</v>
      </c>
      <c r="H37" s="359">
        <f>H36+G35+H35+I35</f>
        <v>5900.9309000000003</v>
      </c>
      <c r="I37" s="359"/>
      <c r="L37" s="36"/>
      <c r="N37"/>
      <c r="O37"/>
      <c r="P37"/>
    </row>
    <row r="38" spans="1:17" x14ac:dyDescent="0.2">
      <c r="F38" s="162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62" t="s">
        <v>10</v>
      </c>
      <c r="H39" s="360">
        <f>(H37-H38)*I38</f>
        <v>405.50516300000004</v>
      </c>
      <c r="I39" s="360"/>
      <c r="N39"/>
      <c r="O39"/>
      <c r="P39"/>
    </row>
    <row r="40" spans="1:17" x14ac:dyDescent="0.2">
      <c r="F40" s="162" t="s">
        <v>13</v>
      </c>
      <c r="H40" s="355">
        <f>H37+H39-H38</f>
        <v>6198.4360630000001</v>
      </c>
      <c r="I40" s="355"/>
      <c r="N40"/>
      <c r="O40"/>
      <c r="P40"/>
    </row>
    <row r="41" spans="1:17" x14ac:dyDescent="0.2">
      <c r="F41" s="161" t="s">
        <v>120</v>
      </c>
      <c r="G41" s="161"/>
      <c r="H41" s="355">
        <v>0</v>
      </c>
      <c r="I41" s="355"/>
      <c r="J41" s="162"/>
      <c r="K41" s="2"/>
      <c r="N41"/>
      <c r="O41"/>
      <c r="P41"/>
    </row>
    <row r="44" spans="1:17" x14ac:dyDescent="0.2">
      <c r="M44" s="6"/>
      <c r="P44" s="162"/>
      <c r="Q44" s="14"/>
    </row>
  </sheetData>
  <mergeCells count="12">
    <mergeCell ref="D2:I2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0BA6-A82E-48C2-B070-D41DFAC68ED0}">
  <dimension ref="A1:Q44"/>
  <sheetViews>
    <sheetView workbookViewId="0">
      <selection activeCell="B35" sqref="B35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64" customWidth="1"/>
    <col min="4" max="4" width="9" style="166"/>
    <col min="5" max="6" width="13" style="166" customWidth="1"/>
    <col min="7" max="7" width="12.5" style="166" customWidth="1"/>
    <col min="8" max="9" width="12.375" style="166" customWidth="1"/>
    <col min="10" max="10" width="50.25" style="2" bestFit="1" customWidth="1"/>
    <col min="11" max="11" width="7.25" style="166" bestFit="1" customWidth="1"/>
    <col min="12" max="12" width="16.25" style="166" customWidth="1"/>
    <col min="13" max="15" width="9" style="166"/>
    <col min="16" max="16" width="9" style="14"/>
  </cols>
  <sheetData>
    <row r="1" spans="1:16" ht="15" thickBot="1" x14ac:dyDescent="0.25"/>
    <row r="2" spans="1:16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6" ht="15" thickTop="1" x14ac:dyDescent="0.2">
      <c r="E3" s="37"/>
      <c r="F3" s="37"/>
      <c r="G3" s="166" t="s">
        <v>67</v>
      </c>
      <c r="H3" s="166" t="s">
        <v>68</v>
      </c>
      <c r="I3" s="166" t="s">
        <v>69</v>
      </c>
      <c r="M3"/>
      <c r="N3"/>
      <c r="O3"/>
      <c r="P3"/>
    </row>
    <row r="4" spans="1:16" x14ac:dyDescent="0.2">
      <c r="A4" s="22" t="s">
        <v>17</v>
      </c>
      <c r="B4" s="90" t="s">
        <v>8</v>
      </c>
      <c r="C4" s="164" t="s">
        <v>16</v>
      </c>
      <c r="D4" s="166" t="s">
        <v>6</v>
      </c>
      <c r="E4" s="166" t="s">
        <v>7</v>
      </c>
      <c r="F4" s="166" t="s">
        <v>14</v>
      </c>
      <c r="G4" s="166">
        <f>L5</f>
        <v>3.2484000000000002</v>
      </c>
      <c r="H4" s="166">
        <f>L6</f>
        <v>4.2218</v>
      </c>
      <c r="I4" s="166">
        <v>4.4217000000000004</v>
      </c>
      <c r="L4" s="166" t="s">
        <v>4</v>
      </c>
      <c r="M4"/>
      <c r="N4"/>
      <c r="O4"/>
      <c r="P4"/>
    </row>
    <row r="5" spans="1:16" x14ac:dyDescent="0.2">
      <c r="A5" s="153"/>
      <c r="B5" s="90">
        <v>0</v>
      </c>
      <c r="C5" s="93">
        <v>1977</v>
      </c>
      <c r="D5" s="361">
        <f>C5</f>
        <v>1977</v>
      </c>
      <c r="E5" s="356">
        <f>C37-D5</f>
        <v>1862</v>
      </c>
      <c r="F5" s="353"/>
      <c r="G5" s="329">
        <v>150</v>
      </c>
      <c r="H5" s="342">
        <v>250</v>
      </c>
      <c r="I5" s="357">
        <f>E5-G5-H5</f>
        <v>1462</v>
      </c>
      <c r="J5" s="2" t="s">
        <v>0</v>
      </c>
      <c r="K5" s="166" t="s">
        <v>1</v>
      </c>
      <c r="L5" s="166">
        <v>3.2484000000000002</v>
      </c>
      <c r="M5"/>
      <c r="N5"/>
      <c r="O5"/>
      <c r="P5"/>
    </row>
    <row r="6" spans="1:16" x14ac:dyDescent="0.2">
      <c r="A6" s="153"/>
      <c r="B6" s="91"/>
      <c r="C6" s="93"/>
      <c r="D6" s="348"/>
      <c r="E6" s="351"/>
      <c r="F6" s="353"/>
      <c r="G6" s="329"/>
      <c r="H6" s="342"/>
      <c r="I6" s="333"/>
      <c r="J6" s="2" t="s">
        <v>2</v>
      </c>
      <c r="K6" s="166" t="s">
        <v>1</v>
      </c>
      <c r="L6" s="166">
        <v>4.2218</v>
      </c>
      <c r="M6"/>
      <c r="N6"/>
      <c r="O6"/>
      <c r="P6"/>
    </row>
    <row r="7" spans="1:16" x14ac:dyDescent="0.2">
      <c r="A7" s="153"/>
      <c r="B7" s="91"/>
      <c r="C7" s="93"/>
      <c r="D7" s="348"/>
      <c r="E7" s="351"/>
      <c r="F7" s="353"/>
      <c r="G7" s="329"/>
      <c r="H7" s="342"/>
      <c r="I7" s="333"/>
      <c r="J7" s="2" t="s">
        <v>3</v>
      </c>
      <c r="K7" s="166" t="s">
        <v>1</v>
      </c>
      <c r="L7" s="166">
        <v>4.4217000000000004</v>
      </c>
      <c r="M7"/>
      <c r="N7"/>
      <c r="O7"/>
      <c r="P7"/>
    </row>
    <row r="8" spans="1:16" x14ac:dyDescent="0.2">
      <c r="A8" s="153"/>
      <c r="B8" s="91"/>
      <c r="C8" s="93"/>
      <c r="D8" s="348"/>
      <c r="E8" s="351"/>
      <c r="F8" s="353"/>
      <c r="G8" s="329"/>
      <c r="H8" s="342"/>
      <c r="I8" s="333"/>
      <c r="J8" s="2" t="s">
        <v>5</v>
      </c>
      <c r="L8" s="166">
        <v>38.22</v>
      </c>
      <c r="M8"/>
      <c r="N8"/>
      <c r="O8"/>
      <c r="P8"/>
    </row>
    <row r="9" spans="1:16" x14ac:dyDescent="0.2">
      <c r="A9" s="153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153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153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153"/>
      <c r="B12" s="91"/>
      <c r="C12" s="93"/>
      <c r="D12" s="348"/>
      <c r="E12" s="351"/>
      <c r="F12" s="353"/>
      <c r="G12" s="329"/>
      <c r="H12" s="342"/>
      <c r="I12" s="333"/>
      <c r="M12"/>
      <c r="N12"/>
      <c r="O12"/>
      <c r="P12"/>
    </row>
    <row r="13" spans="1:16" x14ac:dyDescent="0.2">
      <c r="A13" s="153"/>
      <c r="B13" s="91"/>
      <c r="D13" s="348"/>
      <c r="E13" s="351"/>
      <c r="F13" s="353"/>
      <c r="G13" s="329"/>
      <c r="H13" s="342"/>
      <c r="I13" s="333"/>
      <c r="M13"/>
      <c r="N13"/>
      <c r="O13"/>
      <c r="P13"/>
    </row>
    <row r="14" spans="1:16" x14ac:dyDescent="0.2">
      <c r="A14" s="153"/>
      <c r="B14" s="91"/>
      <c r="C14" s="93"/>
      <c r="D14" s="348"/>
      <c r="E14" s="351"/>
      <c r="F14" s="353"/>
      <c r="G14" s="329"/>
      <c r="H14" s="342"/>
      <c r="I14" s="333"/>
      <c r="L14" s="36"/>
      <c r="M14"/>
      <c r="N14"/>
      <c r="O14"/>
      <c r="P14"/>
    </row>
    <row r="15" spans="1:16" x14ac:dyDescent="0.2">
      <c r="A15" s="153"/>
      <c r="B15" s="91"/>
      <c r="C15" s="93"/>
      <c r="D15" s="348"/>
      <c r="E15" s="351"/>
      <c r="F15" s="353"/>
      <c r="G15" s="329"/>
      <c r="H15" s="342"/>
      <c r="I15" s="333"/>
      <c r="J15" s="2" t="s">
        <v>22</v>
      </c>
      <c r="L15" s="36"/>
      <c r="M15"/>
      <c r="N15"/>
      <c r="O15"/>
      <c r="P15"/>
    </row>
    <row r="16" spans="1:16" x14ac:dyDescent="0.2">
      <c r="A16" s="153"/>
      <c r="B16" s="91">
        <f>C16-C5</f>
        <v>769</v>
      </c>
      <c r="C16" s="93">
        <v>2746</v>
      </c>
      <c r="D16" s="348"/>
      <c r="E16" s="351"/>
      <c r="F16" s="353"/>
      <c r="G16" s="329"/>
      <c r="H16" s="342"/>
      <c r="I16" s="333"/>
      <c r="J16" s="2" t="s">
        <v>23</v>
      </c>
      <c r="L16" s="36"/>
      <c r="M16"/>
      <c r="N16"/>
      <c r="O16"/>
      <c r="P16"/>
    </row>
    <row r="17" spans="1:16" x14ac:dyDescent="0.2">
      <c r="A17" s="153"/>
      <c r="B17" s="91"/>
      <c r="C17" s="93"/>
      <c r="D17" s="348"/>
      <c r="E17" s="351"/>
      <c r="F17" s="353"/>
      <c r="G17" s="329"/>
      <c r="H17" s="342"/>
      <c r="I17" s="333"/>
      <c r="J17" s="2" t="s">
        <v>24</v>
      </c>
      <c r="L17" s="36"/>
      <c r="M17"/>
      <c r="N17"/>
      <c r="O17"/>
      <c r="P17"/>
    </row>
    <row r="18" spans="1:16" x14ac:dyDescent="0.2">
      <c r="A18" s="153"/>
      <c r="B18" s="91"/>
      <c r="C18" s="93"/>
      <c r="D18" s="348"/>
      <c r="E18" s="351"/>
      <c r="F18" s="353"/>
      <c r="G18" s="329"/>
      <c r="H18" s="342"/>
      <c r="I18" s="333"/>
      <c r="J18" s="2" t="s">
        <v>25</v>
      </c>
      <c r="L18" s="36"/>
      <c r="M18"/>
      <c r="N18"/>
      <c r="O18"/>
      <c r="P18"/>
    </row>
    <row r="19" spans="1:16" x14ac:dyDescent="0.2">
      <c r="A19" s="153"/>
      <c r="B19" s="91"/>
      <c r="C19" s="93"/>
      <c r="D19" s="348"/>
      <c r="E19" s="351"/>
      <c r="F19" s="353"/>
      <c r="G19" s="329"/>
      <c r="H19" s="342"/>
      <c r="I19" s="333"/>
      <c r="J19" s="2" t="s">
        <v>26</v>
      </c>
      <c r="L19" s="36"/>
      <c r="M19"/>
      <c r="N19"/>
      <c r="O19"/>
      <c r="P19"/>
    </row>
    <row r="20" spans="1:16" x14ac:dyDescent="0.2">
      <c r="A20" s="153"/>
      <c r="B20" s="91"/>
      <c r="C20" s="93"/>
      <c r="D20" s="348"/>
      <c r="E20" s="351"/>
      <c r="F20" s="353"/>
      <c r="G20" s="329"/>
      <c r="H20" s="342"/>
      <c r="I20" s="333"/>
      <c r="J20" s="2" t="s">
        <v>27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48"/>
      <c r="E21" s="351"/>
      <c r="F21" s="353"/>
      <c r="G21" s="329"/>
      <c r="H21" s="342"/>
      <c r="I21" s="333"/>
      <c r="J21" s="2" t="s">
        <v>28</v>
      </c>
      <c r="L21" s="36"/>
      <c r="M21"/>
      <c r="N21"/>
      <c r="O21"/>
      <c r="P21"/>
    </row>
    <row r="22" spans="1:16" x14ac:dyDescent="0.2">
      <c r="A22" s="153"/>
      <c r="B22" s="91"/>
      <c r="C22" s="93"/>
      <c r="D22" s="348"/>
      <c r="E22" s="351"/>
      <c r="F22" s="353"/>
      <c r="G22" s="329"/>
      <c r="H22" s="342"/>
      <c r="I22" s="333"/>
      <c r="L22" s="36"/>
      <c r="M22"/>
      <c r="N22"/>
      <c r="O22"/>
      <c r="P22"/>
    </row>
    <row r="23" spans="1:16" x14ac:dyDescent="0.2">
      <c r="A23" s="153"/>
      <c r="B23" s="91"/>
      <c r="C23" s="93"/>
      <c r="D23" s="348"/>
      <c r="E23" s="351"/>
      <c r="F23" s="353"/>
      <c r="G23" s="329"/>
      <c r="H23" s="342"/>
      <c r="I23" s="333"/>
      <c r="L23" s="36"/>
      <c r="M23"/>
      <c r="N23"/>
      <c r="O23"/>
      <c r="P23"/>
    </row>
    <row r="24" spans="1:16" x14ac:dyDescent="0.2">
      <c r="A24" s="153"/>
      <c r="B24" s="91"/>
      <c r="C24" s="93"/>
      <c r="D24" s="348"/>
      <c r="E24" s="351"/>
      <c r="F24" s="353"/>
      <c r="G24" s="329"/>
      <c r="H24" s="342"/>
      <c r="I24" s="333"/>
      <c r="L24" s="36"/>
      <c r="M24"/>
      <c r="N24"/>
      <c r="O24"/>
      <c r="P24"/>
    </row>
    <row r="25" spans="1:16" x14ac:dyDescent="0.2">
      <c r="A25" s="153"/>
      <c r="B25" s="91"/>
      <c r="D25" s="348"/>
      <c r="E25" s="351"/>
      <c r="F25" s="353"/>
      <c r="G25" s="329"/>
      <c r="H25" s="342"/>
      <c r="I25" s="333"/>
      <c r="L25" s="36"/>
      <c r="M25"/>
      <c r="N25"/>
      <c r="O25"/>
      <c r="P25"/>
    </row>
    <row r="26" spans="1:16" x14ac:dyDescent="0.2">
      <c r="A26" s="153"/>
      <c r="B26" s="91"/>
      <c r="C26" s="93"/>
      <c r="D26" s="348"/>
      <c r="E26" s="351"/>
      <c r="F26" s="353"/>
      <c r="G26" s="329"/>
      <c r="H26" s="342"/>
      <c r="I26" s="333"/>
      <c r="L26" s="36"/>
      <c r="M26"/>
      <c r="N26"/>
      <c r="O26"/>
      <c r="P26"/>
    </row>
    <row r="27" spans="1:16" x14ac:dyDescent="0.2">
      <c r="A27" s="153" t="s">
        <v>135</v>
      </c>
      <c r="B27" s="91">
        <f>C27-C16</f>
        <v>678</v>
      </c>
      <c r="C27" s="93">
        <v>3424</v>
      </c>
      <c r="D27" s="348"/>
      <c r="E27" s="351"/>
      <c r="F27" s="353"/>
      <c r="G27" s="329"/>
      <c r="H27" s="342"/>
      <c r="I27" s="333"/>
      <c r="L27" s="36"/>
      <c r="M27"/>
      <c r="N27"/>
      <c r="O27"/>
      <c r="P27"/>
    </row>
    <row r="28" spans="1:16" x14ac:dyDescent="0.2">
      <c r="A28" s="153"/>
      <c r="B28" s="91"/>
      <c r="C28" s="93"/>
      <c r="D28" s="348"/>
      <c r="E28" s="351"/>
      <c r="F28" s="353"/>
      <c r="G28" s="329"/>
      <c r="H28" s="342"/>
      <c r="I28" s="333"/>
      <c r="L28" s="36"/>
      <c r="M28"/>
      <c r="N28"/>
      <c r="O28"/>
      <c r="P28"/>
    </row>
    <row r="29" spans="1:16" x14ac:dyDescent="0.2">
      <c r="A29" s="153" t="s">
        <v>136</v>
      </c>
      <c r="B29" s="91">
        <f>C29-C27</f>
        <v>127</v>
      </c>
      <c r="C29" s="93">
        <v>3551</v>
      </c>
      <c r="D29" s="348"/>
      <c r="E29" s="351"/>
      <c r="F29" s="353"/>
      <c r="G29" s="329"/>
      <c r="H29" s="342"/>
      <c r="I29" s="333"/>
      <c r="L29" s="36"/>
      <c r="M29"/>
      <c r="N29"/>
      <c r="O29"/>
      <c r="P29"/>
    </row>
    <row r="30" spans="1:16" x14ac:dyDescent="0.2">
      <c r="A30" s="153"/>
      <c r="B30" s="91">
        <f>C30-C29</f>
        <v>63</v>
      </c>
      <c r="C30" s="93">
        <v>3614</v>
      </c>
      <c r="D30" s="348"/>
      <c r="E30" s="351"/>
      <c r="F30" s="353"/>
      <c r="G30" s="329"/>
      <c r="H30" s="342"/>
      <c r="I30" s="333"/>
      <c r="L30" s="36"/>
      <c r="M30"/>
      <c r="N30"/>
      <c r="O30"/>
      <c r="P30"/>
    </row>
    <row r="31" spans="1:16" x14ac:dyDescent="0.2">
      <c r="A31" s="153"/>
      <c r="B31" s="91">
        <f>C31-C30</f>
        <v>62</v>
      </c>
      <c r="C31" s="93">
        <v>3676</v>
      </c>
      <c r="D31" s="348"/>
      <c r="E31" s="351"/>
      <c r="F31" s="353"/>
      <c r="G31" s="329"/>
      <c r="H31" s="342"/>
      <c r="I31" s="333"/>
      <c r="L31" s="36"/>
    </row>
    <row r="32" spans="1:16" x14ac:dyDescent="0.2">
      <c r="A32" s="153"/>
      <c r="B32" s="91"/>
      <c r="D32" s="348"/>
      <c r="E32" s="351"/>
      <c r="F32" s="353"/>
      <c r="G32" s="329"/>
      <c r="H32" s="342"/>
      <c r="I32" s="333"/>
      <c r="L32" s="36"/>
    </row>
    <row r="33" spans="1:17" x14ac:dyDescent="0.2">
      <c r="A33" s="153"/>
      <c r="B33" s="91"/>
      <c r="C33" s="93"/>
      <c r="D33" s="348"/>
      <c r="E33" s="351"/>
      <c r="F33" s="353"/>
      <c r="G33" s="329"/>
      <c r="H33" s="342"/>
      <c r="I33" s="333"/>
      <c r="L33" s="36"/>
    </row>
    <row r="34" spans="1:17" x14ac:dyDescent="0.2">
      <c r="A34" s="153"/>
      <c r="B34" s="91">
        <f>C34-C31</f>
        <v>163</v>
      </c>
      <c r="C34" s="93">
        <v>3839</v>
      </c>
      <c r="D34" s="348"/>
      <c r="E34" s="351"/>
      <c r="F34" s="353"/>
      <c r="G34" s="329"/>
      <c r="H34" s="342"/>
      <c r="I34" s="334"/>
      <c r="L34" s="36"/>
    </row>
    <row r="35" spans="1:17" x14ac:dyDescent="0.2">
      <c r="A35" s="153"/>
      <c r="B35" s="91"/>
      <c r="C35" s="93"/>
      <c r="G35" s="165">
        <f>G5*G4</f>
        <v>487.26000000000005</v>
      </c>
      <c r="H35" s="111">
        <f>H5*H4</f>
        <v>1055.45</v>
      </c>
      <c r="I35" s="167">
        <f>I5*I4</f>
        <v>6464.5254000000004</v>
      </c>
      <c r="L35" s="36"/>
      <c r="N35"/>
      <c r="O35"/>
      <c r="P35"/>
    </row>
    <row r="36" spans="1:17" x14ac:dyDescent="0.2">
      <c r="A36" s="110"/>
      <c r="B36" s="91"/>
      <c r="C36" s="93"/>
      <c r="F36" s="166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SUM(B5:B36)</f>
        <v>1862</v>
      </c>
      <c r="C37" s="121">
        <f>C5+B37</f>
        <v>3839</v>
      </c>
      <c r="F37" s="166" t="s">
        <v>11</v>
      </c>
      <c r="H37" s="359">
        <f>H36+G35+H35+I35</f>
        <v>8045.4554000000007</v>
      </c>
      <c r="I37" s="359"/>
      <c r="L37" s="36"/>
      <c r="N37"/>
      <c r="O37"/>
      <c r="P37"/>
    </row>
    <row r="38" spans="1:17" x14ac:dyDescent="0.2">
      <c r="F38" s="166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66" t="s">
        <v>10</v>
      </c>
      <c r="H39" s="360">
        <f>(H37-H38)*I38</f>
        <v>555.62187800000015</v>
      </c>
      <c r="I39" s="360"/>
      <c r="N39"/>
      <c r="O39"/>
      <c r="P39"/>
    </row>
    <row r="40" spans="1:17" x14ac:dyDescent="0.2">
      <c r="F40" s="166" t="s">
        <v>13</v>
      </c>
      <c r="H40" s="355">
        <f>H37+H39-H38</f>
        <v>8493.0772780000007</v>
      </c>
      <c r="I40" s="355"/>
      <c r="N40"/>
      <c r="O40"/>
      <c r="P40"/>
    </row>
    <row r="41" spans="1:17" x14ac:dyDescent="0.2">
      <c r="F41" s="165" t="s">
        <v>120</v>
      </c>
      <c r="G41" s="165"/>
      <c r="H41" s="355">
        <v>0</v>
      </c>
      <c r="I41" s="355"/>
      <c r="J41" s="166"/>
      <c r="K41" s="2"/>
      <c r="N41"/>
      <c r="O41"/>
      <c r="P41"/>
    </row>
    <row r="44" spans="1:17" x14ac:dyDescent="0.2">
      <c r="M44" s="6"/>
      <c r="P44" s="166"/>
      <c r="Q44" s="14"/>
    </row>
  </sheetData>
  <mergeCells count="12">
    <mergeCell ref="H36:I36"/>
    <mergeCell ref="H37:I37"/>
    <mergeCell ref="H39:I39"/>
    <mergeCell ref="H40:I40"/>
    <mergeCell ref="H41:I41"/>
    <mergeCell ref="D2:I2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6A0B-AE28-419C-9CC7-036FC990722A}">
  <dimension ref="A1:Q43"/>
  <sheetViews>
    <sheetView workbookViewId="0">
      <selection activeCell="L32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68" customWidth="1"/>
    <col min="4" max="4" width="9" style="170"/>
    <col min="5" max="6" width="13" style="170" customWidth="1"/>
    <col min="7" max="7" width="12.5" style="170" customWidth="1"/>
    <col min="8" max="9" width="12.375" style="170" customWidth="1"/>
    <col min="10" max="10" width="50.25" style="2" bestFit="1" customWidth="1"/>
    <col min="11" max="11" width="12.625" style="170" customWidth="1"/>
    <col min="12" max="12" width="16.25" style="170" customWidth="1"/>
    <col min="13" max="15" width="9" style="170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170" t="s">
        <v>67</v>
      </c>
      <c r="H2" s="170" t="s">
        <v>68</v>
      </c>
      <c r="I2" s="170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168" t="s">
        <v>16</v>
      </c>
      <c r="D3" s="170" t="s">
        <v>6</v>
      </c>
      <c r="E3" s="170" t="s">
        <v>7</v>
      </c>
      <c r="F3" s="170" t="s">
        <v>14</v>
      </c>
      <c r="G3" s="170">
        <f>L4</f>
        <v>3.2484000000000002</v>
      </c>
      <c r="H3" s="170">
        <f>L5</f>
        <v>4.2218</v>
      </c>
      <c r="I3" s="170">
        <v>4.4217000000000004</v>
      </c>
      <c r="L3" s="170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3839</v>
      </c>
      <c r="D4" s="361">
        <f>C4</f>
        <v>3839</v>
      </c>
      <c r="E4" s="356">
        <f>C36-D4</f>
        <v>1869</v>
      </c>
      <c r="F4" s="353"/>
      <c r="G4" s="329">
        <v>150</v>
      </c>
      <c r="H4" s="342">
        <v>250</v>
      </c>
      <c r="I4" s="357">
        <f>E4-G4-H4</f>
        <v>1469</v>
      </c>
      <c r="J4" s="2" t="s">
        <v>0</v>
      </c>
      <c r="K4" s="170" t="s">
        <v>1</v>
      </c>
      <c r="L4" s="170">
        <v>3.2484000000000002</v>
      </c>
      <c r="M4"/>
      <c r="N4"/>
      <c r="O4"/>
      <c r="P4"/>
    </row>
    <row r="5" spans="1:16" x14ac:dyDescent="0.2">
      <c r="A5" s="153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170" t="s">
        <v>1</v>
      </c>
      <c r="L5" s="170">
        <v>4.2218</v>
      </c>
      <c r="M5"/>
      <c r="N5"/>
      <c r="O5"/>
      <c r="P5"/>
    </row>
    <row r="6" spans="1:16" x14ac:dyDescent="0.2">
      <c r="A6" s="153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170" t="s">
        <v>1</v>
      </c>
      <c r="L6" s="170">
        <v>4.4217000000000004</v>
      </c>
      <c r="M6"/>
      <c r="N6"/>
      <c r="O6"/>
      <c r="P6"/>
    </row>
    <row r="7" spans="1:16" x14ac:dyDescent="0.2">
      <c r="A7" s="153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170">
        <v>38.22</v>
      </c>
      <c r="M7"/>
      <c r="N7"/>
      <c r="O7"/>
      <c r="P7"/>
    </row>
    <row r="8" spans="1:16" x14ac:dyDescent="0.2">
      <c r="A8" s="153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153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153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153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153"/>
      <c r="B12" s="91"/>
      <c r="D12" s="348"/>
      <c r="E12" s="351"/>
      <c r="F12" s="353"/>
      <c r="G12" s="329"/>
      <c r="H12" s="342"/>
      <c r="I12" s="333"/>
      <c r="L12" s="170">
        <v>1709</v>
      </c>
      <c r="M12">
        <v>2440</v>
      </c>
      <c r="N12">
        <v>2300</v>
      </c>
      <c r="O12"/>
      <c r="P12"/>
    </row>
    <row r="13" spans="1:16" x14ac:dyDescent="0.2">
      <c r="A13" s="153" t="s">
        <v>137</v>
      </c>
      <c r="B13" s="91">
        <f>C13-C4</f>
        <v>602</v>
      </c>
      <c r="C13" s="93">
        <v>4441</v>
      </c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175"/>
      <c r="M15" s="58"/>
      <c r="N15"/>
      <c r="O15" s="58"/>
      <c r="P15"/>
    </row>
    <row r="16" spans="1:16" x14ac:dyDescent="0.2">
      <c r="A16" s="153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175"/>
      <c r="M16" s="58"/>
      <c r="N16"/>
      <c r="O16" s="58"/>
      <c r="P16"/>
    </row>
    <row r="17" spans="1:16" x14ac:dyDescent="0.2">
      <c r="A17" s="153" t="s">
        <v>138</v>
      </c>
      <c r="B17" s="91">
        <f>C17-C13</f>
        <v>254</v>
      </c>
      <c r="C17" s="93">
        <v>4695</v>
      </c>
      <c r="D17" s="348"/>
      <c r="E17" s="351"/>
      <c r="F17" s="353"/>
      <c r="G17" s="329"/>
      <c r="H17" s="342"/>
      <c r="I17" s="333"/>
      <c r="J17" s="2" t="s">
        <v>25</v>
      </c>
      <c r="L17" s="175"/>
      <c r="M17" s="58"/>
      <c r="N17"/>
      <c r="O17" s="58"/>
      <c r="P17"/>
    </row>
    <row r="18" spans="1:16" x14ac:dyDescent="0.2">
      <c r="A18" s="153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175"/>
      <c r="M18" s="58"/>
      <c r="N18"/>
      <c r="O18" s="58"/>
      <c r="P18"/>
    </row>
    <row r="19" spans="1:16" x14ac:dyDescent="0.2">
      <c r="A19" s="153" t="s">
        <v>139</v>
      </c>
      <c r="B19" s="91">
        <f>C19-C17</f>
        <v>118</v>
      </c>
      <c r="C19" s="93">
        <v>4813</v>
      </c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153" t="s">
        <v>140</v>
      </c>
      <c r="B21" s="91">
        <f>C21-C19</f>
        <v>127</v>
      </c>
      <c r="C21" s="93">
        <v>4940</v>
      </c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153"/>
      <c r="B22" s="91"/>
      <c r="C22" s="93"/>
      <c r="D22" s="348"/>
      <c r="E22" s="351"/>
      <c r="F22" s="353"/>
      <c r="G22" s="329"/>
      <c r="H22" s="342"/>
      <c r="I22" s="333"/>
      <c r="L22" s="36"/>
      <c r="M22"/>
      <c r="N22"/>
      <c r="O22"/>
      <c r="P22"/>
    </row>
    <row r="23" spans="1:16" x14ac:dyDescent="0.2">
      <c r="A23" s="153" t="s">
        <v>141</v>
      </c>
      <c r="B23" s="91">
        <f>C23-C21</f>
        <v>115</v>
      </c>
      <c r="C23" s="93">
        <v>5055</v>
      </c>
      <c r="D23" s="348"/>
      <c r="E23" s="351"/>
      <c r="F23" s="353"/>
      <c r="G23" s="329"/>
      <c r="H23" s="342"/>
      <c r="I23" s="333"/>
      <c r="J23" s="179" t="s">
        <v>151</v>
      </c>
      <c r="K23" s="36">
        <v>5187</v>
      </c>
      <c r="L23" s="36">
        <f>K23</f>
        <v>5187</v>
      </c>
      <c r="M23"/>
      <c r="N23"/>
      <c r="O23"/>
      <c r="P23"/>
    </row>
    <row r="24" spans="1:16" x14ac:dyDescent="0.2">
      <c r="A24" s="153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2440</v>
      </c>
      <c r="L24" s="36">
        <f>K24</f>
        <v>2440</v>
      </c>
      <c r="M24"/>
      <c r="N24"/>
      <c r="O24"/>
      <c r="P24"/>
    </row>
    <row r="25" spans="1:16" x14ac:dyDescent="0.2">
      <c r="A25" s="153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13.04</v>
      </c>
      <c r="L25" s="36"/>
      <c r="M25"/>
      <c r="N25"/>
      <c r="O25"/>
      <c r="P25"/>
    </row>
    <row r="26" spans="1:16" x14ac:dyDescent="0.2">
      <c r="A26" s="153" t="s">
        <v>142</v>
      </c>
      <c r="B26" s="91">
        <f>C26-C23</f>
        <v>185</v>
      </c>
      <c r="C26" s="93">
        <v>5240</v>
      </c>
      <c r="D26" s="348"/>
      <c r="E26" s="351"/>
      <c r="F26" s="353"/>
      <c r="G26" s="329"/>
      <c r="H26" s="342"/>
      <c r="I26" s="333"/>
      <c r="J26" s="179" t="s">
        <v>147</v>
      </c>
      <c r="K26" s="36">
        <v>105.3</v>
      </c>
      <c r="L26" s="36">
        <f>K26</f>
        <v>105.3</v>
      </c>
      <c r="M26"/>
      <c r="N26"/>
      <c r="O26"/>
      <c r="P26"/>
    </row>
    <row r="27" spans="1:16" x14ac:dyDescent="0.2">
      <c r="A27" s="153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166.5</v>
      </c>
      <c r="L27" s="36"/>
      <c r="M27"/>
      <c r="N27"/>
      <c r="O27"/>
      <c r="P27"/>
    </row>
    <row r="28" spans="1:16" x14ac:dyDescent="0.2">
      <c r="A28" s="153"/>
      <c r="B28" s="91"/>
      <c r="C28" s="93"/>
      <c r="D28" s="348"/>
      <c r="E28" s="351"/>
      <c r="F28" s="353"/>
      <c r="G28" s="329"/>
      <c r="H28" s="342"/>
      <c r="I28" s="333"/>
      <c r="J28" s="179" t="s">
        <v>149</v>
      </c>
      <c r="K28" s="36">
        <v>98.33</v>
      </c>
      <c r="L28" s="36"/>
      <c r="M28"/>
      <c r="N28"/>
      <c r="O28"/>
      <c r="P28"/>
    </row>
    <row r="29" spans="1:16" x14ac:dyDescent="0.2">
      <c r="A29" s="153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>
        <v>325.20999999999998</v>
      </c>
      <c r="L29" s="36"/>
      <c r="M29" s="62">
        <f>K32-K30</f>
        <v>2.7110000009997748E-3</v>
      </c>
      <c r="N29"/>
      <c r="O29"/>
      <c r="P29"/>
    </row>
    <row r="30" spans="1:16" x14ac:dyDescent="0.2">
      <c r="A30" s="153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113">
        <f>SUM(K23:K29)</f>
        <v>8335.3799999999992</v>
      </c>
      <c r="L30" s="113">
        <f>SUM(L23:L29)</f>
        <v>7732.3</v>
      </c>
    </row>
    <row r="31" spans="1:16" x14ac:dyDescent="0.2">
      <c r="A31" s="153"/>
      <c r="B31" s="91"/>
      <c r="D31" s="348"/>
      <c r="E31" s="351"/>
      <c r="F31" s="353"/>
      <c r="G31" s="329"/>
      <c r="H31" s="342"/>
      <c r="I31" s="333"/>
      <c r="J31" s="181" t="s">
        <v>154</v>
      </c>
      <c r="K31" s="177">
        <f>H40</f>
        <v>8335.3827110000002</v>
      </c>
      <c r="L31" s="36">
        <f>K31-L30</f>
        <v>603.08271100000002</v>
      </c>
    </row>
    <row r="32" spans="1:16" x14ac:dyDescent="0.2">
      <c r="A32" s="153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176">
        <f>H40</f>
        <v>8335.3827110000002</v>
      </c>
      <c r="L32" s="36"/>
    </row>
    <row r="33" spans="1:17" x14ac:dyDescent="0.2">
      <c r="A33" s="153"/>
      <c r="B33" s="91">
        <f>C33-C26</f>
        <v>414</v>
      </c>
      <c r="C33" s="93">
        <v>5654</v>
      </c>
      <c r="D33" s="348"/>
      <c r="E33" s="351"/>
      <c r="F33" s="353"/>
      <c r="G33" s="329"/>
      <c r="H33" s="342"/>
      <c r="I33" s="334"/>
      <c r="L33" s="36"/>
    </row>
    <row r="34" spans="1:17" x14ac:dyDescent="0.2">
      <c r="A34" s="153"/>
      <c r="B34" s="91">
        <f>C34-C33</f>
        <v>54</v>
      </c>
      <c r="C34" s="93">
        <v>5708</v>
      </c>
      <c r="G34" s="169">
        <f>G4*G3</f>
        <v>487.26000000000005</v>
      </c>
      <c r="H34" s="111">
        <f>H4*H3</f>
        <v>1055.45</v>
      </c>
      <c r="I34" s="171">
        <f>I4*I3</f>
        <v>6495.4773000000005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8038.1873000000005</v>
      </c>
      <c r="I35" s="362"/>
      <c r="L35" s="36"/>
      <c r="N35"/>
      <c r="O35"/>
      <c r="P35"/>
    </row>
    <row r="36" spans="1:17" x14ac:dyDescent="0.2">
      <c r="A36" s="110" t="s">
        <v>13</v>
      </c>
      <c r="B36" s="114">
        <f>SUM(B4:B35)</f>
        <v>1869</v>
      </c>
      <c r="C36" s="121">
        <f>C4+B36</f>
        <v>5708</v>
      </c>
      <c r="G36" s="170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170" t="s">
        <v>11</v>
      </c>
      <c r="H37" s="359">
        <f>H36+G34+H34+I34</f>
        <v>8076.4073000000008</v>
      </c>
      <c r="I37" s="359"/>
      <c r="N37"/>
      <c r="O37"/>
      <c r="P37"/>
    </row>
    <row r="38" spans="1:17" x14ac:dyDescent="0.2">
      <c r="G38" s="170" t="s">
        <v>12</v>
      </c>
      <c r="H38" s="111">
        <v>286.33</v>
      </c>
      <c r="I38" s="113">
        <f>7/100</f>
        <v>7.0000000000000007E-2</v>
      </c>
      <c r="N38"/>
      <c r="O38"/>
      <c r="P38"/>
    </row>
    <row r="39" spans="1:17" x14ac:dyDescent="0.2">
      <c r="G39" s="170" t="s">
        <v>10</v>
      </c>
      <c r="H39" s="360">
        <f>(H37-H38)*I38</f>
        <v>545.30541100000016</v>
      </c>
      <c r="I39" s="360"/>
      <c r="N39"/>
      <c r="O39"/>
      <c r="P39"/>
    </row>
    <row r="40" spans="1:17" x14ac:dyDescent="0.2">
      <c r="G40" s="178" t="s">
        <v>120</v>
      </c>
      <c r="H40" s="355">
        <f>H37+H39-H38</f>
        <v>8335.3827110000002</v>
      </c>
      <c r="I40" s="355"/>
      <c r="J40" s="170"/>
      <c r="K40" s="2"/>
      <c r="N40"/>
      <c r="O40"/>
      <c r="P40"/>
    </row>
    <row r="41" spans="1:17" x14ac:dyDescent="0.2">
      <c r="G41" s="2"/>
      <c r="J41" s="170"/>
      <c r="M41" s="14"/>
      <c r="N41"/>
      <c r="O41"/>
      <c r="P41"/>
    </row>
    <row r="43" spans="1:17" x14ac:dyDescent="0.2">
      <c r="M43" s="6"/>
      <c r="P43" s="170"/>
      <c r="Q43" s="14"/>
    </row>
  </sheetData>
  <mergeCells count="12">
    <mergeCell ref="D1:I1"/>
    <mergeCell ref="D4:D33"/>
    <mergeCell ref="E4:E33"/>
    <mergeCell ref="F4:F33"/>
    <mergeCell ref="G4:G33"/>
    <mergeCell ref="H4:H33"/>
    <mergeCell ref="I4:I33"/>
    <mergeCell ref="H36:I36"/>
    <mergeCell ref="H37:I37"/>
    <mergeCell ref="H39:I39"/>
    <mergeCell ref="H40:I40"/>
    <mergeCell ref="H35:I3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BDD8-1645-4A40-9E0C-78189D72740F}">
  <dimension ref="A1:Q44"/>
  <sheetViews>
    <sheetView topLeftCell="A4" workbookViewId="0">
      <selection activeCell="L38" sqref="L38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83" customWidth="1"/>
    <col min="4" max="4" width="9" style="185"/>
    <col min="5" max="6" width="13" style="185" customWidth="1"/>
    <col min="7" max="7" width="12.5" style="185" customWidth="1"/>
    <col min="8" max="9" width="12.375" style="185" customWidth="1"/>
    <col min="10" max="10" width="50.25" style="2" bestFit="1" customWidth="1"/>
    <col min="11" max="11" width="12.625" style="185" customWidth="1"/>
    <col min="12" max="12" width="16.25" style="185" customWidth="1"/>
    <col min="13" max="13" width="16" style="185" customWidth="1"/>
    <col min="14" max="14" width="11" style="185" customWidth="1"/>
    <col min="15" max="15" width="9" style="185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185" t="s">
        <v>67</v>
      </c>
      <c r="H2" s="185" t="s">
        <v>68</v>
      </c>
      <c r="I2" s="185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183" t="s">
        <v>16</v>
      </c>
      <c r="D3" s="185" t="s">
        <v>6</v>
      </c>
      <c r="E3" s="185" t="s">
        <v>7</v>
      </c>
      <c r="F3" s="185" t="s">
        <v>14</v>
      </c>
      <c r="G3" s="185">
        <f>L4</f>
        <v>3.2484000000000002</v>
      </c>
      <c r="H3" s="185">
        <f>L5</f>
        <v>4.2218</v>
      </c>
      <c r="I3" s="185">
        <v>4.4217000000000004</v>
      </c>
      <c r="L3" s="185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5708</v>
      </c>
      <c r="D4" s="361">
        <f>C4</f>
        <v>5708</v>
      </c>
      <c r="E4" s="356">
        <f>C36-D4</f>
        <v>1912</v>
      </c>
      <c r="F4" s="353"/>
      <c r="G4" s="329">
        <v>150</v>
      </c>
      <c r="H4" s="342">
        <v>250</v>
      </c>
      <c r="I4" s="357">
        <f>E4-G4-H4</f>
        <v>1512</v>
      </c>
      <c r="J4" s="2" t="s">
        <v>0</v>
      </c>
      <c r="K4" s="185" t="s">
        <v>1</v>
      </c>
      <c r="L4" s="185">
        <v>3.2484000000000002</v>
      </c>
      <c r="M4"/>
      <c r="N4"/>
      <c r="O4"/>
      <c r="P4"/>
    </row>
    <row r="5" spans="1:16" x14ac:dyDescent="0.2">
      <c r="A5" s="153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185" t="s">
        <v>1</v>
      </c>
      <c r="L5" s="185">
        <v>4.2218</v>
      </c>
      <c r="M5"/>
      <c r="N5"/>
      <c r="O5"/>
      <c r="P5"/>
    </row>
    <row r="6" spans="1:16" x14ac:dyDescent="0.2">
      <c r="A6" s="153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185" t="s">
        <v>1</v>
      </c>
      <c r="L6" s="185">
        <v>4.4217000000000004</v>
      </c>
      <c r="M6"/>
      <c r="N6"/>
      <c r="O6"/>
      <c r="P6"/>
    </row>
    <row r="7" spans="1:16" x14ac:dyDescent="0.2">
      <c r="A7" s="153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185">
        <v>38.22</v>
      </c>
      <c r="M7"/>
      <c r="N7"/>
      <c r="O7"/>
      <c r="P7"/>
    </row>
    <row r="8" spans="1:16" x14ac:dyDescent="0.2">
      <c r="A8" s="153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153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153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153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153"/>
      <c r="B12" s="91">
        <f>C12-C4</f>
        <v>487</v>
      </c>
      <c r="C12" s="183">
        <v>6195</v>
      </c>
      <c r="D12" s="348"/>
      <c r="E12" s="351"/>
      <c r="F12" s="353"/>
      <c r="G12" s="329"/>
      <c r="H12" s="342"/>
      <c r="I12" s="333"/>
      <c r="L12" s="185">
        <v>1709</v>
      </c>
      <c r="M12">
        <v>2440</v>
      </c>
      <c r="N12">
        <v>2300</v>
      </c>
      <c r="O12"/>
      <c r="P12"/>
    </row>
    <row r="13" spans="1:16" x14ac:dyDescent="0.2">
      <c r="A13" s="153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186"/>
      <c r="M15" s="58"/>
      <c r="N15"/>
      <c r="O15" s="58"/>
      <c r="P15"/>
    </row>
    <row r="16" spans="1:16" x14ac:dyDescent="0.2">
      <c r="A16" s="153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186"/>
      <c r="M16" s="58"/>
      <c r="N16"/>
      <c r="O16" s="58"/>
      <c r="P16"/>
    </row>
    <row r="17" spans="1:16" x14ac:dyDescent="0.2">
      <c r="A17" s="153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186"/>
      <c r="M17" s="58"/>
      <c r="N17"/>
      <c r="O17" s="58"/>
      <c r="P17"/>
    </row>
    <row r="18" spans="1:16" x14ac:dyDescent="0.2">
      <c r="A18" s="153" t="s">
        <v>155</v>
      </c>
      <c r="B18" s="91">
        <f>C18-C12</f>
        <v>375</v>
      </c>
      <c r="C18" s="93">
        <v>6570</v>
      </c>
      <c r="D18" s="348"/>
      <c r="E18" s="351"/>
      <c r="F18" s="353"/>
      <c r="G18" s="329"/>
      <c r="H18" s="342"/>
      <c r="I18" s="333"/>
      <c r="J18" s="2" t="s">
        <v>26</v>
      </c>
      <c r="L18" s="186"/>
      <c r="M18" s="58"/>
      <c r="N18"/>
      <c r="O18" s="58"/>
      <c r="P18"/>
    </row>
    <row r="19" spans="1:16" x14ac:dyDescent="0.2">
      <c r="A19" s="153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153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153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5093</v>
      </c>
      <c r="L23" s="196"/>
      <c r="M23" s="195">
        <f>K23</f>
        <v>5093</v>
      </c>
      <c r="N23" s="198"/>
      <c r="O23"/>
      <c r="P23"/>
    </row>
    <row r="24" spans="1:16" x14ac:dyDescent="0.2">
      <c r="A24" s="153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2628</v>
      </c>
      <c r="L24" s="196"/>
      <c r="M24" s="195">
        <f>K24</f>
        <v>2628</v>
      </c>
      <c r="N24" s="198"/>
      <c r="O24"/>
      <c r="P24"/>
    </row>
    <row r="25" spans="1:16" x14ac:dyDescent="0.2">
      <c r="A25" s="153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11.25</v>
      </c>
      <c r="L25" s="196">
        <v>11.25</v>
      </c>
      <c r="M25" s="195">
        <f>K25/2</f>
        <v>5.625</v>
      </c>
      <c r="N25" s="198">
        <f>M25</f>
        <v>5.625</v>
      </c>
      <c r="O25"/>
      <c r="P25"/>
    </row>
    <row r="26" spans="1:16" x14ac:dyDescent="0.2">
      <c r="A26" s="153"/>
      <c r="B26" s="91"/>
      <c r="C26" s="93"/>
      <c r="D26" s="348"/>
      <c r="E26" s="351"/>
      <c r="F26" s="353"/>
      <c r="G26" s="329"/>
      <c r="H26" s="342"/>
      <c r="I26" s="333"/>
      <c r="J26" s="179" t="s">
        <v>147</v>
      </c>
      <c r="K26" s="36">
        <v>105.9</v>
      </c>
      <c r="L26" s="196">
        <f>K26</f>
        <v>105.9</v>
      </c>
      <c r="M26" s="195">
        <f>K26/2</f>
        <v>52.95</v>
      </c>
      <c r="N26" s="198">
        <f>M26</f>
        <v>52.95</v>
      </c>
      <c r="O26"/>
      <c r="P26"/>
    </row>
    <row r="27" spans="1:16" x14ac:dyDescent="0.2">
      <c r="A27" s="153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140.30000000000001</v>
      </c>
      <c r="L27" s="196">
        <v>140.30000000000001</v>
      </c>
      <c r="M27" s="195">
        <f>K27/2</f>
        <v>70.150000000000006</v>
      </c>
      <c r="N27" s="198">
        <f>M27</f>
        <v>70.150000000000006</v>
      </c>
      <c r="O27"/>
      <c r="P27"/>
    </row>
    <row r="28" spans="1:16" x14ac:dyDescent="0.2">
      <c r="A28" s="153"/>
      <c r="B28" s="91"/>
      <c r="C28" s="93"/>
      <c r="D28" s="348"/>
      <c r="E28" s="351"/>
      <c r="F28" s="353"/>
      <c r="G28" s="329"/>
      <c r="H28" s="342"/>
      <c r="I28" s="333"/>
      <c r="J28" s="179" t="s">
        <v>149</v>
      </c>
      <c r="K28" s="36">
        <v>81.459999999999994</v>
      </c>
      <c r="L28" s="196">
        <v>81.459999999999994</v>
      </c>
      <c r="M28" s="195">
        <f>K28/2</f>
        <v>40.729999999999997</v>
      </c>
      <c r="N28" s="198">
        <f>M28</f>
        <v>40.729999999999997</v>
      </c>
      <c r="O28"/>
      <c r="P28"/>
    </row>
    <row r="29" spans="1:16" x14ac:dyDescent="0.2">
      <c r="A29" s="153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813.72882799999934</v>
      </c>
      <c r="M29" s="195">
        <f>K33/2</f>
        <v>406.86441399999967</v>
      </c>
      <c r="N29" s="198">
        <f>M29</f>
        <v>406.86441399999967</v>
      </c>
      <c r="O29"/>
      <c r="P29"/>
    </row>
    <row r="30" spans="1:16" x14ac:dyDescent="0.2">
      <c r="A30" s="153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113">
        <f>SUM(K23:K29)</f>
        <v>8059.91</v>
      </c>
      <c r="L30" s="113">
        <f>SUM(L23:L29)</f>
        <v>1152.6388279999994</v>
      </c>
      <c r="M30" s="113">
        <f>SUM(M23:M29)</f>
        <v>8297.3194139999978</v>
      </c>
      <c r="N30" s="192">
        <f>SUM(N23:N29)</f>
        <v>576.31941399999971</v>
      </c>
    </row>
    <row r="31" spans="1:16" x14ac:dyDescent="0.2">
      <c r="A31" s="153"/>
      <c r="B31" s="91"/>
      <c r="D31" s="348"/>
      <c r="E31" s="351"/>
      <c r="F31" s="353"/>
      <c r="G31" s="329"/>
      <c r="H31" s="342"/>
      <c r="I31" s="333"/>
      <c r="J31" s="181" t="s">
        <v>154</v>
      </c>
      <c r="K31" s="187">
        <f>K30+K33</f>
        <v>8873.6388279999992</v>
      </c>
      <c r="L31" s="36">
        <f>K31-L30</f>
        <v>7721</v>
      </c>
      <c r="N31" s="36"/>
    </row>
    <row r="32" spans="1:16" x14ac:dyDescent="0.2">
      <c r="A32" s="153"/>
      <c r="B32" s="91">
        <f>C32-C18</f>
        <v>817</v>
      </c>
      <c r="C32" s="93">
        <v>7387</v>
      </c>
      <c r="D32" s="348"/>
      <c r="E32" s="351"/>
      <c r="F32" s="353"/>
      <c r="G32" s="329"/>
      <c r="H32" s="342"/>
      <c r="I32" s="333"/>
      <c r="J32" s="182" t="s">
        <v>152</v>
      </c>
      <c r="K32" s="186">
        <f>H41</f>
        <v>8873.6388279999992</v>
      </c>
      <c r="L32" s="36"/>
    </row>
    <row r="33" spans="1:17" x14ac:dyDescent="0.2">
      <c r="A33" s="153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813.72882799999934</v>
      </c>
      <c r="L33" s="36"/>
    </row>
    <row r="34" spans="1:17" x14ac:dyDescent="0.2">
      <c r="A34" s="153"/>
      <c r="B34" s="91">
        <f>C34-C32</f>
        <v>233</v>
      </c>
      <c r="C34" s="93">
        <v>7620</v>
      </c>
      <c r="G34" s="184">
        <f>G4*G3</f>
        <v>487.26000000000005</v>
      </c>
      <c r="H34" s="111">
        <f>H4*H3</f>
        <v>1055.45</v>
      </c>
      <c r="I34" s="187">
        <f>I4*I3</f>
        <v>6685.6104000000005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8228.3204000000005</v>
      </c>
      <c r="I35" s="362"/>
      <c r="L35" s="36"/>
      <c r="N35"/>
      <c r="O35"/>
      <c r="P35"/>
    </row>
    <row r="36" spans="1:17" x14ac:dyDescent="0.2">
      <c r="A36" s="110" t="s">
        <v>13</v>
      </c>
      <c r="B36" s="114">
        <f>SUM(B4:B35)</f>
        <v>1912</v>
      </c>
      <c r="C36" s="121">
        <f>C4+B36</f>
        <v>7620</v>
      </c>
      <c r="G36" s="185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185" t="s">
        <v>11</v>
      </c>
      <c r="H37" s="359">
        <f>H36+G34+H34+I34</f>
        <v>8266.5403999999999</v>
      </c>
      <c r="I37" s="359"/>
      <c r="J37" s="197"/>
      <c r="N37"/>
      <c r="O37"/>
      <c r="P37"/>
    </row>
    <row r="38" spans="1:17" x14ac:dyDescent="0.2">
      <c r="G38" s="185" t="s">
        <v>12</v>
      </c>
      <c r="H38" s="111">
        <v>26.58</v>
      </c>
      <c r="I38" s="194">
        <f>7/100</f>
        <v>7.0000000000000007E-2</v>
      </c>
      <c r="N38"/>
      <c r="O38"/>
      <c r="P38"/>
    </row>
    <row r="39" spans="1:17" x14ac:dyDescent="0.2">
      <c r="G39" s="185" t="s">
        <v>13</v>
      </c>
      <c r="H39" s="363">
        <f>H37+H38</f>
        <v>8293.1203999999998</v>
      </c>
      <c r="I39" s="363"/>
      <c r="N39"/>
      <c r="O39"/>
      <c r="P39"/>
    </row>
    <row r="40" spans="1:17" x14ac:dyDescent="0.2">
      <c r="C40" s="189"/>
      <c r="D40" s="191"/>
      <c r="E40" s="191"/>
      <c r="F40" s="191"/>
      <c r="G40" s="191" t="s">
        <v>158</v>
      </c>
      <c r="H40" s="360">
        <f>H39*I38</f>
        <v>580.51842800000009</v>
      </c>
      <c r="I40" s="360"/>
      <c r="K40" s="191"/>
      <c r="L40" s="191"/>
      <c r="M40" s="191"/>
      <c r="N40"/>
      <c r="O40"/>
      <c r="P40"/>
    </row>
    <row r="41" spans="1:17" x14ac:dyDescent="0.2">
      <c r="G41" s="184" t="s">
        <v>120</v>
      </c>
      <c r="H41" s="355">
        <f>H39+H40</f>
        <v>8873.6388279999992</v>
      </c>
      <c r="I41" s="355"/>
      <c r="J41" s="36"/>
      <c r="K41" s="2"/>
      <c r="N41"/>
      <c r="O41"/>
      <c r="P41"/>
    </row>
    <row r="42" spans="1:17" x14ac:dyDescent="0.2">
      <c r="G42" s="2"/>
      <c r="J42" s="185"/>
      <c r="M42" s="14"/>
      <c r="N42"/>
      <c r="O42"/>
      <c r="P42"/>
    </row>
    <row r="44" spans="1:17" x14ac:dyDescent="0.2">
      <c r="M44" s="6"/>
      <c r="P44" s="185"/>
      <c r="Q44" s="14"/>
    </row>
  </sheetData>
  <mergeCells count="13"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1:I41"/>
    <mergeCell ref="H40:I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888-1BB3-4053-A7F2-EFEA330FBFFA}">
  <dimension ref="A1:Q44"/>
  <sheetViews>
    <sheetView workbookViewId="0">
      <selection activeCell="C10" sqref="C10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89" customWidth="1"/>
    <col min="4" max="4" width="9" style="191"/>
    <col min="5" max="6" width="13" style="191" customWidth="1"/>
    <col min="7" max="7" width="12.5" style="191" customWidth="1"/>
    <col min="8" max="9" width="12.375" style="191" customWidth="1"/>
    <col min="10" max="10" width="50.25" style="2" bestFit="1" customWidth="1"/>
    <col min="11" max="11" width="12.625" style="191" customWidth="1"/>
    <col min="12" max="12" width="16.25" style="191" customWidth="1"/>
    <col min="13" max="13" width="16" style="191" customWidth="1"/>
    <col min="14" max="14" width="11" style="191" customWidth="1"/>
    <col min="15" max="15" width="9" style="191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191" t="s">
        <v>67</v>
      </c>
      <c r="H2" s="191" t="s">
        <v>68</v>
      </c>
      <c r="I2" s="191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189" t="s">
        <v>16</v>
      </c>
      <c r="D3" s="191" t="s">
        <v>6</v>
      </c>
      <c r="E3" s="191" t="s">
        <v>7</v>
      </c>
      <c r="F3" s="191" t="s">
        <v>14</v>
      </c>
      <c r="G3" s="191">
        <f>L4</f>
        <v>3.2484000000000002</v>
      </c>
      <c r="H3" s="191">
        <f>L5</f>
        <v>4.2218</v>
      </c>
      <c r="I3" s="191">
        <v>4.4217000000000004</v>
      </c>
      <c r="L3" s="191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7620</v>
      </c>
      <c r="D4" s="361">
        <f>C4</f>
        <v>7620</v>
      </c>
      <c r="E4" s="356">
        <f>C36-D4</f>
        <v>1762</v>
      </c>
      <c r="F4" s="353"/>
      <c r="G4" s="329">
        <v>150</v>
      </c>
      <c r="H4" s="342">
        <v>250</v>
      </c>
      <c r="I4" s="357">
        <f>E4-G4-H4</f>
        <v>1362</v>
      </c>
      <c r="J4" s="2" t="s">
        <v>0</v>
      </c>
      <c r="K4" s="191" t="s">
        <v>1</v>
      </c>
      <c r="L4" s="191">
        <v>3.2484000000000002</v>
      </c>
      <c r="M4"/>
      <c r="N4"/>
      <c r="O4"/>
      <c r="P4"/>
    </row>
    <row r="5" spans="1:16" x14ac:dyDescent="0.2">
      <c r="A5" s="153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191" t="s">
        <v>1</v>
      </c>
      <c r="L5" s="191">
        <v>4.2218</v>
      </c>
      <c r="M5"/>
      <c r="N5"/>
      <c r="O5"/>
      <c r="P5"/>
    </row>
    <row r="6" spans="1:16" x14ac:dyDescent="0.2">
      <c r="A6" s="153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191" t="s">
        <v>1</v>
      </c>
      <c r="L6" s="191">
        <v>4.4217000000000004</v>
      </c>
      <c r="M6"/>
      <c r="N6"/>
      <c r="O6"/>
      <c r="P6"/>
    </row>
    <row r="7" spans="1:16" x14ac:dyDescent="0.2">
      <c r="A7" s="153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191">
        <v>38.22</v>
      </c>
      <c r="M7"/>
      <c r="N7"/>
      <c r="O7"/>
      <c r="P7"/>
    </row>
    <row r="8" spans="1:16" x14ac:dyDescent="0.2">
      <c r="A8" s="153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153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153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153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153"/>
      <c r="B12" s="91"/>
      <c r="D12" s="348"/>
      <c r="E12" s="351"/>
      <c r="F12" s="353"/>
      <c r="G12" s="329"/>
      <c r="H12" s="342"/>
      <c r="I12" s="333"/>
      <c r="L12" s="191">
        <v>1709</v>
      </c>
      <c r="M12">
        <v>2440</v>
      </c>
      <c r="N12">
        <v>2300</v>
      </c>
      <c r="O12"/>
      <c r="P12"/>
    </row>
    <row r="13" spans="1:16" x14ac:dyDescent="0.2">
      <c r="A13" s="153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193"/>
      <c r="M15" s="58"/>
      <c r="N15"/>
      <c r="O15" s="58"/>
      <c r="P15"/>
    </row>
    <row r="16" spans="1:16" x14ac:dyDescent="0.2">
      <c r="A16" s="153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193"/>
      <c r="M16" s="58"/>
      <c r="N16"/>
      <c r="O16" s="58"/>
      <c r="P16"/>
    </row>
    <row r="17" spans="1:16" x14ac:dyDescent="0.2">
      <c r="A17" s="153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193"/>
      <c r="M17" s="58"/>
      <c r="N17"/>
      <c r="O17" s="58"/>
      <c r="P17"/>
    </row>
    <row r="18" spans="1:16" x14ac:dyDescent="0.2">
      <c r="A18" s="153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193"/>
      <c r="M18" s="58"/>
      <c r="N18"/>
      <c r="O18" s="58"/>
      <c r="P18"/>
    </row>
    <row r="19" spans="1:16" x14ac:dyDescent="0.2">
      <c r="A19" s="153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153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153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4717</v>
      </c>
      <c r="L23" s="196"/>
      <c r="M23" s="195">
        <f>K23</f>
        <v>4717</v>
      </c>
      <c r="N23" s="198"/>
      <c r="O23"/>
      <c r="P23"/>
    </row>
    <row r="24" spans="1:16" x14ac:dyDescent="0.2">
      <c r="A24" s="153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2443</v>
      </c>
      <c r="L24" s="196"/>
      <c r="M24" s="195">
        <f>K24</f>
        <v>2443</v>
      </c>
      <c r="N24" s="198"/>
      <c r="O24"/>
      <c r="P24"/>
    </row>
    <row r="25" spans="1:16" x14ac:dyDescent="0.2">
      <c r="A25" s="153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6.75</v>
      </c>
      <c r="L25" s="196">
        <f>K25</f>
        <v>6.75</v>
      </c>
      <c r="M25" s="195">
        <f>K25/2</f>
        <v>3.375</v>
      </c>
      <c r="N25" s="198">
        <f>M25</f>
        <v>3.375</v>
      </c>
      <c r="O25"/>
      <c r="P25"/>
    </row>
    <row r="26" spans="1:16" x14ac:dyDescent="0.2">
      <c r="A26" s="153"/>
      <c r="B26" s="91"/>
      <c r="C26" s="93"/>
      <c r="D26" s="348"/>
      <c r="E26" s="351"/>
      <c r="F26" s="353"/>
      <c r="G26" s="329"/>
      <c r="H26" s="342"/>
      <c r="I26" s="333"/>
      <c r="J26" s="179" t="s">
        <v>147</v>
      </c>
      <c r="K26" s="36">
        <v>21.17</v>
      </c>
      <c r="L26" s="196">
        <f>K26</f>
        <v>21.17</v>
      </c>
      <c r="M26" s="195">
        <f>K26/2</f>
        <v>10.585000000000001</v>
      </c>
      <c r="N26" s="198">
        <f>M26</f>
        <v>10.585000000000001</v>
      </c>
      <c r="O26"/>
      <c r="P26"/>
    </row>
    <row r="27" spans="1:16" x14ac:dyDescent="0.2">
      <c r="A27" s="153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97.51</v>
      </c>
      <c r="L27" s="196">
        <f>K27</f>
        <v>97.51</v>
      </c>
      <c r="M27" s="195">
        <f>K27/2</f>
        <v>48.755000000000003</v>
      </c>
      <c r="N27" s="198">
        <f>M27</f>
        <v>48.755000000000003</v>
      </c>
      <c r="O27"/>
      <c r="P27"/>
    </row>
    <row r="28" spans="1:16" x14ac:dyDescent="0.2">
      <c r="A28" s="153"/>
      <c r="B28" s="91"/>
      <c r="C28" s="93"/>
      <c r="D28" s="348"/>
      <c r="E28" s="351"/>
      <c r="F28" s="353"/>
      <c r="G28" s="329"/>
      <c r="H28" s="342"/>
      <c r="I28" s="333"/>
      <c r="J28" s="179" t="s">
        <v>149</v>
      </c>
      <c r="K28" s="36">
        <v>18.84</v>
      </c>
      <c r="L28" s="196">
        <f>K28</f>
        <v>18.84</v>
      </c>
      <c r="M28" s="195">
        <f>K28/2</f>
        <v>9.42</v>
      </c>
      <c r="N28" s="198">
        <f>M28</f>
        <v>9.42</v>
      </c>
      <c r="O28"/>
      <c r="P28"/>
    </row>
    <row r="29" spans="1:16" x14ac:dyDescent="0.2">
      <c r="A29" s="153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857.44967799999995</v>
      </c>
      <c r="M29" s="195">
        <f>K33/2</f>
        <v>428.72483899999997</v>
      </c>
      <c r="N29" s="198">
        <f>M29</f>
        <v>428.72483899999997</v>
      </c>
      <c r="O29"/>
      <c r="P29"/>
    </row>
    <row r="30" spans="1:16" x14ac:dyDescent="0.2">
      <c r="A30" s="153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113">
        <f>SUM(K23:K29)</f>
        <v>7304.27</v>
      </c>
      <c r="L30" s="113">
        <f>SUM(L23:L29)</f>
        <v>1001.7196779999999</v>
      </c>
      <c r="M30" s="113">
        <f>SUM(M23:M29)</f>
        <v>7660.8598390000006</v>
      </c>
      <c r="N30" s="192">
        <f>SUM(N23:N29)</f>
        <v>500.85983899999997</v>
      </c>
    </row>
    <row r="31" spans="1:16" x14ac:dyDescent="0.2">
      <c r="A31" s="153"/>
      <c r="B31" s="91"/>
      <c r="D31" s="348"/>
      <c r="E31" s="351"/>
      <c r="F31" s="353"/>
      <c r="G31" s="329"/>
      <c r="H31" s="342"/>
      <c r="I31" s="333"/>
      <c r="J31" s="181" t="s">
        <v>154</v>
      </c>
      <c r="K31" s="194">
        <f>K30+K33</f>
        <v>8161.7196780000004</v>
      </c>
      <c r="L31" s="36">
        <f>K31-L30</f>
        <v>7160</v>
      </c>
      <c r="N31" s="36"/>
    </row>
    <row r="32" spans="1:16" x14ac:dyDescent="0.2">
      <c r="A32" s="153"/>
      <c r="B32" s="91">
        <f>C32-C4</f>
        <v>1650</v>
      </c>
      <c r="C32" s="93">
        <v>9270</v>
      </c>
      <c r="D32" s="348"/>
      <c r="E32" s="351"/>
      <c r="F32" s="353"/>
      <c r="G32" s="329"/>
      <c r="H32" s="342"/>
      <c r="I32" s="333"/>
      <c r="J32" s="182" t="s">
        <v>152</v>
      </c>
      <c r="K32" s="193">
        <f>H41</f>
        <v>8161.7196780000004</v>
      </c>
      <c r="L32" s="36"/>
    </row>
    <row r="33" spans="1:17" x14ac:dyDescent="0.2">
      <c r="A33" s="153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857.44967799999995</v>
      </c>
      <c r="L33" s="36"/>
    </row>
    <row r="34" spans="1:17" x14ac:dyDescent="0.2">
      <c r="A34" s="153"/>
      <c r="B34" s="91">
        <f>C34-C32</f>
        <v>112</v>
      </c>
      <c r="C34" s="93">
        <v>9382</v>
      </c>
      <c r="G34" s="190">
        <f>G4*G3</f>
        <v>487.26000000000005</v>
      </c>
      <c r="H34" s="111">
        <f>H4*H3</f>
        <v>1055.45</v>
      </c>
      <c r="I34" s="194">
        <f>I4*I3</f>
        <v>6022.3554000000004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7565.0654000000004</v>
      </c>
      <c r="I35" s="362"/>
      <c r="L35" s="36"/>
      <c r="N35"/>
      <c r="O35"/>
      <c r="P35"/>
    </row>
    <row r="36" spans="1:17" x14ac:dyDescent="0.2">
      <c r="A36" s="110" t="s">
        <v>13</v>
      </c>
      <c r="B36" s="114">
        <f>SUM(B4:B35)</f>
        <v>1762</v>
      </c>
      <c r="C36" s="121">
        <f>C4+B36</f>
        <v>9382</v>
      </c>
      <c r="G36" s="191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191" t="s">
        <v>11</v>
      </c>
      <c r="H37" s="359">
        <f>H36+G34+H34+I34</f>
        <v>7603.2854000000007</v>
      </c>
      <c r="I37" s="359"/>
      <c r="J37" s="197"/>
      <c r="N37"/>
      <c r="O37"/>
      <c r="P37"/>
    </row>
    <row r="38" spans="1:17" x14ac:dyDescent="0.2">
      <c r="G38" s="191" t="s">
        <v>12</v>
      </c>
      <c r="H38" s="111">
        <v>24.49</v>
      </c>
      <c r="I38" s="194">
        <f>7/100</f>
        <v>7.0000000000000007E-2</v>
      </c>
      <c r="N38"/>
      <c r="O38"/>
      <c r="P38"/>
    </row>
    <row r="39" spans="1:17" x14ac:dyDescent="0.2">
      <c r="G39" s="191" t="s">
        <v>13</v>
      </c>
      <c r="H39" s="363">
        <f>H37+H38</f>
        <v>7627.7754000000004</v>
      </c>
      <c r="I39" s="363"/>
      <c r="N39"/>
      <c r="O39"/>
      <c r="P39"/>
    </row>
    <row r="40" spans="1:17" x14ac:dyDescent="0.2">
      <c r="G40" s="191" t="s">
        <v>158</v>
      </c>
      <c r="H40" s="360">
        <f>H39*I38</f>
        <v>533.94427800000005</v>
      </c>
      <c r="I40" s="360"/>
      <c r="N40"/>
      <c r="O40"/>
      <c r="P40"/>
    </row>
    <row r="41" spans="1:17" x14ac:dyDescent="0.2">
      <c r="G41" s="190" t="s">
        <v>120</v>
      </c>
      <c r="H41" s="355">
        <f>H39+H40</f>
        <v>8161.7196780000004</v>
      </c>
      <c r="I41" s="355"/>
      <c r="J41" s="36"/>
      <c r="K41" s="2"/>
      <c r="N41"/>
      <c r="O41"/>
      <c r="P41"/>
    </row>
    <row r="42" spans="1:17" x14ac:dyDescent="0.2">
      <c r="G42" s="2"/>
      <c r="J42" s="191"/>
      <c r="M42" s="14"/>
      <c r="N42"/>
      <c r="O42"/>
      <c r="P42"/>
    </row>
    <row r="44" spans="1:17" x14ac:dyDescent="0.2">
      <c r="M44" s="6"/>
      <c r="P44" s="191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C151-4125-4D03-A42E-4DCD82313016}">
  <dimension ref="A1:Q44"/>
  <sheetViews>
    <sheetView topLeftCell="A10" workbookViewId="0">
      <selection activeCell="J47" sqref="J47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99" customWidth="1"/>
    <col min="4" max="4" width="9" style="201"/>
    <col min="5" max="6" width="13" style="201" customWidth="1"/>
    <col min="7" max="7" width="12.5" style="201" customWidth="1"/>
    <col min="8" max="9" width="12.375" style="201" customWidth="1"/>
    <col min="10" max="10" width="50.25" style="2" bestFit="1" customWidth="1"/>
    <col min="11" max="11" width="12.625" style="201" customWidth="1"/>
    <col min="12" max="12" width="16.25" style="201" customWidth="1"/>
    <col min="13" max="13" width="16" style="201" customWidth="1"/>
    <col min="14" max="14" width="11" style="201" customWidth="1"/>
    <col min="15" max="15" width="9" style="201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01" t="s">
        <v>67</v>
      </c>
      <c r="H2" s="201" t="s">
        <v>68</v>
      </c>
      <c r="I2" s="201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199" t="s">
        <v>16</v>
      </c>
      <c r="D3" s="201" t="s">
        <v>6</v>
      </c>
      <c r="E3" s="201" t="s">
        <v>7</v>
      </c>
      <c r="F3" s="201" t="s">
        <v>14</v>
      </c>
      <c r="G3" s="201">
        <f>L4</f>
        <v>3.2484000000000002</v>
      </c>
      <c r="H3" s="201">
        <f>L5</f>
        <v>4.2218</v>
      </c>
      <c r="I3" s="201">
        <v>4.4217000000000004</v>
      </c>
      <c r="L3" s="201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9382</v>
      </c>
      <c r="D4" s="361">
        <f>C4</f>
        <v>9382</v>
      </c>
      <c r="E4" s="356">
        <f>C36-D4</f>
        <v>1956</v>
      </c>
      <c r="F4" s="353"/>
      <c r="G4" s="329">
        <v>150</v>
      </c>
      <c r="H4" s="342">
        <v>250</v>
      </c>
      <c r="I4" s="357">
        <f>E4-G4-H4</f>
        <v>1556</v>
      </c>
      <c r="J4" s="2" t="s">
        <v>0</v>
      </c>
      <c r="K4" s="201" t="s">
        <v>1</v>
      </c>
      <c r="L4" s="201">
        <v>3.2484000000000002</v>
      </c>
      <c r="M4"/>
      <c r="N4"/>
      <c r="O4"/>
      <c r="P4"/>
    </row>
    <row r="5" spans="1:16" x14ac:dyDescent="0.2">
      <c r="A5" s="153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01" t="s">
        <v>1</v>
      </c>
      <c r="L5" s="201">
        <v>4.2218</v>
      </c>
      <c r="M5"/>
      <c r="N5"/>
      <c r="O5"/>
      <c r="P5"/>
    </row>
    <row r="6" spans="1:16" x14ac:dyDescent="0.2">
      <c r="A6" s="153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01" t="s">
        <v>1</v>
      </c>
      <c r="L6" s="201">
        <v>4.4217000000000004</v>
      </c>
      <c r="M6"/>
      <c r="N6"/>
      <c r="O6"/>
      <c r="P6"/>
    </row>
    <row r="7" spans="1:16" x14ac:dyDescent="0.2">
      <c r="A7" s="153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01">
        <v>38.22</v>
      </c>
      <c r="M7"/>
      <c r="N7"/>
      <c r="O7"/>
      <c r="P7"/>
    </row>
    <row r="8" spans="1:16" x14ac:dyDescent="0.2">
      <c r="A8" s="153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153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153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153"/>
      <c r="B11" s="91">
        <f>C11-C4</f>
        <v>459</v>
      </c>
      <c r="C11" s="93">
        <v>9841</v>
      </c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153"/>
      <c r="B12" s="91"/>
      <c r="D12" s="348"/>
      <c r="E12" s="351"/>
      <c r="F12" s="353"/>
      <c r="G12" s="329"/>
      <c r="H12" s="342"/>
      <c r="I12" s="333"/>
      <c r="L12" s="201">
        <v>1709</v>
      </c>
      <c r="M12">
        <v>2440</v>
      </c>
      <c r="N12">
        <v>2300</v>
      </c>
      <c r="O12"/>
      <c r="P12"/>
    </row>
    <row r="13" spans="1:16" x14ac:dyDescent="0.2">
      <c r="A13" s="153"/>
      <c r="B13" s="91">
        <f>C13-C11</f>
        <v>158</v>
      </c>
      <c r="C13" s="93">
        <v>9999</v>
      </c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>
        <v>1</v>
      </c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03"/>
      <c r="M15" s="58"/>
      <c r="N15"/>
      <c r="O15" s="58"/>
      <c r="P15"/>
    </row>
    <row r="16" spans="1:16" x14ac:dyDescent="0.2">
      <c r="A16" s="153"/>
      <c r="B16" s="91">
        <v>148</v>
      </c>
      <c r="C16" s="93">
        <v>147</v>
      </c>
      <c r="D16" s="348"/>
      <c r="E16" s="351"/>
      <c r="F16" s="353"/>
      <c r="G16" s="329"/>
      <c r="H16" s="342"/>
      <c r="I16" s="333"/>
      <c r="J16" s="2" t="s">
        <v>24</v>
      </c>
      <c r="L16" s="203"/>
      <c r="M16" s="58"/>
      <c r="N16"/>
      <c r="O16" s="58"/>
      <c r="P16"/>
    </row>
    <row r="17" spans="1:16" x14ac:dyDescent="0.2">
      <c r="A17" s="153"/>
      <c r="B17" s="91">
        <f>C17-C16</f>
        <v>63</v>
      </c>
      <c r="C17" s="93">
        <v>210</v>
      </c>
      <c r="D17" s="348"/>
      <c r="E17" s="351"/>
      <c r="F17" s="353"/>
      <c r="G17" s="329"/>
      <c r="H17" s="342"/>
      <c r="I17" s="333"/>
      <c r="J17" s="2" t="s">
        <v>25</v>
      </c>
      <c r="L17" s="203"/>
      <c r="M17" s="58"/>
      <c r="N17"/>
      <c r="O17" s="58"/>
      <c r="P17"/>
    </row>
    <row r="18" spans="1:16" x14ac:dyDescent="0.2">
      <c r="A18" s="153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03"/>
      <c r="M18" s="58"/>
      <c r="N18"/>
      <c r="O18" s="58"/>
      <c r="P18"/>
    </row>
    <row r="19" spans="1:16" x14ac:dyDescent="0.2">
      <c r="A19" s="153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153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153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5345</v>
      </c>
      <c r="L23" s="196"/>
      <c r="M23" s="195">
        <f>K23</f>
        <v>5345</v>
      </c>
      <c r="N23" s="198"/>
      <c r="O23"/>
      <c r="P23"/>
    </row>
    <row r="24" spans="1:16" x14ac:dyDescent="0.2">
      <c r="A24" s="153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2497</v>
      </c>
      <c r="L24" s="196"/>
      <c r="M24" s="195">
        <f>K24</f>
        <v>2497</v>
      </c>
      <c r="N24" s="198"/>
      <c r="O24"/>
      <c r="P24"/>
    </row>
    <row r="25" spans="1:16" x14ac:dyDescent="0.2">
      <c r="A25" s="153"/>
      <c r="B25" s="91">
        <f>C25-C17</f>
        <v>500</v>
      </c>
      <c r="C25" s="93">
        <v>710</v>
      </c>
      <c r="D25" s="348"/>
      <c r="E25" s="351"/>
      <c r="F25" s="353"/>
      <c r="G25" s="329"/>
      <c r="H25" s="342"/>
      <c r="I25" s="333"/>
      <c r="J25" s="179" t="s">
        <v>146</v>
      </c>
      <c r="K25" s="36">
        <v>8.82</v>
      </c>
      <c r="L25" s="196">
        <f>K25</f>
        <v>8.82</v>
      </c>
      <c r="M25" s="195">
        <f>K25/2</f>
        <v>4.41</v>
      </c>
      <c r="N25" s="198">
        <f>M25</f>
        <v>4.41</v>
      </c>
      <c r="O25"/>
      <c r="P25"/>
    </row>
    <row r="26" spans="1:16" x14ac:dyDescent="0.2">
      <c r="A26" s="153"/>
      <c r="B26" s="91"/>
      <c r="C26" s="93"/>
      <c r="D26" s="348"/>
      <c r="E26" s="351"/>
      <c r="F26" s="353"/>
      <c r="G26" s="329"/>
      <c r="H26" s="342"/>
      <c r="I26" s="333"/>
      <c r="J26" s="179" t="s">
        <v>147</v>
      </c>
      <c r="K26" s="36">
        <v>116.2</v>
      </c>
      <c r="L26" s="196">
        <f>K26</f>
        <v>116.2</v>
      </c>
      <c r="M26" s="195">
        <f>K26/2</f>
        <v>58.1</v>
      </c>
      <c r="N26" s="198">
        <f>M26</f>
        <v>58.1</v>
      </c>
      <c r="O26"/>
      <c r="P26"/>
    </row>
    <row r="27" spans="1:16" x14ac:dyDescent="0.2">
      <c r="A27" s="153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163.69999999999999</v>
      </c>
      <c r="L27" s="196">
        <f>K27</f>
        <v>163.69999999999999</v>
      </c>
      <c r="M27" s="195">
        <f>K27/2</f>
        <v>81.849999999999994</v>
      </c>
      <c r="N27" s="198">
        <f>M27</f>
        <v>81.849999999999994</v>
      </c>
      <c r="O27"/>
      <c r="P27"/>
    </row>
    <row r="28" spans="1:16" x14ac:dyDescent="0.2">
      <c r="A28" s="153"/>
      <c r="B28" s="91">
        <f>C28-C25</f>
        <v>200</v>
      </c>
      <c r="C28" s="93">
        <v>910</v>
      </c>
      <c r="D28" s="348"/>
      <c r="E28" s="351"/>
      <c r="F28" s="353"/>
      <c r="G28" s="329"/>
      <c r="H28" s="342"/>
      <c r="I28" s="333"/>
      <c r="J28" s="179" t="s">
        <v>149</v>
      </c>
      <c r="K28" s="36">
        <v>89.91</v>
      </c>
      <c r="L28" s="196">
        <f>K28</f>
        <v>89.91</v>
      </c>
      <c r="M28" s="195">
        <f>K28/2</f>
        <v>44.954999999999998</v>
      </c>
      <c r="N28" s="198">
        <f>M28</f>
        <v>44.954999999999998</v>
      </c>
      <c r="O28"/>
      <c r="P28"/>
    </row>
    <row r="29" spans="1:16" x14ac:dyDescent="0.2">
      <c r="A29" s="153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861.8351640000019</v>
      </c>
      <c r="M29" s="195">
        <f>K33/2</f>
        <v>430.91758200000095</v>
      </c>
      <c r="N29" s="198">
        <f>M29</f>
        <v>430.91758200000095</v>
      </c>
      <c r="O29"/>
      <c r="P29"/>
    </row>
    <row r="30" spans="1:16" x14ac:dyDescent="0.2">
      <c r="A30" s="153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05">
        <f>SUM(K23:K29)</f>
        <v>8220.6299999999992</v>
      </c>
      <c r="L30" s="205">
        <f>SUM(L23:L29)</f>
        <v>1240.465164000002</v>
      </c>
      <c r="M30" s="205">
        <f>SUM(M23:M29)</f>
        <v>8462.2325820000005</v>
      </c>
      <c r="N30" s="202">
        <f>SUM(N23:N29)</f>
        <v>620.232582000001</v>
      </c>
    </row>
    <row r="31" spans="1:16" x14ac:dyDescent="0.2">
      <c r="A31" s="153"/>
      <c r="B31" s="91"/>
      <c r="D31" s="348"/>
      <c r="E31" s="351"/>
      <c r="F31" s="353"/>
      <c r="G31" s="329"/>
      <c r="H31" s="342"/>
      <c r="I31" s="333"/>
      <c r="J31" s="181" t="s">
        <v>154</v>
      </c>
      <c r="K31" s="204">
        <f>K30+K33</f>
        <v>9082.4651640000011</v>
      </c>
      <c r="L31" s="36">
        <f>K31-L30</f>
        <v>7841.9999999999991</v>
      </c>
      <c r="N31" s="36"/>
    </row>
    <row r="32" spans="1:16" x14ac:dyDescent="0.2">
      <c r="A32" s="153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03">
        <f>H41</f>
        <v>9082.4651640000011</v>
      </c>
      <c r="L32" s="36"/>
    </row>
    <row r="33" spans="1:17" x14ac:dyDescent="0.2">
      <c r="A33" s="153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861.8351640000019</v>
      </c>
      <c r="L33" s="36"/>
    </row>
    <row r="34" spans="1:17" x14ac:dyDescent="0.2">
      <c r="A34" s="153"/>
      <c r="B34" s="91">
        <f>C34-C28</f>
        <v>428</v>
      </c>
      <c r="C34" s="93">
        <v>1338</v>
      </c>
      <c r="G34" s="200">
        <f>G4*G3</f>
        <v>487.26000000000005</v>
      </c>
      <c r="H34" s="111">
        <f>H4*H3</f>
        <v>1055.45</v>
      </c>
      <c r="I34" s="204">
        <f>I4*I3</f>
        <v>6880.1652000000004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8422.8752000000004</v>
      </c>
      <c r="I35" s="362"/>
      <c r="L35" s="36"/>
      <c r="N35"/>
      <c r="O35"/>
      <c r="P35"/>
    </row>
    <row r="36" spans="1:17" x14ac:dyDescent="0.2">
      <c r="A36" s="110" t="s">
        <v>13</v>
      </c>
      <c r="B36" s="114">
        <f>SUM(B4:B35)</f>
        <v>1956</v>
      </c>
      <c r="C36" s="121">
        <f>C4+B36</f>
        <v>11338</v>
      </c>
      <c r="G36" s="201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01" t="s">
        <v>11</v>
      </c>
      <c r="H37" s="359">
        <f>H36+G34+H34+I34</f>
        <v>8461.0951999999997</v>
      </c>
      <c r="I37" s="359"/>
      <c r="J37" s="197"/>
      <c r="N37"/>
      <c r="O37"/>
      <c r="P37"/>
    </row>
    <row r="38" spans="1:17" x14ac:dyDescent="0.2">
      <c r="G38" s="201" t="s">
        <v>12</v>
      </c>
      <c r="H38" s="111">
        <v>27.19</v>
      </c>
      <c r="I38" s="204">
        <f>7/100</f>
        <v>7.0000000000000007E-2</v>
      </c>
      <c r="N38"/>
      <c r="O38"/>
      <c r="P38"/>
    </row>
    <row r="39" spans="1:17" x14ac:dyDescent="0.2">
      <c r="G39" s="201" t="s">
        <v>13</v>
      </c>
      <c r="H39" s="363">
        <f>H37+H38</f>
        <v>8488.2852000000003</v>
      </c>
      <c r="I39" s="363"/>
      <c r="N39"/>
      <c r="O39"/>
      <c r="P39"/>
    </row>
    <row r="40" spans="1:17" x14ac:dyDescent="0.2">
      <c r="G40" s="201" t="s">
        <v>158</v>
      </c>
      <c r="H40" s="360">
        <f>H39*I38</f>
        <v>594.17996400000004</v>
      </c>
      <c r="I40" s="360"/>
      <c r="N40"/>
      <c r="O40"/>
      <c r="P40"/>
    </row>
    <row r="41" spans="1:17" x14ac:dyDescent="0.2">
      <c r="G41" s="200" t="s">
        <v>120</v>
      </c>
      <c r="H41" s="355">
        <f>H39+H40</f>
        <v>9082.4651640000011</v>
      </c>
      <c r="I41" s="355"/>
      <c r="J41" s="36"/>
      <c r="K41" s="2"/>
      <c r="N41"/>
      <c r="O41"/>
      <c r="P41"/>
    </row>
    <row r="42" spans="1:17" x14ac:dyDescent="0.2">
      <c r="G42" s="2"/>
      <c r="J42" s="201"/>
      <c r="M42" s="14"/>
      <c r="N42"/>
      <c r="O42"/>
      <c r="P42"/>
    </row>
    <row r="44" spans="1:17" x14ac:dyDescent="0.2">
      <c r="M44" s="6"/>
      <c r="P44" s="201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47BF-C59B-4029-88EB-7D1DF75899E0}">
  <dimension ref="A1:Q44"/>
  <sheetViews>
    <sheetView topLeftCell="A7" workbookViewId="0">
      <selection activeCell="J43" sqref="J43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06" customWidth="1"/>
    <col min="4" max="4" width="9" style="208"/>
    <col min="5" max="6" width="13" style="208" customWidth="1"/>
    <col min="7" max="7" width="12.5" style="208" customWidth="1"/>
    <col min="8" max="9" width="12.375" style="208" customWidth="1"/>
    <col min="10" max="10" width="50.25" style="2" bestFit="1" customWidth="1"/>
    <col min="11" max="11" width="12.625" style="208" customWidth="1"/>
    <col min="12" max="12" width="16.25" style="208" customWidth="1"/>
    <col min="13" max="13" width="16" style="208" customWidth="1"/>
    <col min="14" max="14" width="11" style="208" customWidth="1"/>
    <col min="15" max="15" width="9" style="208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08" t="s">
        <v>67</v>
      </c>
      <c r="H2" s="208" t="s">
        <v>68</v>
      </c>
      <c r="I2" s="208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06" t="s">
        <v>16</v>
      </c>
      <c r="D3" s="208" t="s">
        <v>6</v>
      </c>
      <c r="E3" s="208" t="s">
        <v>7</v>
      </c>
      <c r="F3" s="208" t="s">
        <v>14</v>
      </c>
      <c r="G3" s="208">
        <f>L4</f>
        <v>3.2484000000000002</v>
      </c>
      <c r="H3" s="208">
        <f>L5</f>
        <v>4.2218</v>
      </c>
      <c r="I3" s="208">
        <v>4.4217000000000004</v>
      </c>
      <c r="L3" s="208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1338</v>
      </c>
      <c r="D4" s="361">
        <f>C4</f>
        <v>1338</v>
      </c>
      <c r="E4" s="356">
        <f>C36-D4</f>
        <v>1878</v>
      </c>
      <c r="F4" s="353"/>
      <c r="G4" s="329">
        <v>150</v>
      </c>
      <c r="H4" s="342">
        <v>250</v>
      </c>
      <c r="I4" s="357">
        <f>E4-G4-H4</f>
        <v>1478</v>
      </c>
      <c r="J4" s="2" t="s">
        <v>0</v>
      </c>
      <c r="K4" s="208" t="s">
        <v>1</v>
      </c>
      <c r="L4" s="208">
        <v>3.2484000000000002</v>
      </c>
      <c r="M4"/>
      <c r="N4"/>
      <c r="O4"/>
      <c r="P4"/>
    </row>
    <row r="5" spans="1:16" x14ac:dyDescent="0.2">
      <c r="A5" s="153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08" t="s">
        <v>1</v>
      </c>
      <c r="L5" s="208">
        <v>4.2218</v>
      </c>
      <c r="M5"/>
      <c r="N5"/>
      <c r="O5"/>
      <c r="P5"/>
    </row>
    <row r="6" spans="1:16" x14ac:dyDescent="0.2">
      <c r="A6" s="153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08" t="s">
        <v>1</v>
      </c>
      <c r="L6" s="208">
        <v>4.4217000000000004</v>
      </c>
      <c r="M6"/>
      <c r="N6"/>
      <c r="O6"/>
      <c r="P6"/>
    </row>
    <row r="7" spans="1:16" x14ac:dyDescent="0.2">
      <c r="A7" s="153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08">
        <v>38.22</v>
      </c>
      <c r="M7"/>
      <c r="N7"/>
      <c r="O7"/>
      <c r="P7"/>
    </row>
    <row r="8" spans="1:16" x14ac:dyDescent="0.2">
      <c r="A8" s="153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153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153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153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153"/>
      <c r="B12" s="91"/>
      <c r="D12" s="348"/>
      <c r="E12" s="351"/>
      <c r="F12" s="353"/>
      <c r="G12" s="329"/>
      <c r="H12" s="342"/>
      <c r="I12" s="333"/>
      <c r="L12" s="208">
        <v>1709</v>
      </c>
      <c r="M12">
        <v>2440</v>
      </c>
      <c r="N12">
        <v>2300</v>
      </c>
      <c r="O12"/>
      <c r="P12"/>
    </row>
    <row r="13" spans="1:16" x14ac:dyDescent="0.2">
      <c r="A13" s="153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10"/>
      <c r="M15" s="58"/>
      <c r="N15"/>
      <c r="O15" s="58"/>
      <c r="P15"/>
    </row>
    <row r="16" spans="1:16" x14ac:dyDescent="0.2">
      <c r="A16" s="153"/>
      <c r="B16" s="91">
        <f>C16-C4</f>
        <v>747</v>
      </c>
      <c r="C16" s="93">
        <v>2085</v>
      </c>
      <c r="D16" s="348"/>
      <c r="E16" s="351"/>
      <c r="F16" s="353"/>
      <c r="G16" s="329"/>
      <c r="H16" s="342"/>
      <c r="I16" s="333"/>
      <c r="J16" s="2" t="s">
        <v>24</v>
      </c>
      <c r="L16" s="210"/>
      <c r="M16" s="58"/>
      <c r="N16"/>
      <c r="O16" s="58"/>
      <c r="P16"/>
    </row>
    <row r="17" spans="1:16" x14ac:dyDescent="0.2">
      <c r="A17" s="153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10"/>
      <c r="M17" s="58"/>
      <c r="N17"/>
      <c r="O17" s="58"/>
      <c r="P17"/>
    </row>
    <row r="18" spans="1:16" x14ac:dyDescent="0.2">
      <c r="A18" s="153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10"/>
      <c r="M18" s="58"/>
      <c r="N18"/>
      <c r="O18" s="58"/>
      <c r="P18"/>
    </row>
    <row r="19" spans="1:16" x14ac:dyDescent="0.2">
      <c r="A19" s="153"/>
      <c r="B19" s="91">
        <f>C19-C16</f>
        <v>199</v>
      </c>
      <c r="C19" s="93">
        <v>2284</v>
      </c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153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153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4931</v>
      </c>
      <c r="L23" s="196"/>
      <c r="M23" s="195">
        <f>K23</f>
        <v>4931</v>
      </c>
      <c r="N23" s="198"/>
      <c r="O23"/>
      <c r="P23"/>
    </row>
    <row r="24" spans="1:16" x14ac:dyDescent="0.2">
      <c r="A24" s="153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2417</v>
      </c>
      <c r="L24" s="196"/>
      <c r="M24" s="195">
        <f>K24</f>
        <v>2417</v>
      </c>
      <c r="N24" s="198"/>
      <c r="O24"/>
      <c r="P24"/>
    </row>
    <row r="25" spans="1:16" x14ac:dyDescent="0.2">
      <c r="A25" s="153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4.05</v>
      </c>
      <c r="L25" s="196">
        <f>K25</f>
        <v>4.05</v>
      </c>
      <c r="M25" s="195">
        <f>K25/2</f>
        <v>2.0249999999999999</v>
      </c>
      <c r="N25" s="198">
        <f>M25</f>
        <v>2.0249999999999999</v>
      </c>
      <c r="O25"/>
      <c r="P25"/>
    </row>
    <row r="26" spans="1:16" x14ac:dyDescent="0.2">
      <c r="A26" s="153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123.5</v>
      </c>
      <c r="L26" s="196">
        <f>K26</f>
        <v>123.5</v>
      </c>
      <c r="M26" s="195">
        <f>K26/2</f>
        <v>61.75</v>
      </c>
      <c r="N26" s="198">
        <f>M26</f>
        <v>61.75</v>
      </c>
      <c r="O26"/>
      <c r="P26"/>
    </row>
    <row r="27" spans="1:16" x14ac:dyDescent="0.2">
      <c r="A27" s="153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249</v>
      </c>
      <c r="L27" s="196">
        <f>K27</f>
        <v>249</v>
      </c>
      <c r="M27" s="195">
        <f>K27/2</f>
        <v>124.5</v>
      </c>
      <c r="N27" s="198">
        <f>M27</f>
        <v>124.5</v>
      </c>
      <c r="O27"/>
      <c r="P27"/>
    </row>
    <row r="28" spans="1:16" x14ac:dyDescent="0.2">
      <c r="A28" s="153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58.08</v>
      </c>
      <c r="L28" s="196">
        <f>K28</f>
        <v>58.08</v>
      </c>
      <c r="M28" s="195">
        <f>K28/2</f>
        <v>29.04</v>
      </c>
      <c r="N28" s="198">
        <f>M28</f>
        <v>29.04</v>
      </c>
      <c r="O28"/>
      <c r="P28"/>
    </row>
    <row r="29" spans="1:16" x14ac:dyDescent="0.2">
      <c r="A29" s="153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929.6337820000017</v>
      </c>
      <c r="M29" s="195">
        <f>K33/2</f>
        <v>464.81689100000085</v>
      </c>
      <c r="N29" s="198">
        <f>M29</f>
        <v>464.81689100000085</v>
      </c>
      <c r="O29"/>
      <c r="P29"/>
    </row>
    <row r="30" spans="1:16" x14ac:dyDescent="0.2">
      <c r="A30" s="153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12">
        <f>SUM(K23:K29)</f>
        <v>7782.63</v>
      </c>
      <c r="L30" s="212">
        <f>SUM(L23:L29)</f>
        <v>1364.2637820000018</v>
      </c>
      <c r="M30" s="212">
        <f>SUM(M23:M29)</f>
        <v>8030.1318910000009</v>
      </c>
      <c r="N30" s="209">
        <f>SUM(N23:N29)</f>
        <v>682.13189100000091</v>
      </c>
    </row>
    <row r="31" spans="1:16" x14ac:dyDescent="0.2">
      <c r="A31" s="153"/>
      <c r="B31" s="91"/>
      <c r="D31" s="348"/>
      <c r="E31" s="351"/>
      <c r="F31" s="353"/>
      <c r="G31" s="329"/>
      <c r="H31" s="342"/>
      <c r="I31" s="333"/>
      <c r="J31" s="181" t="s">
        <v>154</v>
      </c>
      <c r="K31" s="211">
        <f>K30+K33</f>
        <v>8712.2637820000018</v>
      </c>
      <c r="L31" s="36">
        <f>K31-L30</f>
        <v>7348</v>
      </c>
      <c r="N31" s="36"/>
    </row>
    <row r="32" spans="1:16" x14ac:dyDescent="0.2">
      <c r="A32" s="153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10">
        <f>H41</f>
        <v>8712.2637820000018</v>
      </c>
      <c r="L32" s="36"/>
    </row>
    <row r="33" spans="1:17" x14ac:dyDescent="0.2">
      <c r="A33" s="153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929.6337820000017</v>
      </c>
      <c r="L33" s="36"/>
    </row>
    <row r="34" spans="1:17" x14ac:dyDescent="0.2">
      <c r="A34" s="153"/>
      <c r="B34" s="91">
        <f>C34-C19</f>
        <v>932</v>
      </c>
      <c r="C34" s="93">
        <v>3216</v>
      </c>
      <c r="G34" s="207">
        <f>G4*G3</f>
        <v>487.26000000000005</v>
      </c>
      <c r="H34" s="111">
        <f>H4*H3</f>
        <v>1055.45</v>
      </c>
      <c r="I34" s="211">
        <f>I4*I3</f>
        <v>6535.2726000000002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8077.9826000000003</v>
      </c>
      <c r="I35" s="362"/>
      <c r="L35" s="36"/>
      <c r="N35"/>
      <c r="O35"/>
      <c r="P35"/>
    </row>
    <row r="36" spans="1:17" x14ac:dyDescent="0.2">
      <c r="A36" s="110" t="s">
        <v>13</v>
      </c>
      <c r="B36" s="114">
        <f>SUM(B4:B35)</f>
        <v>1878</v>
      </c>
      <c r="C36" s="121">
        <f>C4+B36</f>
        <v>3216</v>
      </c>
      <c r="G36" s="208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08" t="s">
        <v>11</v>
      </c>
      <c r="H37" s="359">
        <f>H36+G34+H34+I34</f>
        <v>8116.2026000000005</v>
      </c>
      <c r="I37" s="359"/>
      <c r="J37" s="197"/>
      <c r="N37"/>
      <c r="O37"/>
      <c r="P37"/>
    </row>
    <row r="38" spans="1:17" x14ac:dyDescent="0.2">
      <c r="G38" s="208" t="s">
        <v>12</v>
      </c>
      <c r="H38" s="111">
        <v>26.1</v>
      </c>
      <c r="I38" s="211">
        <f>7/100</f>
        <v>7.0000000000000007E-2</v>
      </c>
      <c r="N38"/>
      <c r="O38"/>
      <c r="P38"/>
    </row>
    <row r="39" spans="1:17" x14ac:dyDescent="0.2">
      <c r="G39" s="208" t="s">
        <v>13</v>
      </c>
      <c r="H39" s="363">
        <f>H37+H38</f>
        <v>8142.3026000000009</v>
      </c>
      <c r="I39" s="363"/>
      <c r="N39"/>
      <c r="O39"/>
      <c r="P39"/>
    </row>
    <row r="40" spans="1:17" x14ac:dyDescent="0.2">
      <c r="G40" s="208" t="s">
        <v>158</v>
      </c>
      <c r="H40" s="360">
        <f>H39*I38</f>
        <v>569.96118200000012</v>
      </c>
      <c r="I40" s="360"/>
      <c r="N40"/>
      <c r="O40"/>
      <c r="P40"/>
    </row>
    <row r="41" spans="1:17" x14ac:dyDescent="0.2">
      <c r="G41" s="207" t="s">
        <v>120</v>
      </c>
      <c r="H41" s="355">
        <f>H39+H40</f>
        <v>8712.2637820000018</v>
      </c>
      <c r="I41" s="355"/>
      <c r="J41" s="36"/>
      <c r="K41" s="2"/>
      <c r="N41"/>
      <c r="O41"/>
      <c r="P41"/>
    </row>
    <row r="42" spans="1:17" x14ac:dyDescent="0.2">
      <c r="G42" s="2"/>
      <c r="J42" s="208"/>
      <c r="M42" s="14"/>
      <c r="N42"/>
      <c r="O42"/>
      <c r="P42"/>
    </row>
    <row r="44" spans="1:17" x14ac:dyDescent="0.2">
      <c r="M44" s="6"/>
      <c r="P44" s="208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21AB-198D-458C-8D1E-6C06DABF2DA1}">
  <dimension ref="A1:Q44"/>
  <sheetViews>
    <sheetView workbookViewId="0">
      <selection activeCell="B24" sqref="B24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13" customWidth="1"/>
    <col min="4" max="4" width="9" style="215"/>
    <col min="5" max="6" width="13" style="215" customWidth="1"/>
    <col min="7" max="7" width="12.5" style="215" customWidth="1"/>
    <col min="8" max="9" width="12.375" style="215" customWidth="1"/>
    <col min="10" max="10" width="50.25" style="2" bestFit="1" customWidth="1"/>
    <col min="11" max="11" width="12.625" style="215" customWidth="1"/>
    <col min="12" max="12" width="16.25" style="215" customWidth="1"/>
    <col min="13" max="13" width="16" style="215" customWidth="1"/>
    <col min="14" max="14" width="11" style="215" customWidth="1"/>
    <col min="15" max="15" width="9" style="215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15" t="s">
        <v>67</v>
      </c>
      <c r="H2" s="215" t="s">
        <v>68</v>
      </c>
      <c r="I2" s="215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13" t="s">
        <v>16</v>
      </c>
      <c r="D3" s="215" t="s">
        <v>6</v>
      </c>
      <c r="E3" s="215" t="s">
        <v>7</v>
      </c>
      <c r="F3" s="215" t="s">
        <v>14</v>
      </c>
      <c r="G3" s="215">
        <f>L4</f>
        <v>3.2484000000000002</v>
      </c>
      <c r="H3" s="215">
        <f>L5</f>
        <v>4.2218</v>
      </c>
      <c r="I3" s="215">
        <v>4.4217000000000004</v>
      </c>
      <c r="L3" s="215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3216</v>
      </c>
      <c r="D4" s="361">
        <f>C4</f>
        <v>3216</v>
      </c>
      <c r="E4" s="356">
        <f>C36-D4</f>
        <v>1964</v>
      </c>
      <c r="F4" s="353"/>
      <c r="G4" s="329">
        <v>150</v>
      </c>
      <c r="H4" s="342">
        <v>250</v>
      </c>
      <c r="I4" s="357">
        <f>E4-G4-H4</f>
        <v>1564</v>
      </c>
      <c r="J4" s="2" t="s">
        <v>0</v>
      </c>
      <c r="K4" s="215" t="s">
        <v>1</v>
      </c>
      <c r="L4" s="215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15" t="s">
        <v>1</v>
      </c>
      <c r="L5" s="215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15" t="s">
        <v>1</v>
      </c>
      <c r="L6" s="215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15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15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17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17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17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17"/>
      <c r="M18" s="58"/>
      <c r="N18"/>
      <c r="O18" s="58"/>
      <c r="P18"/>
    </row>
    <row r="19" spans="1:16" x14ac:dyDescent="0.2">
      <c r="A19" s="220"/>
      <c r="B19" s="91">
        <f>C19-C4</f>
        <v>955</v>
      </c>
      <c r="C19" s="93">
        <v>4171</v>
      </c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>
        <f>B23/5</f>
        <v>50.6</v>
      </c>
      <c r="B23" s="91">
        <f>C23-C19</f>
        <v>253</v>
      </c>
      <c r="C23" s="93">
        <v>4424</v>
      </c>
      <c r="D23" s="348"/>
      <c r="E23" s="351"/>
      <c r="F23" s="353"/>
      <c r="G23" s="329"/>
      <c r="H23" s="342"/>
      <c r="I23" s="333"/>
      <c r="J23" s="179" t="s">
        <v>151</v>
      </c>
      <c r="K23" s="36">
        <v>5350</v>
      </c>
      <c r="L23" s="196"/>
      <c r="M23" s="195">
        <f>K23</f>
        <v>5350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2620</v>
      </c>
      <c r="L24" s="196"/>
      <c r="M24" s="195">
        <f>K24</f>
        <v>2620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9.4499999999999993</v>
      </c>
      <c r="L25" s="196">
        <f>K25</f>
        <v>9.4499999999999993</v>
      </c>
      <c r="M25" s="195">
        <f>K25/2</f>
        <v>4.7249999999999996</v>
      </c>
      <c r="N25" s="198">
        <f>M25</f>
        <v>4.7249999999999996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130.80000000000001</v>
      </c>
      <c r="L26" s="196">
        <f>K26</f>
        <v>130.80000000000001</v>
      </c>
      <c r="M26" s="195">
        <f>K26/2</f>
        <v>65.400000000000006</v>
      </c>
      <c r="N26" s="198">
        <f>M26</f>
        <v>65.400000000000006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251.1</v>
      </c>
      <c r="L27" s="196">
        <f>K27</f>
        <v>251.1</v>
      </c>
      <c r="M27" s="195">
        <f>K27/2</f>
        <v>125.55</v>
      </c>
      <c r="N27" s="198">
        <f>M27</f>
        <v>125.55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73.12</v>
      </c>
      <c r="L28" s="196">
        <f>K28</f>
        <v>73.12</v>
      </c>
      <c r="M28" s="195">
        <f>K28/2</f>
        <v>36.56</v>
      </c>
      <c r="N28" s="198">
        <f>M28</f>
        <v>36.56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1177.2852159999984</v>
      </c>
      <c r="M29" s="195">
        <f>K33/2</f>
        <v>588.6426079999992</v>
      </c>
      <c r="N29" s="198">
        <f>M29</f>
        <v>588.6426079999992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19">
        <f>SUM(K23:K29)</f>
        <v>8434.4700000000012</v>
      </c>
      <c r="L30" s="219">
        <f>SUM(L23:L29)</f>
        <v>1641.7552159999984</v>
      </c>
      <c r="M30" s="219">
        <f>SUM(M23:M29)</f>
        <v>8790.8776079999989</v>
      </c>
      <c r="N30" s="216">
        <f>SUM(N23:N29)</f>
        <v>820.87760799999921</v>
      </c>
    </row>
    <row r="31" spans="1:16" x14ac:dyDescent="0.2">
      <c r="A31" s="220"/>
      <c r="B31" s="91">
        <f>C31-C23</f>
        <v>506</v>
      </c>
      <c r="C31" s="213">
        <v>4930</v>
      </c>
      <c r="D31" s="348"/>
      <c r="E31" s="351"/>
      <c r="F31" s="353"/>
      <c r="G31" s="329"/>
      <c r="H31" s="342"/>
      <c r="I31" s="333"/>
      <c r="J31" s="181" t="s">
        <v>154</v>
      </c>
      <c r="K31" s="218">
        <f>K30+K33</f>
        <v>9611.7552159999996</v>
      </c>
      <c r="L31" s="36">
        <f>K31-L30</f>
        <v>7970.0000000000009</v>
      </c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17">
        <f>H41</f>
        <v>9611.7552159999996</v>
      </c>
      <c r="L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1177.2852159999984</v>
      </c>
      <c r="L33" s="36"/>
    </row>
    <row r="34" spans="1:17" x14ac:dyDescent="0.2">
      <c r="A34" s="220"/>
      <c r="B34" s="91">
        <f>C34-C31</f>
        <v>250</v>
      </c>
      <c r="C34" s="93">
        <v>5180</v>
      </c>
      <c r="G34" s="214">
        <f>G4*G3</f>
        <v>487.26000000000005</v>
      </c>
      <c r="H34" s="111">
        <f>H4*H3</f>
        <v>1055.45</v>
      </c>
      <c r="I34" s="218">
        <f>I4*I3</f>
        <v>6915.5388000000003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8458.2488000000012</v>
      </c>
      <c r="I35" s="362"/>
      <c r="L35" s="36"/>
      <c r="N35"/>
      <c r="O35"/>
      <c r="P35"/>
    </row>
    <row r="36" spans="1:17" x14ac:dyDescent="0.2">
      <c r="A36" s="110" t="s">
        <v>13</v>
      </c>
      <c r="B36" s="114">
        <f>SUM(B4:B35)</f>
        <v>1964</v>
      </c>
      <c r="C36" s="121">
        <f>C4+B36</f>
        <v>5180</v>
      </c>
      <c r="G36" s="215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15" t="s">
        <v>11</v>
      </c>
      <c r="H37" s="359">
        <f>H36+G34+H34+I34</f>
        <v>8496.4688000000006</v>
      </c>
      <c r="I37" s="359"/>
      <c r="J37" s="197"/>
      <c r="N37"/>
      <c r="O37"/>
      <c r="P37"/>
    </row>
    <row r="38" spans="1:17" x14ac:dyDescent="0.2">
      <c r="G38" s="215" t="s">
        <v>12</v>
      </c>
      <c r="H38" s="111">
        <v>486.48</v>
      </c>
      <c r="I38" s="218">
        <f>7/100</f>
        <v>7.0000000000000007E-2</v>
      </c>
      <c r="N38"/>
      <c r="O38"/>
      <c r="P38"/>
    </row>
    <row r="39" spans="1:17" x14ac:dyDescent="0.2">
      <c r="G39" s="215" t="s">
        <v>13</v>
      </c>
      <c r="H39" s="363">
        <f>H37+H38</f>
        <v>8982.9488000000001</v>
      </c>
      <c r="I39" s="363"/>
      <c r="N39"/>
      <c r="O39"/>
      <c r="P39"/>
    </row>
    <row r="40" spans="1:17" x14ac:dyDescent="0.2">
      <c r="G40" s="215" t="s">
        <v>158</v>
      </c>
      <c r="H40" s="360">
        <f>H39*I38</f>
        <v>628.80641600000001</v>
      </c>
      <c r="I40" s="360"/>
      <c r="N40"/>
      <c r="O40"/>
      <c r="P40"/>
    </row>
    <row r="41" spans="1:17" x14ac:dyDescent="0.2">
      <c r="G41" s="214" t="s">
        <v>120</v>
      </c>
      <c r="H41" s="355">
        <f>H39+H40</f>
        <v>9611.7552159999996</v>
      </c>
      <c r="I41" s="355"/>
      <c r="J41" s="36"/>
      <c r="K41" s="2"/>
      <c r="N41"/>
      <c r="O41"/>
      <c r="P41"/>
    </row>
    <row r="42" spans="1:17" x14ac:dyDescent="0.2">
      <c r="G42" s="2"/>
      <c r="J42" s="215"/>
      <c r="M42" s="14"/>
      <c r="N42"/>
      <c r="O42"/>
      <c r="P42"/>
    </row>
    <row r="44" spans="1:17" x14ac:dyDescent="0.2">
      <c r="M44" s="6"/>
      <c r="P44" s="215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0B75-C8D1-40A5-A528-929FF23A9236}">
  <dimension ref="A1:J50"/>
  <sheetViews>
    <sheetView workbookViewId="0">
      <selection activeCell="M20" sqref="M20"/>
    </sheetView>
  </sheetViews>
  <sheetFormatPr defaultRowHeight="14.25" x14ac:dyDescent="0.2"/>
  <cols>
    <col min="1" max="1" width="19" customWidth="1"/>
    <col min="2" max="2" width="11.625" customWidth="1"/>
    <col min="5" max="5" width="14.625" customWidth="1"/>
  </cols>
  <sheetData>
    <row r="1" spans="1:10" x14ac:dyDescent="0.2">
      <c r="A1" s="22" t="s">
        <v>112</v>
      </c>
      <c r="B1" s="22" t="s">
        <v>91</v>
      </c>
      <c r="C1" s="22" t="s">
        <v>102</v>
      </c>
      <c r="D1" s="22" t="s">
        <v>104</v>
      </c>
      <c r="E1" s="22" t="s">
        <v>103</v>
      </c>
      <c r="F1" s="22" t="s">
        <v>82</v>
      </c>
      <c r="G1" s="22"/>
      <c r="H1" s="22" t="s">
        <v>101</v>
      </c>
      <c r="I1" s="22"/>
      <c r="J1" s="14"/>
    </row>
    <row r="2" spans="1:10" x14ac:dyDescent="0.2">
      <c r="A2" s="79" t="s">
        <v>117</v>
      </c>
      <c r="B2" s="80">
        <v>55</v>
      </c>
      <c r="C2" s="80">
        <v>6</v>
      </c>
      <c r="D2" s="80">
        <v>1</v>
      </c>
      <c r="E2" s="80">
        <f>D2*C2*B2</f>
        <v>330</v>
      </c>
      <c r="F2" s="81">
        <f t="shared" ref="F2:F9" si="0">E2/24</f>
        <v>13.75</v>
      </c>
      <c r="G2" s="346" t="s">
        <v>59</v>
      </c>
      <c r="H2" s="81">
        <f t="shared" ref="H2:H9" si="1">E2/12</f>
        <v>27.5</v>
      </c>
      <c r="I2" s="80"/>
      <c r="J2" s="345" t="s">
        <v>59</v>
      </c>
    </row>
    <row r="3" spans="1:10" x14ac:dyDescent="0.2">
      <c r="A3" s="46" t="s">
        <v>116</v>
      </c>
      <c r="B3" s="47">
        <v>50</v>
      </c>
      <c r="C3" s="47">
        <v>0</v>
      </c>
      <c r="D3" s="47">
        <v>1</v>
      </c>
      <c r="E3" s="47">
        <f>D3*C3*B3</f>
        <v>0</v>
      </c>
      <c r="F3" s="82">
        <f t="shared" si="0"/>
        <v>0</v>
      </c>
      <c r="G3" s="347"/>
      <c r="H3" s="82">
        <f t="shared" si="1"/>
        <v>0</v>
      </c>
      <c r="I3" s="47"/>
      <c r="J3" s="345"/>
    </row>
    <row r="4" spans="1:10" x14ac:dyDescent="0.2">
      <c r="A4" s="79" t="s">
        <v>115</v>
      </c>
      <c r="B4" s="80">
        <v>80</v>
      </c>
      <c r="C4" s="80">
        <v>6</v>
      </c>
      <c r="D4" s="80">
        <v>1</v>
      </c>
      <c r="E4" s="80">
        <f>D4*C4*B4</f>
        <v>480</v>
      </c>
      <c r="F4" s="81">
        <f>E4/24</f>
        <v>20</v>
      </c>
      <c r="G4" s="347"/>
      <c r="J4" s="345"/>
    </row>
    <row r="5" spans="1:10" x14ac:dyDescent="0.2">
      <c r="A5" s="83" t="s">
        <v>114</v>
      </c>
      <c r="B5" s="84">
        <v>55</v>
      </c>
      <c r="C5" s="84">
        <v>6</v>
      </c>
      <c r="D5" s="84">
        <v>1</v>
      </c>
      <c r="E5" s="84">
        <f>D5*C5*B5</f>
        <v>330</v>
      </c>
      <c r="F5" s="85">
        <f t="shared" si="0"/>
        <v>13.75</v>
      </c>
      <c r="G5" s="347"/>
      <c r="H5" s="85">
        <f t="shared" si="1"/>
        <v>27.5</v>
      </c>
      <c r="I5" s="84"/>
      <c r="J5" s="345"/>
    </row>
    <row r="6" spans="1:10" x14ac:dyDescent="0.2">
      <c r="A6" s="14" t="s">
        <v>118</v>
      </c>
      <c r="B6" s="14">
        <v>15</v>
      </c>
      <c r="C6" s="14">
        <v>10</v>
      </c>
      <c r="D6" s="14">
        <v>1</v>
      </c>
      <c r="E6" s="14">
        <f>D6*B6*C6</f>
        <v>150</v>
      </c>
      <c r="F6" s="14">
        <f t="shared" si="0"/>
        <v>6.25</v>
      </c>
      <c r="G6" s="347"/>
      <c r="H6" s="14">
        <f>E6/12</f>
        <v>12.5</v>
      </c>
      <c r="I6" s="14"/>
      <c r="J6" s="345"/>
    </row>
    <row r="7" spans="1:10" x14ac:dyDescent="0.2">
      <c r="A7" s="14" t="s">
        <v>71</v>
      </c>
      <c r="B7" s="14">
        <v>15</v>
      </c>
      <c r="C7" s="14">
        <v>0</v>
      </c>
      <c r="D7" s="14">
        <v>1</v>
      </c>
      <c r="E7" s="14">
        <f>D7*B7*C7</f>
        <v>0</v>
      </c>
      <c r="F7" s="14">
        <f>E7/24</f>
        <v>0</v>
      </c>
      <c r="G7" s="347"/>
      <c r="H7" s="14">
        <f>E7/12</f>
        <v>0</v>
      </c>
      <c r="I7" s="14"/>
      <c r="J7" s="345"/>
    </row>
    <row r="8" spans="1:10" x14ac:dyDescent="0.2">
      <c r="A8" s="14" t="s">
        <v>119</v>
      </c>
      <c r="B8" s="14">
        <v>15</v>
      </c>
      <c r="C8" s="14">
        <v>2</v>
      </c>
      <c r="D8" s="14">
        <v>1</v>
      </c>
      <c r="E8" s="14">
        <f>D8*B8*C8</f>
        <v>30</v>
      </c>
      <c r="F8" s="14">
        <f t="shared" si="0"/>
        <v>1.25</v>
      </c>
      <c r="G8" s="347"/>
      <c r="H8" s="14">
        <f t="shared" si="1"/>
        <v>2.5</v>
      </c>
      <c r="I8" s="14"/>
      <c r="J8" s="345"/>
    </row>
    <row r="9" spans="1:10" x14ac:dyDescent="0.2">
      <c r="A9" s="54" t="s">
        <v>116</v>
      </c>
      <c r="B9" s="55">
        <v>20</v>
      </c>
      <c r="C9" s="55">
        <v>0</v>
      </c>
      <c r="D9" s="55">
        <v>1</v>
      </c>
      <c r="E9" s="55">
        <f>D9*C9*B9</f>
        <v>0</v>
      </c>
      <c r="F9" s="86">
        <f t="shared" si="0"/>
        <v>0</v>
      </c>
      <c r="G9" s="347"/>
      <c r="H9" s="86">
        <f t="shared" si="1"/>
        <v>0</v>
      </c>
      <c r="I9" s="55"/>
      <c r="J9" s="345"/>
    </row>
    <row r="10" spans="1:10" x14ac:dyDescent="0.2">
      <c r="A10" s="46" t="s">
        <v>113</v>
      </c>
      <c r="B10" s="47">
        <v>120</v>
      </c>
      <c r="C10" s="47">
        <v>0</v>
      </c>
      <c r="D10" s="47">
        <v>1</v>
      </c>
      <c r="E10" s="47">
        <f>D10*C10*B10</f>
        <v>0</v>
      </c>
      <c r="F10" s="82">
        <f>E10/24</f>
        <v>0</v>
      </c>
      <c r="G10" s="347"/>
      <c r="H10" s="82">
        <f>E10/12</f>
        <v>0</v>
      </c>
      <c r="I10" s="47"/>
      <c r="J10" s="345"/>
    </row>
    <row r="11" spans="1:10" x14ac:dyDescent="0.2">
      <c r="A11" s="123" t="s">
        <v>123</v>
      </c>
      <c r="B11" s="123">
        <v>90</v>
      </c>
      <c r="C11" s="123">
        <v>0</v>
      </c>
      <c r="D11" s="123">
        <v>3</v>
      </c>
      <c r="E11" s="123">
        <f>D11*C11*B11</f>
        <v>0</v>
      </c>
      <c r="F11" s="123">
        <f>E11/24</f>
        <v>0</v>
      </c>
      <c r="G11" s="347"/>
      <c r="H11" s="14"/>
      <c r="I11" s="14"/>
      <c r="J11" s="14"/>
    </row>
    <row r="12" spans="1:10" x14ac:dyDescent="0.2">
      <c r="A12" s="83" t="s">
        <v>34</v>
      </c>
      <c r="B12" s="84">
        <v>100</v>
      </c>
      <c r="C12" s="84">
        <v>6</v>
      </c>
      <c r="D12" s="84">
        <v>1</v>
      </c>
      <c r="E12" s="84">
        <f>D12*C12*B12</f>
        <v>600</v>
      </c>
      <c r="F12" s="85">
        <f>E12/24</f>
        <v>25</v>
      </c>
      <c r="G12" s="347"/>
      <c r="H12" s="14"/>
      <c r="I12" s="14"/>
      <c r="J12" s="14"/>
    </row>
    <row r="13" spans="1:10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">
      <c r="A16" s="41" t="s">
        <v>13</v>
      </c>
      <c r="B16" s="105">
        <f>SUM(B2:B9)</f>
        <v>305</v>
      </c>
      <c r="C16" s="105"/>
      <c r="D16" s="105"/>
      <c r="E16" s="105">
        <f>SUM(E2:E15)</f>
        <v>1920</v>
      </c>
      <c r="F16" s="78">
        <f>SUM(F2:F15)</f>
        <v>80</v>
      </c>
      <c r="G16" s="78" t="s">
        <v>59</v>
      </c>
      <c r="H16" s="78">
        <f>SUM(H2:H15)</f>
        <v>70</v>
      </c>
      <c r="I16" s="105"/>
      <c r="J16" s="78" t="s">
        <v>59</v>
      </c>
    </row>
    <row r="19" spans="1:9" x14ac:dyDescent="0.2">
      <c r="A19" s="14"/>
      <c r="B19" s="14"/>
      <c r="C19" s="14"/>
      <c r="D19" s="14"/>
      <c r="E19" s="14"/>
      <c r="F19" s="14"/>
      <c r="G19" s="14"/>
      <c r="H19" s="14"/>
      <c r="I19" s="14"/>
    </row>
    <row r="20" spans="1:9" x14ac:dyDescent="0.2">
      <c r="A20" s="14" t="s">
        <v>108</v>
      </c>
      <c r="B20" s="38">
        <f>E16/5</f>
        <v>384</v>
      </c>
      <c r="C20" s="14" t="s">
        <v>109</v>
      </c>
      <c r="D20" s="14" t="s">
        <v>110</v>
      </c>
      <c r="E20" s="14"/>
      <c r="F20" s="14"/>
      <c r="G20" s="14"/>
      <c r="H20" s="14"/>
      <c r="I20" s="14"/>
    </row>
    <row r="21" spans="1:9" x14ac:dyDescent="0.2">
      <c r="A21" s="14"/>
      <c r="B21" s="14"/>
      <c r="C21" s="14"/>
      <c r="D21" s="14"/>
      <c r="E21" s="14"/>
      <c r="F21" s="14"/>
      <c r="G21" s="14" t="s">
        <v>122</v>
      </c>
      <c r="H21" s="14" t="s">
        <v>79</v>
      </c>
      <c r="I21" s="14"/>
    </row>
    <row r="22" spans="1:9" x14ac:dyDescent="0.2">
      <c r="A22" s="14" t="s">
        <v>111</v>
      </c>
      <c r="B22" s="107">
        <f>E16/C22</f>
        <v>156.86274509803923</v>
      </c>
      <c r="C22" s="108">
        <f>24*0.6*0.85</f>
        <v>12.239999999999998</v>
      </c>
      <c r="D22" s="108" t="s">
        <v>59</v>
      </c>
      <c r="E22" s="108" t="s">
        <v>82</v>
      </c>
      <c r="F22" s="14"/>
      <c r="G22" s="15">
        <v>231</v>
      </c>
      <c r="H22" s="107">
        <f>G22-B22</f>
        <v>74.137254901960773</v>
      </c>
      <c r="I22" s="14"/>
    </row>
    <row r="23" spans="1:9" x14ac:dyDescent="0.2">
      <c r="A23" s="14"/>
      <c r="B23" s="106">
        <f>E16/C23</f>
        <v>313.72549019607845</v>
      </c>
      <c r="C23" s="14">
        <f>12*0.6*0.85</f>
        <v>6.1199999999999992</v>
      </c>
      <c r="D23" s="14" t="s">
        <v>59</v>
      </c>
      <c r="E23" s="14" t="s">
        <v>101</v>
      </c>
      <c r="F23" s="14"/>
      <c r="G23" s="14"/>
      <c r="H23" s="14"/>
      <c r="I23" s="14"/>
    </row>
    <row r="24" spans="1:9" x14ac:dyDescent="0.2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2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2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2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2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2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2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2">
      <c r="A31" s="14"/>
      <c r="B31" s="14"/>
      <c r="C31" s="14"/>
      <c r="D31" s="14"/>
      <c r="E31" s="14"/>
      <c r="F31" s="14"/>
      <c r="G31" s="14"/>
      <c r="H31" s="14"/>
      <c r="I31" s="14"/>
    </row>
    <row r="32" spans="1:9" x14ac:dyDescent="0.2">
      <c r="A32" s="14"/>
      <c r="B32" s="14"/>
      <c r="C32" s="14"/>
      <c r="D32" s="14"/>
      <c r="E32" s="14"/>
      <c r="F32" s="14"/>
      <c r="G32" s="14"/>
      <c r="H32" s="14"/>
      <c r="I32" s="14"/>
    </row>
    <row r="33" spans="1:9" x14ac:dyDescent="0.2">
      <c r="A33" s="14"/>
      <c r="B33" s="14"/>
      <c r="C33" s="14"/>
      <c r="D33" s="14"/>
      <c r="E33" s="14"/>
      <c r="F33" s="14"/>
      <c r="G33" s="14"/>
      <c r="H33" s="14"/>
      <c r="I33" s="14"/>
    </row>
    <row r="34" spans="1:9" x14ac:dyDescent="0.2">
      <c r="A34" s="14"/>
      <c r="B34" s="14"/>
      <c r="C34" s="14"/>
      <c r="D34" s="14"/>
      <c r="E34" s="14"/>
      <c r="F34" s="14"/>
      <c r="G34" s="14"/>
      <c r="H34" s="14"/>
      <c r="I34" s="14"/>
    </row>
    <row r="35" spans="1:9" x14ac:dyDescent="0.2">
      <c r="A35" s="14"/>
      <c r="B35" s="14"/>
      <c r="C35" s="14"/>
      <c r="D35" s="14"/>
      <c r="E35" s="14"/>
      <c r="F35" s="14"/>
      <c r="G35" s="14"/>
      <c r="H35" s="14"/>
      <c r="I35" s="14"/>
    </row>
    <row r="36" spans="1:9" x14ac:dyDescent="0.2">
      <c r="A36" s="14"/>
      <c r="B36" s="14"/>
      <c r="C36" s="14"/>
      <c r="D36" s="14"/>
      <c r="E36" s="14"/>
      <c r="F36" s="14"/>
      <c r="G36" s="14"/>
      <c r="H36" s="14"/>
      <c r="I36" s="14"/>
    </row>
    <row r="37" spans="1:9" x14ac:dyDescent="0.2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2">
      <c r="A38" s="14"/>
      <c r="B38" s="14"/>
      <c r="C38" s="14"/>
      <c r="D38" s="14"/>
      <c r="E38" s="14"/>
      <c r="F38" s="14"/>
      <c r="G38" s="14"/>
      <c r="H38" s="14"/>
      <c r="I38" s="14"/>
    </row>
    <row r="39" spans="1:9" x14ac:dyDescent="0.2">
      <c r="A39" s="14"/>
      <c r="B39" s="14"/>
      <c r="C39" s="14"/>
      <c r="D39" s="14"/>
      <c r="E39" s="14"/>
      <c r="F39" s="14"/>
      <c r="G39" s="14"/>
      <c r="H39" s="14"/>
      <c r="I39" s="14"/>
    </row>
    <row r="40" spans="1:9" x14ac:dyDescent="0.2">
      <c r="A40" s="14"/>
      <c r="B40" s="14"/>
      <c r="C40" s="14"/>
      <c r="D40" s="14"/>
      <c r="E40" s="14"/>
      <c r="F40" s="14"/>
      <c r="G40" s="14"/>
      <c r="H40" s="14"/>
      <c r="I40" s="14"/>
    </row>
    <row r="41" spans="1:9" x14ac:dyDescent="0.2">
      <c r="A41" s="14"/>
      <c r="B41" s="14"/>
      <c r="C41" s="14"/>
      <c r="D41" s="14"/>
      <c r="E41" s="14"/>
      <c r="F41" s="14"/>
      <c r="G41" s="14"/>
      <c r="H41" s="14"/>
      <c r="I41" s="14"/>
    </row>
    <row r="42" spans="1:9" x14ac:dyDescent="0.2">
      <c r="A42" s="14"/>
      <c r="B42" s="14"/>
      <c r="C42" s="14"/>
      <c r="D42" s="14"/>
      <c r="E42" s="14"/>
      <c r="F42" s="14"/>
      <c r="G42" s="14"/>
      <c r="H42" s="14"/>
      <c r="I42" s="14"/>
    </row>
    <row r="43" spans="1:9" x14ac:dyDescent="0.2">
      <c r="A43" s="14"/>
      <c r="B43" s="14"/>
      <c r="C43" s="14"/>
      <c r="D43" s="14"/>
      <c r="E43" s="14"/>
      <c r="F43" s="14"/>
      <c r="G43" s="14"/>
      <c r="H43" s="14"/>
      <c r="I43" s="14"/>
    </row>
    <row r="44" spans="1:9" x14ac:dyDescent="0.2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2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">
      <c r="A50" s="14"/>
      <c r="B50" s="14"/>
      <c r="C50" s="14"/>
      <c r="D50" s="14"/>
      <c r="E50" s="14"/>
      <c r="F50" s="14"/>
      <c r="G50" s="14"/>
      <c r="H50" s="14"/>
      <c r="I50" s="14"/>
    </row>
  </sheetData>
  <mergeCells count="2">
    <mergeCell ref="J2:J10"/>
    <mergeCell ref="G2:G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0361-16CD-4AC5-A896-8994E2B44AA7}">
  <dimension ref="A1:Q44"/>
  <sheetViews>
    <sheetView zoomScaleNormal="100" workbookViewId="0">
      <selection activeCell="J38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21" customWidth="1"/>
    <col min="4" max="4" width="9" style="223"/>
    <col min="5" max="6" width="13" style="223" customWidth="1"/>
    <col min="7" max="7" width="12.5" style="223" customWidth="1"/>
    <col min="8" max="9" width="12.375" style="223" customWidth="1"/>
    <col min="10" max="10" width="50.25" style="2" bestFit="1" customWidth="1"/>
    <col min="11" max="11" width="12.625" style="223" customWidth="1"/>
    <col min="12" max="12" width="16.25" style="223" customWidth="1"/>
    <col min="13" max="13" width="16" style="223" customWidth="1"/>
    <col min="14" max="14" width="11" style="223" customWidth="1"/>
    <col min="15" max="15" width="9" style="223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23" t="s">
        <v>67</v>
      </c>
      <c r="H2" s="223" t="s">
        <v>68</v>
      </c>
      <c r="I2" s="223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21" t="s">
        <v>16</v>
      </c>
      <c r="D3" s="223" t="s">
        <v>6</v>
      </c>
      <c r="E3" s="223" t="s">
        <v>7</v>
      </c>
      <c r="F3" s="223" t="s">
        <v>14</v>
      </c>
      <c r="G3" s="223">
        <f>L4</f>
        <v>3.2484000000000002</v>
      </c>
      <c r="H3" s="223">
        <f>L5</f>
        <v>4.2218</v>
      </c>
      <c r="I3" s="223">
        <v>4.4217000000000004</v>
      </c>
      <c r="L3" s="223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5180</v>
      </c>
      <c r="D4" s="361">
        <f>C4</f>
        <v>5180</v>
      </c>
      <c r="E4" s="356">
        <f>C36-D4</f>
        <v>1874</v>
      </c>
      <c r="F4" s="353"/>
      <c r="G4" s="329">
        <v>150</v>
      </c>
      <c r="H4" s="342">
        <v>250</v>
      </c>
      <c r="I4" s="357">
        <f>E4-G4-H4</f>
        <v>1474</v>
      </c>
      <c r="J4" s="2" t="s">
        <v>0</v>
      </c>
      <c r="K4" s="223" t="s">
        <v>1</v>
      </c>
      <c r="L4" s="223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23" t="s">
        <v>1</v>
      </c>
      <c r="L5" s="223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23" t="s">
        <v>1</v>
      </c>
      <c r="L6" s="223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23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23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25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25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25"/>
      <c r="M17" s="58"/>
      <c r="N17"/>
      <c r="O17" s="58"/>
      <c r="P17"/>
    </row>
    <row r="18" spans="1:16" x14ac:dyDescent="0.2">
      <c r="A18" s="220"/>
      <c r="B18" s="91">
        <f>C18-C4</f>
        <v>889</v>
      </c>
      <c r="C18" s="93">
        <v>6069</v>
      </c>
      <c r="D18" s="348"/>
      <c r="E18" s="351"/>
      <c r="F18" s="353"/>
      <c r="G18" s="329"/>
      <c r="H18" s="342"/>
      <c r="I18" s="333"/>
      <c r="J18" s="2" t="s">
        <v>26</v>
      </c>
      <c r="L18" s="225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4984</v>
      </c>
      <c r="L23" s="196"/>
      <c r="M23" s="195">
        <f>K23</f>
        <v>4984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2462</v>
      </c>
      <c r="L24" s="196"/>
      <c r="M24" s="195">
        <f>K24</f>
        <v>2462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6.75</v>
      </c>
      <c r="L25" s="196">
        <f>K25</f>
        <v>6.75</v>
      </c>
      <c r="M25" s="195">
        <f>K25/2</f>
        <v>3.375</v>
      </c>
      <c r="N25" s="198">
        <f>M25</f>
        <v>3.375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118.9</v>
      </c>
      <c r="L26" s="196">
        <f>K26</f>
        <v>118.9</v>
      </c>
      <c r="M26" s="195">
        <f>K26/2</f>
        <v>59.45</v>
      </c>
      <c r="N26" s="198">
        <f>M26</f>
        <v>59.45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898.4</v>
      </c>
      <c r="L27" s="196">
        <f>K27</f>
        <v>898.4</v>
      </c>
      <c r="M27" s="195">
        <f>K27/2</f>
        <v>449.2</v>
      </c>
      <c r="N27" s="198">
        <f>M27</f>
        <v>449.2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66.989999999999995</v>
      </c>
      <c r="L28" s="196">
        <f>K28</f>
        <v>66.989999999999995</v>
      </c>
      <c r="M28" s="195">
        <f>K28/2</f>
        <v>33.494999999999997</v>
      </c>
      <c r="N28" s="198">
        <f>M28</f>
        <v>33.494999999999997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625.05520600000273</v>
      </c>
      <c r="M29" s="195">
        <f>K33/2</f>
        <v>312.52760300000136</v>
      </c>
      <c r="N29" s="198">
        <f>M29</f>
        <v>312.52760300000136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27">
        <f>SUM(K23:K29)</f>
        <v>8537.0399999999991</v>
      </c>
      <c r="L30" s="227">
        <f>SUM(L23:L29)</f>
        <v>1716.0952060000027</v>
      </c>
      <c r="M30" s="227">
        <f>SUM(M23:M29)</f>
        <v>8304.0476030000009</v>
      </c>
      <c r="N30" s="224">
        <f>SUM(N23:N29)</f>
        <v>858.04760300000135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26">
        <f>K30+K33</f>
        <v>9162.0952060000018</v>
      </c>
      <c r="L31" s="36">
        <f>K31-L30</f>
        <v>7445.9999999999991</v>
      </c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25">
        <f>H41</f>
        <v>9162.0952060000018</v>
      </c>
      <c r="L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625.05520600000273</v>
      </c>
      <c r="L33" s="36"/>
    </row>
    <row r="34" spans="1:17" x14ac:dyDescent="0.2">
      <c r="A34" s="220"/>
      <c r="B34" s="91">
        <f>C34-C18</f>
        <v>985</v>
      </c>
      <c r="C34" s="93">
        <v>7054</v>
      </c>
      <c r="G34" s="222">
        <f>G4*G3</f>
        <v>487.26000000000005</v>
      </c>
      <c r="H34" s="111">
        <f>H4*H3</f>
        <v>1055.45</v>
      </c>
      <c r="I34" s="226">
        <f>I4*I3</f>
        <v>6517.5858000000007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8060.2958000000008</v>
      </c>
      <c r="I35" s="362"/>
      <c r="K35" s="36">
        <f>998.1-K27</f>
        <v>99.700000000000045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1874</v>
      </c>
      <c r="C36" s="121">
        <f>C4+B36</f>
        <v>7054</v>
      </c>
      <c r="G36" s="223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23" t="s">
        <v>11</v>
      </c>
      <c r="H37" s="359">
        <f>H36+G34+H34+I34</f>
        <v>8098.515800000001</v>
      </c>
      <c r="I37" s="359"/>
      <c r="J37" s="197"/>
      <c r="N37"/>
      <c r="O37"/>
      <c r="P37"/>
    </row>
    <row r="38" spans="1:17" x14ac:dyDescent="0.2">
      <c r="G38" s="223" t="s">
        <v>12</v>
      </c>
      <c r="H38" s="111">
        <v>464.19</v>
      </c>
      <c r="I38" s="226">
        <f>7/100</f>
        <v>7.0000000000000007E-2</v>
      </c>
      <c r="N38"/>
      <c r="O38"/>
      <c r="P38"/>
    </row>
    <row r="39" spans="1:17" x14ac:dyDescent="0.2">
      <c r="G39" s="223" t="s">
        <v>13</v>
      </c>
      <c r="H39" s="363">
        <f>H37+H38</f>
        <v>8562.7058000000015</v>
      </c>
      <c r="I39" s="363"/>
      <c r="N39"/>
      <c r="O39"/>
      <c r="P39"/>
    </row>
    <row r="40" spans="1:17" x14ac:dyDescent="0.2">
      <c r="G40" s="223" t="s">
        <v>158</v>
      </c>
      <c r="H40" s="360">
        <f>H39*I38</f>
        <v>599.38940600000012</v>
      </c>
      <c r="I40" s="360"/>
      <c r="N40"/>
      <c r="O40"/>
      <c r="P40"/>
    </row>
    <row r="41" spans="1:17" x14ac:dyDescent="0.2">
      <c r="G41" s="222" t="s">
        <v>120</v>
      </c>
      <c r="H41" s="355">
        <f>H39+H40</f>
        <v>9162.0952060000018</v>
      </c>
      <c r="I41" s="355"/>
      <c r="J41" s="36"/>
      <c r="K41" s="2"/>
      <c r="N41"/>
      <c r="O41"/>
      <c r="P41"/>
    </row>
    <row r="42" spans="1:17" x14ac:dyDescent="0.2">
      <c r="G42" s="2"/>
      <c r="J42" s="223"/>
      <c r="M42" s="14"/>
      <c r="N42"/>
      <c r="O42"/>
      <c r="P42"/>
    </row>
    <row r="44" spans="1:17" x14ac:dyDescent="0.2">
      <c r="M44" s="6"/>
      <c r="P44" s="223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C8FC-5D39-4AE5-AECF-120C4B97A49D}">
  <dimension ref="A1:Q44"/>
  <sheetViews>
    <sheetView workbookViewId="0">
      <selection activeCell="K33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28" customWidth="1"/>
    <col min="4" max="4" width="9" style="230"/>
    <col min="5" max="6" width="13" style="230" customWidth="1"/>
    <col min="7" max="7" width="12.5" style="230" customWidth="1"/>
    <col min="8" max="9" width="12.375" style="230" customWidth="1"/>
    <col min="10" max="10" width="50.25" style="2" bestFit="1" customWidth="1"/>
    <col min="11" max="11" width="12.625" style="230" customWidth="1"/>
    <col min="12" max="12" width="16.25" style="230" customWidth="1"/>
    <col min="13" max="13" width="16" style="230" customWidth="1"/>
    <col min="14" max="14" width="11" style="230" customWidth="1"/>
    <col min="15" max="15" width="9" style="230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30" t="s">
        <v>67</v>
      </c>
      <c r="H2" s="230" t="s">
        <v>68</v>
      </c>
      <c r="I2" s="230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28" t="s">
        <v>16</v>
      </c>
      <c r="D3" s="230" t="s">
        <v>6</v>
      </c>
      <c r="E3" s="230" t="s">
        <v>7</v>
      </c>
      <c r="F3" s="230" t="s">
        <v>14</v>
      </c>
      <c r="G3" s="230">
        <f>L4</f>
        <v>3.2484000000000002</v>
      </c>
      <c r="H3" s="230">
        <f>L5</f>
        <v>4.2218</v>
      </c>
      <c r="I3" s="230">
        <v>4.4217000000000004</v>
      </c>
      <c r="L3" s="230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7054</v>
      </c>
      <c r="D4" s="361">
        <f>C4</f>
        <v>7054</v>
      </c>
      <c r="E4" s="356">
        <f>C36-D4</f>
        <v>1879</v>
      </c>
      <c r="F4" s="353"/>
      <c r="G4" s="329">
        <v>150</v>
      </c>
      <c r="H4" s="342">
        <v>250</v>
      </c>
      <c r="I4" s="357">
        <f>E4-G4-H4</f>
        <v>1479</v>
      </c>
      <c r="J4" s="2" t="s">
        <v>0</v>
      </c>
      <c r="K4" s="230" t="s">
        <v>1</v>
      </c>
      <c r="L4" s="230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30" t="s">
        <v>1</v>
      </c>
      <c r="L5" s="230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30" t="s">
        <v>1</v>
      </c>
      <c r="L6" s="230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30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30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32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32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32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32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4865</v>
      </c>
      <c r="L23" s="196"/>
      <c r="M23" s="195">
        <f>K23</f>
        <v>4865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2503</v>
      </c>
      <c r="L24" s="196"/>
      <c r="M24" s="195">
        <f>K24</f>
        <v>2503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3.6</v>
      </c>
      <c r="L25" s="196">
        <f>K25</f>
        <v>3.6</v>
      </c>
      <c r="M25" s="195">
        <f>K25/2</f>
        <v>1.8</v>
      </c>
      <c r="N25" s="198">
        <f>M25</f>
        <v>1.8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115</v>
      </c>
      <c r="L26" s="196">
        <f>K26</f>
        <v>115</v>
      </c>
      <c r="M26" s="195">
        <f>K26/2</f>
        <v>57.5</v>
      </c>
      <c r="N26" s="198">
        <f>M26</f>
        <v>57.5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193.5</v>
      </c>
      <c r="L27" s="196">
        <f>K27</f>
        <v>193.5</v>
      </c>
      <c r="M27" s="195">
        <f>K27/2</f>
        <v>96.75</v>
      </c>
      <c r="N27" s="198">
        <f>M27</f>
        <v>96.75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129</v>
      </c>
      <c r="L28" s="196">
        <f>K28</f>
        <v>129</v>
      </c>
      <c r="M28" s="195">
        <f>K28/2</f>
        <v>64.5</v>
      </c>
      <c r="N28" s="198">
        <f>M28</f>
        <v>64.5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1377.9781010000006</v>
      </c>
      <c r="M29" s="195">
        <f>K33/2</f>
        <v>688.9890505000003</v>
      </c>
      <c r="N29" s="198">
        <f>M29</f>
        <v>688.9890505000003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34">
        <f>SUM(K23:K29)</f>
        <v>7809.1</v>
      </c>
      <c r="L30" s="234">
        <f>SUM(L23:L29)</f>
        <v>1819.0781010000005</v>
      </c>
      <c r="M30" s="234">
        <f>SUM(M23:M29)</f>
        <v>8277.5390504999996</v>
      </c>
      <c r="N30" s="231">
        <f>SUM(N23:N29)</f>
        <v>909.53905050000026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33">
        <f>K30+K33</f>
        <v>9187.078101000001</v>
      </c>
      <c r="L31" s="36">
        <f>K31-L30</f>
        <v>7368</v>
      </c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32">
        <f>H41</f>
        <v>9187.078101000001</v>
      </c>
      <c r="L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1377.9781010000006</v>
      </c>
      <c r="L33" s="36"/>
    </row>
    <row r="34" spans="1:17" x14ac:dyDescent="0.2">
      <c r="A34" s="220"/>
      <c r="B34" s="91">
        <f>C34-C4</f>
        <v>1879</v>
      </c>
      <c r="C34" s="93">
        <v>8933</v>
      </c>
      <c r="G34" s="229">
        <f>G4*G3</f>
        <v>487.26000000000005</v>
      </c>
      <c r="H34" s="111">
        <f>H4*H3</f>
        <v>1055.45</v>
      </c>
      <c r="I34" s="233">
        <f>I4*I3</f>
        <v>6539.694300000001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8082.4043000000011</v>
      </c>
      <c r="I35" s="362"/>
      <c r="K35" s="36">
        <f>998.1-K27</f>
        <v>804.6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1879</v>
      </c>
      <c r="C36" s="121">
        <f>C4+B36</f>
        <v>8933</v>
      </c>
      <c r="G36" s="230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30" t="s">
        <v>11</v>
      </c>
      <c r="H37" s="359">
        <f>H36+G34+H34+I34</f>
        <v>8120.6243000000013</v>
      </c>
      <c r="I37" s="359"/>
      <c r="J37" s="197"/>
      <c r="N37"/>
      <c r="O37"/>
      <c r="P37"/>
    </row>
    <row r="38" spans="1:17" x14ac:dyDescent="0.2">
      <c r="G38" s="230" t="s">
        <v>12</v>
      </c>
      <c r="H38" s="111">
        <v>465.43</v>
      </c>
      <c r="I38" s="233">
        <f>7/100</f>
        <v>7.0000000000000007E-2</v>
      </c>
      <c r="N38"/>
      <c r="O38"/>
      <c r="P38"/>
    </row>
    <row r="39" spans="1:17" x14ac:dyDescent="0.2">
      <c r="G39" s="230" t="s">
        <v>13</v>
      </c>
      <c r="H39" s="363">
        <f>H37+H38</f>
        <v>8586.0543000000016</v>
      </c>
      <c r="I39" s="363"/>
      <c r="N39"/>
      <c r="O39"/>
      <c r="P39"/>
    </row>
    <row r="40" spans="1:17" x14ac:dyDescent="0.2">
      <c r="G40" s="230" t="s">
        <v>158</v>
      </c>
      <c r="H40" s="360">
        <f>H39*I38</f>
        <v>601.02380100000016</v>
      </c>
      <c r="I40" s="360"/>
      <c r="N40"/>
      <c r="O40"/>
      <c r="P40"/>
    </row>
    <row r="41" spans="1:17" x14ac:dyDescent="0.2">
      <c r="G41" s="229" t="s">
        <v>120</v>
      </c>
      <c r="H41" s="355">
        <f>H39+H40</f>
        <v>9187.078101000001</v>
      </c>
      <c r="I41" s="355"/>
      <c r="J41" s="36"/>
      <c r="K41" s="2"/>
      <c r="N41"/>
      <c r="O41"/>
      <c r="P41"/>
    </row>
    <row r="42" spans="1:17" x14ac:dyDescent="0.2">
      <c r="G42" s="2"/>
      <c r="J42" s="230"/>
      <c r="M42" s="14"/>
      <c r="N42"/>
      <c r="O42"/>
      <c r="P42"/>
    </row>
    <row r="44" spans="1:17" x14ac:dyDescent="0.2">
      <c r="M44" s="6"/>
      <c r="P44" s="230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7233-A243-4D66-84FE-1C978AE47E41}">
  <dimension ref="A1:Q44"/>
  <sheetViews>
    <sheetView topLeftCell="A4" workbookViewId="0">
      <selection activeCell="M33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35" customWidth="1"/>
    <col min="4" max="4" width="9" style="237"/>
    <col min="5" max="6" width="13" style="237" customWidth="1"/>
    <col min="7" max="7" width="12.5" style="237" customWidth="1"/>
    <col min="8" max="9" width="12.375" style="237" customWidth="1"/>
    <col min="10" max="10" width="50.25" style="2" bestFit="1" customWidth="1"/>
    <col min="11" max="11" width="12.625" style="237" customWidth="1"/>
    <col min="12" max="12" width="16.25" style="237" customWidth="1"/>
    <col min="13" max="13" width="16" style="237" customWidth="1"/>
    <col min="14" max="14" width="11" style="237" customWidth="1"/>
    <col min="15" max="15" width="9" style="237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37" t="s">
        <v>67</v>
      </c>
      <c r="H2" s="237" t="s">
        <v>68</v>
      </c>
      <c r="I2" s="237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35" t="s">
        <v>16</v>
      </c>
      <c r="D3" s="237" t="s">
        <v>6</v>
      </c>
      <c r="E3" s="237" t="s">
        <v>7</v>
      </c>
      <c r="F3" s="237" t="s">
        <v>14</v>
      </c>
      <c r="G3" s="237">
        <f>L4</f>
        <v>3.2484000000000002</v>
      </c>
      <c r="H3" s="237">
        <f>L5</f>
        <v>4.2218</v>
      </c>
      <c r="I3" s="237">
        <v>4.4217000000000004</v>
      </c>
      <c r="L3" s="237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8933</v>
      </c>
      <c r="D4" s="361">
        <f>C4</f>
        <v>8933</v>
      </c>
      <c r="E4" s="356">
        <f>C36-D4</f>
        <v>1858</v>
      </c>
      <c r="F4" s="353"/>
      <c r="G4" s="329">
        <v>150</v>
      </c>
      <c r="H4" s="342">
        <v>250</v>
      </c>
      <c r="I4" s="357">
        <f>E4-G4-H4</f>
        <v>1458</v>
      </c>
      <c r="J4" s="2" t="s">
        <v>0</v>
      </c>
      <c r="K4" s="237" t="s">
        <v>1</v>
      </c>
      <c r="L4" s="237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37" t="s">
        <v>1</v>
      </c>
      <c r="L5" s="237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37" t="s">
        <v>1</v>
      </c>
      <c r="L6" s="237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37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37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>
        <f>C15-C4</f>
        <v>1066</v>
      </c>
      <c r="C15" s="93">
        <v>9999</v>
      </c>
      <c r="D15" s="348"/>
      <c r="E15" s="351"/>
      <c r="F15" s="353"/>
      <c r="G15" s="329"/>
      <c r="H15" s="342"/>
      <c r="I15" s="333"/>
      <c r="J15" s="2" t="s">
        <v>23</v>
      </c>
      <c r="L15" s="239"/>
      <c r="M15" s="58"/>
      <c r="N15"/>
      <c r="O15" s="58"/>
      <c r="P15"/>
    </row>
    <row r="16" spans="1:16" x14ac:dyDescent="0.2">
      <c r="A16" s="220"/>
      <c r="B16" s="91"/>
      <c r="C16" s="93">
        <v>-1</v>
      </c>
      <c r="D16" s="348"/>
      <c r="E16" s="351"/>
      <c r="F16" s="353"/>
      <c r="G16" s="329"/>
      <c r="H16" s="342"/>
      <c r="I16" s="333"/>
      <c r="J16" s="2" t="s">
        <v>24</v>
      </c>
      <c r="L16" s="239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39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39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5131</v>
      </c>
      <c r="L23" s="196"/>
      <c r="M23" s="195">
        <f>K23</f>
        <v>5131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2603</v>
      </c>
      <c r="L24" s="196"/>
      <c r="M24" s="195">
        <f>K24</f>
        <v>2603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7.2</v>
      </c>
      <c r="L25" s="196">
        <f>K25</f>
        <v>7.2</v>
      </c>
      <c r="M25" s="195">
        <f>K25/2</f>
        <v>3.6</v>
      </c>
      <c r="N25" s="198">
        <f>M25</f>
        <v>3.6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122.9</v>
      </c>
      <c r="L26" s="196">
        <f>K26</f>
        <v>122.9</v>
      </c>
      <c r="M26" s="195">
        <f>K26/2</f>
        <v>61.45</v>
      </c>
      <c r="N26" s="198">
        <f>M26</f>
        <v>61.45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194.2</v>
      </c>
      <c r="L27" s="196">
        <f>K27</f>
        <v>194.2</v>
      </c>
      <c r="M27" s="195">
        <f>K27/2</f>
        <v>97.1</v>
      </c>
      <c r="N27" s="198">
        <f>M27</f>
        <v>97.1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59.85</v>
      </c>
      <c r="L28" s="196">
        <f>K28</f>
        <v>59.85</v>
      </c>
      <c r="M28" s="195">
        <f>K28/2</f>
        <v>29.925000000000001</v>
      </c>
      <c r="N28" s="198">
        <f>M28</f>
        <v>29.925000000000001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964.00850200000059</v>
      </c>
      <c r="M29" s="195">
        <f>K33/2</f>
        <v>482.00425100000029</v>
      </c>
      <c r="N29" s="198">
        <f>M29</f>
        <v>482.00425100000029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41">
        <f>SUM(K23:K29)</f>
        <v>8118.15</v>
      </c>
      <c r="L30" s="241">
        <f>SUM(L23:L29)</f>
        <v>1348.1585020000007</v>
      </c>
      <c r="M30" s="241">
        <f>SUM(M23:M29)</f>
        <v>8408.079251000001</v>
      </c>
      <c r="N30" s="238">
        <f>SUM(N23:N29)</f>
        <v>674.07925100000034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40">
        <f>K30+K33</f>
        <v>9082.1585020000002</v>
      </c>
      <c r="L31" s="36">
        <f>K31-L30</f>
        <v>7734</v>
      </c>
      <c r="M31" s="242">
        <v>5803.91</v>
      </c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39">
        <f>H41</f>
        <v>9082.1585020000002</v>
      </c>
      <c r="L32" s="36"/>
      <c r="M32" s="36">
        <f>M30-M31</f>
        <v>2604.1692510000012</v>
      </c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964.00850200000059</v>
      </c>
      <c r="L33" s="36"/>
    </row>
    <row r="34" spans="1:17" x14ac:dyDescent="0.2">
      <c r="A34" s="220"/>
      <c r="B34" s="91">
        <f>C34-C16</f>
        <v>792</v>
      </c>
      <c r="C34" s="93">
        <v>791</v>
      </c>
      <c r="G34" s="236">
        <f>G4*G3</f>
        <v>487.26000000000005</v>
      </c>
      <c r="H34" s="111">
        <f>H4*H3</f>
        <v>1055.45</v>
      </c>
      <c r="I34" s="240">
        <f>I4*I3</f>
        <v>6446.838600000001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62">
        <f>G34+H34+I34</f>
        <v>7989.548600000001</v>
      </c>
      <c r="I35" s="362"/>
      <c r="K35" s="36">
        <f>998.1-K27</f>
        <v>803.90000000000009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1858</v>
      </c>
      <c r="C36" s="121">
        <f>C4+B36</f>
        <v>10791</v>
      </c>
      <c r="G36" s="237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37" t="s">
        <v>11</v>
      </c>
      <c r="H37" s="359">
        <f>H36+G34+H34+I34</f>
        <v>8027.7686000000012</v>
      </c>
      <c r="I37" s="359"/>
      <c r="J37" s="197"/>
      <c r="N37"/>
      <c r="O37"/>
      <c r="P37"/>
    </row>
    <row r="38" spans="1:17" x14ac:dyDescent="0.2">
      <c r="G38" s="237" t="s">
        <v>12</v>
      </c>
      <c r="H38" s="111">
        <v>460.23</v>
      </c>
      <c r="I38" s="240">
        <f>7/100</f>
        <v>7.0000000000000007E-2</v>
      </c>
      <c r="N38"/>
      <c r="O38"/>
      <c r="P38"/>
    </row>
    <row r="39" spans="1:17" x14ac:dyDescent="0.2">
      <c r="G39" s="237" t="s">
        <v>13</v>
      </c>
      <c r="H39" s="363">
        <f>H37+H38</f>
        <v>8487.9986000000008</v>
      </c>
      <c r="I39" s="363"/>
      <c r="N39"/>
      <c r="O39"/>
      <c r="P39"/>
    </row>
    <row r="40" spans="1:17" x14ac:dyDescent="0.2">
      <c r="G40" s="237" t="s">
        <v>158</v>
      </c>
      <c r="H40" s="360">
        <f>H39*I38</f>
        <v>594.1599020000001</v>
      </c>
      <c r="I40" s="360"/>
      <c r="N40"/>
      <c r="O40"/>
      <c r="P40"/>
    </row>
    <row r="41" spans="1:17" x14ac:dyDescent="0.2">
      <c r="G41" s="236" t="s">
        <v>120</v>
      </c>
      <c r="H41" s="355">
        <f>H39+H40</f>
        <v>9082.1585020000002</v>
      </c>
      <c r="I41" s="355"/>
      <c r="J41" s="36"/>
      <c r="K41" s="2"/>
      <c r="N41"/>
      <c r="O41"/>
      <c r="P41"/>
    </row>
    <row r="42" spans="1:17" x14ac:dyDescent="0.2">
      <c r="G42" s="2"/>
      <c r="J42" s="237"/>
      <c r="M42" s="14"/>
      <c r="N42"/>
      <c r="O42"/>
      <c r="P42"/>
    </row>
    <row r="44" spans="1:17" x14ac:dyDescent="0.2">
      <c r="M44" s="6"/>
      <c r="P44" s="237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176E-46BD-4AF4-807F-4D3A20D3E283}">
  <dimension ref="A1:Q44"/>
  <sheetViews>
    <sheetView topLeftCell="A7" workbookViewId="0">
      <selection activeCell="J40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35" customWidth="1"/>
    <col min="4" max="4" width="9" style="237"/>
    <col min="5" max="6" width="13" style="237" customWidth="1"/>
    <col min="7" max="7" width="12.5" style="237" customWidth="1"/>
    <col min="8" max="9" width="12.375" style="237" customWidth="1"/>
    <col min="10" max="10" width="50.25" style="2" bestFit="1" customWidth="1"/>
    <col min="11" max="11" width="12.625" style="237" customWidth="1"/>
    <col min="12" max="12" width="16.25" style="237" customWidth="1"/>
    <col min="13" max="13" width="16" style="237" customWidth="1"/>
    <col min="14" max="14" width="11" style="237" customWidth="1"/>
    <col min="15" max="15" width="9" style="237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37" t="s">
        <v>67</v>
      </c>
      <c r="H2" s="237" t="s">
        <v>68</v>
      </c>
      <c r="I2" s="237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35" t="s">
        <v>16</v>
      </c>
      <c r="D3" s="237" t="s">
        <v>6</v>
      </c>
      <c r="E3" s="237" t="s">
        <v>7</v>
      </c>
      <c r="F3" s="237" t="s">
        <v>14</v>
      </c>
      <c r="G3" s="237">
        <f>L4</f>
        <v>3.2484000000000002</v>
      </c>
      <c r="H3" s="237">
        <f>L5</f>
        <v>4.2218</v>
      </c>
      <c r="I3" s="237">
        <v>4.4217000000000004</v>
      </c>
      <c r="L3" s="237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791</v>
      </c>
      <c r="D4" s="361">
        <f>C4</f>
        <v>791</v>
      </c>
      <c r="E4" s="356">
        <f>C36-D4</f>
        <v>916</v>
      </c>
      <c r="F4" s="353"/>
      <c r="G4" s="329">
        <v>150</v>
      </c>
      <c r="H4" s="342">
        <v>250</v>
      </c>
      <c r="I4" s="357">
        <f>E4-G4-H4</f>
        <v>516</v>
      </c>
      <c r="J4" s="2" t="s">
        <v>0</v>
      </c>
      <c r="K4" s="237" t="s">
        <v>1</v>
      </c>
      <c r="L4" s="237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37" t="s">
        <v>1</v>
      </c>
      <c r="L5" s="237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37" t="s">
        <v>1</v>
      </c>
      <c r="L6" s="237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37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37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39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39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39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39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2234</v>
      </c>
      <c r="L23" s="196"/>
      <c r="M23" s="195">
        <f>K23</f>
        <v>2234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909.8</v>
      </c>
      <c r="L24" s="196"/>
      <c r="M24" s="195">
        <f>K24</f>
        <v>909.8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5.4</v>
      </c>
      <c r="L25" s="196">
        <f>K25</f>
        <v>5.4</v>
      </c>
      <c r="M25" s="195">
        <f>K25/2</f>
        <v>2.7</v>
      </c>
      <c r="N25" s="198">
        <f>M25</f>
        <v>2.7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103.5</v>
      </c>
      <c r="L26" s="196">
        <f>K26</f>
        <v>103.5</v>
      </c>
      <c r="M26" s="195">
        <f>K26/2</f>
        <v>51.75</v>
      </c>
      <c r="N26" s="198">
        <f>M26</f>
        <v>51.75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221.6</v>
      </c>
      <c r="L27" s="196">
        <f>K27</f>
        <v>221.6</v>
      </c>
      <c r="M27" s="195">
        <f>K27/2</f>
        <v>110.8</v>
      </c>
      <c r="N27" s="198">
        <f>M27</f>
        <v>110.8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59.95</v>
      </c>
      <c r="L28" s="196">
        <f>K28</f>
        <v>59.95</v>
      </c>
      <c r="M28" s="195">
        <f>K28/2</f>
        <v>29.975000000000001</v>
      </c>
      <c r="N28" s="198">
        <f>M28</f>
        <v>29.975000000000001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H41-K30</f>
        <v>1514.3815039999999</v>
      </c>
      <c r="M29" s="195">
        <f>K33/2</f>
        <v>757.19075199999997</v>
      </c>
      <c r="N29" s="198">
        <f>M29</f>
        <v>757.19075199999997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41">
        <f>SUM(K23:K29)</f>
        <v>3534.25</v>
      </c>
      <c r="L30" s="241">
        <f>SUM(L23:L29)</f>
        <v>1904.831504</v>
      </c>
      <c r="M30" s="241">
        <f>SUM(M23:M29)</f>
        <v>4096.2157520000001</v>
      </c>
      <c r="N30" s="238">
        <f>SUM(N23:N29)</f>
        <v>952.415752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40">
        <f>K30+K33</f>
        <v>5048.6315039999999</v>
      </c>
      <c r="L31" s="36">
        <f>K31-L30</f>
        <v>3143.8</v>
      </c>
      <c r="M31" s="242">
        <v>5803.91</v>
      </c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39">
        <f>H41</f>
        <v>5048.6315039999999</v>
      </c>
      <c r="L32" s="36"/>
      <c r="M32" s="36">
        <f>M30-M31</f>
        <v>-1707.6942479999998</v>
      </c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1514.3815039999999</v>
      </c>
      <c r="L33" s="36"/>
    </row>
    <row r="34" spans="1:17" x14ac:dyDescent="0.2">
      <c r="A34" s="220"/>
      <c r="B34" s="91"/>
      <c r="C34" s="93"/>
      <c r="G34" s="236">
        <f>G4*G3</f>
        <v>487.26000000000005</v>
      </c>
      <c r="H34" s="111">
        <f>H4*H3</f>
        <v>1055.45</v>
      </c>
      <c r="I34" s="240">
        <f>I4*I3</f>
        <v>2281.5972000000002</v>
      </c>
      <c r="L34" s="36"/>
      <c r="N34"/>
      <c r="O34"/>
      <c r="P34"/>
    </row>
    <row r="35" spans="1:17" x14ac:dyDescent="0.2">
      <c r="A35" s="110"/>
      <c r="B35" s="91">
        <f>C35-C4</f>
        <v>916</v>
      </c>
      <c r="C35" s="93">
        <v>1707</v>
      </c>
      <c r="G35" s="188" t="s">
        <v>13</v>
      </c>
      <c r="H35" s="362">
        <f>G34+H34+I34</f>
        <v>3824.3072000000002</v>
      </c>
      <c r="I35" s="362"/>
      <c r="K35" s="36">
        <f>998.1-K27</f>
        <v>776.5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916</v>
      </c>
      <c r="C36" s="121">
        <f>C4+B36</f>
        <v>1707</v>
      </c>
      <c r="G36" s="237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37" t="s">
        <v>11</v>
      </c>
      <c r="H37" s="359">
        <f>H36+G34+H34+I34</f>
        <v>3862.5272000000004</v>
      </c>
      <c r="I37" s="359"/>
      <c r="J37" s="197"/>
      <c r="N37"/>
      <c r="O37"/>
      <c r="P37"/>
    </row>
    <row r="38" spans="1:17" x14ac:dyDescent="0.2">
      <c r="G38" s="237" t="s">
        <v>12</v>
      </c>
      <c r="H38" s="111">
        <v>855.82</v>
      </c>
      <c r="I38" s="240">
        <f>7/100</f>
        <v>7.0000000000000007E-2</v>
      </c>
      <c r="N38"/>
      <c r="O38"/>
      <c r="P38"/>
    </row>
    <row r="39" spans="1:17" x14ac:dyDescent="0.2">
      <c r="G39" s="237" t="s">
        <v>13</v>
      </c>
      <c r="H39" s="363">
        <f>H37+H38</f>
        <v>4718.3472000000002</v>
      </c>
      <c r="I39" s="363"/>
      <c r="N39"/>
      <c r="O39"/>
      <c r="P39"/>
    </row>
    <row r="40" spans="1:17" x14ac:dyDescent="0.2">
      <c r="G40" s="237" t="s">
        <v>158</v>
      </c>
      <c r="H40" s="360">
        <f>H39*I38</f>
        <v>330.28430400000002</v>
      </c>
      <c r="I40" s="360"/>
      <c r="N40"/>
      <c r="O40"/>
      <c r="P40"/>
    </row>
    <row r="41" spans="1:17" x14ac:dyDescent="0.2">
      <c r="G41" s="236" t="s">
        <v>120</v>
      </c>
      <c r="H41" s="355">
        <f>H39+H40</f>
        <v>5048.6315039999999</v>
      </c>
      <c r="I41" s="355"/>
      <c r="J41" s="36"/>
      <c r="K41" s="2"/>
      <c r="N41"/>
      <c r="O41"/>
      <c r="P41"/>
    </row>
    <row r="42" spans="1:17" x14ac:dyDescent="0.2">
      <c r="G42" s="2"/>
      <c r="J42" s="237"/>
      <c r="M42" s="14"/>
      <c r="N42"/>
      <c r="O42"/>
      <c r="P42"/>
    </row>
    <row r="44" spans="1:17" x14ac:dyDescent="0.2">
      <c r="M44" s="6"/>
      <c r="P44" s="237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02C2-29B1-4E5E-AB3B-7C43CFF9895B}">
  <dimension ref="A1:Q44"/>
  <sheetViews>
    <sheetView topLeftCell="A7" workbookViewId="0">
      <selection activeCell="J44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43" customWidth="1"/>
    <col min="4" max="4" width="9" style="245"/>
    <col min="5" max="6" width="13" style="245" customWidth="1"/>
    <col min="7" max="7" width="12.5" style="245" customWidth="1"/>
    <col min="8" max="9" width="12.375" style="245" customWidth="1"/>
    <col min="10" max="10" width="50.25" style="2" bestFit="1" customWidth="1"/>
    <col min="11" max="11" width="12.625" style="245" customWidth="1"/>
    <col min="12" max="12" width="16.25" style="245" customWidth="1"/>
    <col min="13" max="13" width="16" style="245" customWidth="1"/>
    <col min="14" max="14" width="11" style="245" customWidth="1"/>
    <col min="15" max="15" width="9" style="245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45" t="s">
        <v>67</v>
      </c>
      <c r="H2" s="245" t="s">
        <v>68</v>
      </c>
      <c r="I2" s="245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43" t="s">
        <v>16</v>
      </c>
      <c r="D3" s="245" t="s">
        <v>6</v>
      </c>
      <c r="E3" s="245" t="s">
        <v>7</v>
      </c>
      <c r="F3" s="245" t="s">
        <v>14</v>
      </c>
      <c r="G3" s="245">
        <f>L4</f>
        <v>3.2484000000000002</v>
      </c>
      <c r="H3" s="245">
        <f>L5</f>
        <v>4.2218</v>
      </c>
      <c r="I3" s="245">
        <v>4.4217000000000004</v>
      </c>
      <c r="L3" s="245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1707</v>
      </c>
      <c r="D4" s="361">
        <f>C4</f>
        <v>1707</v>
      </c>
      <c r="E4" s="356">
        <f>C36-D4</f>
        <v>313</v>
      </c>
      <c r="F4" s="353"/>
      <c r="G4" s="329">
        <v>150</v>
      </c>
      <c r="H4" s="364">
        <f>B36-G4</f>
        <v>163</v>
      </c>
      <c r="I4" s="357">
        <f>E4-G4-H4</f>
        <v>0</v>
      </c>
      <c r="J4" s="2" t="s">
        <v>0</v>
      </c>
      <c r="K4" s="245" t="s">
        <v>1</v>
      </c>
      <c r="L4" s="245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45" t="s">
        <v>1</v>
      </c>
      <c r="L5" s="245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45" t="s">
        <v>1</v>
      </c>
      <c r="L6" s="245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45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45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47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47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47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47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704.2</v>
      </c>
      <c r="L23" s="196"/>
      <c r="M23" s="195">
        <f>K23</f>
        <v>704.2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2.25</v>
      </c>
      <c r="L25" s="196">
        <f>K25</f>
        <v>2.25</v>
      </c>
      <c r="M25" s="195">
        <f>K25/2</f>
        <v>1.125</v>
      </c>
      <c r="N25" s="198">
        <f>M25</f>
        <v>1.125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104</v>
      </c>
      <c r="L26" s="196">
        <f>K26</f>
        <v>104</v>
      </c>
      <c r="M26" s="195">
        <f>K26/2</f>
        <v>52</v>
      </c>
      <c r="N26" s="198">
        <f>M26</f>
        <v>52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124.7</v>
      </c>
      <c r="L27" s="196">
        <f>K27</f>
        <v>124.7</v>
      </c>
      <c r="M27" s="195">
        <f>K27/2</f>
        <v>62.35</v>
      </c>
      <c r="N27" s="198">
        <f>M27</f>
        <v>62.35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64.3</v>
      </c>
      <c r="L28" s="196">
        <f>K28</f>
        <v>64.3</v>
      </c>
      <c r="M28" s="195">
        <f>K28/2</f>
        <v>32.15</v>
      </c>
      <c r="N28" s="198">
        <f>M28</f>
        <v>32.15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H42-K30</f>
        <v>439.56453800000008</v>
      </c>
      <c r="M29" s="195">
        <f>K33/2</f>
        <v>219.78226900000004</v>
      </c>
      <c r="N29" s="198">
        <f>M29</f>
        <v>219.78226900000004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49">
        <f>SUM(K23:K29)</f>
        <v>999.45</v>
      </c>
      <c r="L30" s="249">
        <f>SUM(L23:L29)</f>
        <v>734.81453800000008</v>
      </c>
      <c r="M30" s="249">
        <f>SUM(M23:M29)</f>
        <v>1071.6072690000001</v>
      </c>
      <c r="N30" s="246">
        <f>SUM(N23:N29)</f>
        <v>367.40726900000004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48">
        <f>K30+K33</f>
        <v>1439.0145380000001</v>
      </c>
      <c r="L31" s="36">
        <f>K31-L30</f>
        <v>704.2</v>
      </c>
      <c r="M31" s="242"/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47">
        <f>H42</f>
        <v>1439.0145380000001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439.56453800000008</v>
      </c>
      <c r="L33" s="36"/>
    </row>
    <row r="34" spans="1:17" x14ac:dyDescent="0.2">
      <c r="A34" s="220"/>
      <c r="B34" s="91"/>
      <c r="C34" s="93"/>
      <c r="G34" s="244">
        <f>G4*G3</f>
        <v>487.26000000000005</v>
      </c>
      <c r="H34" s="111">
        <f>H4*H3</f>
        <v>688.15340000000003</v>
      </c>
      <c r="I34" s="248">
        <f>I4*I3</f>
        <v>0</v>
      </c>
      <c r="L34" s="36"/>
      <c r="N34"/>
      <c r="O34"/>
      <c r="P34"/>
    </row>
    <row r="35" spans="1:17" x14ac:dyDescent="0.2">
      <c r="A35" s="110"/>
      <c r="B35" s="91">
        <f>C35-C4</f>
        <v>313</v>
      </c>
      <c r="C35" s="93">
        <v>2020</v>
      </c>
      <c r="G35" s="188" t="s">
        <v>13</v>
      </c>
      <c r="H35" s="362">
        <f>G34+H34+I34</f>
        <v>1175.4134000000001</v>
      </c>
      <c r="I35" s="362"/>
      <c r="K35" s="36">
        <f>998.1-K27</f>
        <v>873.4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313</v>
      </c>
      <c r="C36" s="121">
        <f>C4+B36</f>
        <v>2020</v>
      </c>
      <c r="G36" s="245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45" t="s">
        <v>11</v>
      </c>
      <c r="H37" s="359">
        <f>H36+G34+H34+I34</f>
        <v>1213.6334000000002</v>
      </c>
      <c r="I37" s="359"/>
      <c r="J37" s="197"/>
      <c r="N37"/>
      <c r="O37"/>
      <c r="P37"/>
    </row>
    <row r="38" spans="1:17" x14ac:dyDescent="0.2">
      <c r="G38" s="245" t="s">
        <v>12</v>
      </c>
      <c r="H38" s="111">
        <v>292.44</v>
      </c>
      <c r="I38" s="248">
        <f>7/100</f>
        <v>7.0000000000000007E-2</v>
      </c>
      <c r="N38"/>
      <c r="O38"/>
      <c r="P38"/>
    </row>
    <row r="39" spans="1:17" x14ac:dyDescent="0.2">
      <c r="G39" s="245" t="s">
        <v>13</v>
      </c>
      <c r="H39" s="363">
        <f>H37+H38-H40</f>
        <v>1344.8734000000002</v>
      </c>
      <c r="I39" s="363"/>
      <c r="N39"/>
      <c r="O39"/>
      <c r="P39"/>
    </row>
    <row r="40" spans="1:17" x14ac:dyDescent="0.2">
      <c r="G40" s="245" t="s">
        <v>163</v>
      </c>
      <c r="H40" s="363">
        <v>161.19999999999999</v>
      </c>
      <c r="I40" s="363"/>
      <c r="N40"/>
      <c r="O40"/>
      <c r="P40"/>
    </row>
    <row r="41" spans="1:17" x14ac:dyDescent="0.2">
      <c r="G41" s="245" t="s">
        <v>158</v>
      </c>
      <c r="H41" s="360">
        <f>H39*I38</f>
        <v>94.141138000000026</v>
      </c>
      <c r="I41" s="360"/>
      <c r="J41" s="36"/>
      <c r="K41" s="2"/>
      <c r="N41"/>
      <c r="O41"/>
      <c r="P41"/>
    </row>
    <row r="42" spans="1:17" x14ac:dyDescent="0.2">
      <c r="G42" s="244" t="s">
        <v>120</v>
      </c>
      <c r="H42" s="355">
        <f>H39+H41</f>
        <v>1439.0145380000001</v>
      </c>
      <c r="I42" s="355"/>
      <c r="J42" s="245"/>
      <c r="M42" s="14"/>
      <c r="N42"/>
      <c r="O42"/>
      <c r="P42"/>
    </row>
    <row r="43" spans="1:17" x14ac:dyDescent="0.2">
      <c r="G43" s="2"/>
    </row>
    <row r="44" spans="1:17" x14ac:dyDescent="0.2">
      <c r="M44" s="6"/>
      <c r="P44" s="245"/>
      <c r="Q44" s="14"/>
    </row>
  </sheetData>
  <mergeCells count="14">
    <mergeCell ref="H42:I42"/>
    <mergeCell ref="H40:I40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1:I4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681-EB3D-454F-BCB3-2057B37F65FB}">
  <dimension ref="A1:Q44"/>
  <sheetViews>
    <sheetView workbookViewId="0">
      <selection activeCell="J41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50" customWidth="1"/>
    <col min="4" max="4" width="9" style="252"/>
    <col min="5" max="6" width="13" style="252" customWidth="1"/>
    <col min="7" max="7" width="12.5" style="252" customWidth="1"/>
    <col min="8" max="9" width="12.375" style="252" customWidth="1"/>
    <col min="10" max="10" width="50.25" style="2" bestFit="1" customWidth="1"/>
    <col min="11" max="11" width="12.625" style="252" customWidth="1"/>
    <col min="12" max="12" width="16.25" style="252" customWidth="1"/>
    <col min="13" max="13" width="16" style="252" customWidth="1"/>
    <col min="14" max="14" width="11" style="252" customWidth="1"/>
    <col min="15" max="15" width="9" style="252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52" t="s">
        <v>67</v>
      </c>
      <c r="H2" s="252" t="s">
        <v>68</v>
      </c>
      <c r="I2" s="252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50" t="s">
        <v>16</v>
      </c>
      <c r="D3" s="252" t="s">
        <v>6</v>
      </c>
      <c r="E3" s="252" t="s">
        <v>7</v>
      </c>
      <c r="F3" s="252" t="s">
        <v>14</v>
      </c>
      <c r="G3" s="252">
        <f>L4</f>
        <v>3.2484000000000002</v>
      </c>
      <c r="H3" s="252">
        <f>L5</f>
        <v>4.2218</v>
      </c>
      <c r="I3" s="252">
        <v>4.4217000000000004</v>
      </c>
      <c r="L3" s="252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2020</v>
      </c>
      <c r="D4" s="361">
        <f>C4</f>
        <v>2020</v>
      </c>
      <c r="E4" s="356">
        <f>C36-D4</f>
        <v>319</v>
      </c>
      <c r="F4" s="353"/>
      <c r="G4" s="329">
        <v>150</v>
      </c>
      <c r="H4" s="364">
        <f>B36-G4</f>
        <v>169</v>
      </c>
      <c r="I4" s="357">
        <f>E4-G4-H4</f>
        <v>0</v>
      </c>
      <c r="J4" s="2" t="s">
        <v>0</v>
      </c>
      <c r="K4" s="252" t="s">
        <v>1</v>
      </c>
      <c r="L4" s="252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52" t="s">
        <v>1</v>
      </c>
      <c r="L5" s="252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52" t="s">
        <v>1</v>
      </c>
      <c r="L6" s="252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52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52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54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54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54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54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628.79999999999995</v>
      </c>
      <c r="L23" s="196"/>
      <c r="M23" s="195">
        <f>K23</f>
        <v>628.79999999999995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2.7</v>
      </c>
      <c r="L25" s="196">
        <f>K25</f>
        <v>2.7</v>
      </c>
      <c r="M25" s="195">
        <f>K25/2</f>
        <v>1.35</v>
      </c>
      <c r="N25" s="198">
        <f>M25</f>
        <v>1.35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111.1</v>
      </c>
      <c r="L26" s="196">
        <f>K26</f>
        <v>111.1</v>
      </c>
      <c r="M26" s="195">
        <f>K26/2</f>
        <v>55.55</v>
      </c>
      <c r="N26" s="198">
        <f>M26</f>
        <v>55.55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240.8</v>
      </c>
      <c r="L27" s="196">
        <f>K27</f>
        <v>240.8</v>
      </c>
      <c r="M27" s="195">
        <f>K27/2</f>
        <v>120.4</v>
      </c>
      <c r="N27" s="198">
        <f>M27</f>
        <v>120.4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71.430000000000007</v>
      </c>
      <c r="L28" s="196">
        <f>K28</f>
        <v>71.430000000000007</v>
      </c>
      <c r="M28" s="195">
        <f>K28/2</f>
        <v>35.715000000000003</v>
      </c>
      <c r="N28" s="198">
        <f>M28</f>
        <v>35.715000000000003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H42-K30</f>
        <v>413.97419399999967</v>
      </c>
      <c r="M29" s="195">
        <f>K33/2</f>
        <v>206.98709699999984</v>
      </c>
      <c r="N29" s="198">
        <f>M29</f>
        <v>206.98709699999984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56">
        <f>SUM(K23:K29)</f>
        <v>1054.8300000000002</v>
      </c>
      <c r="L30" s="256">
        <f>SUM(L23:L29)</f>
        <v>840.00419399999964</v>
      </c>
      <c r="M30" s="256">
        <f>SUM(M23:M29)</f>
        <v>1048.8020969999998</v>
      </c>
      <c r="N30" s="253">
        <f>SUM(N23:N29)</f>
        <v>420.00209699999982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55">
        <f>K30+K33</f>
        <v>1468.8041939999998</v>
      </c>
      <c r="L31" s="36">
        <f>K31-L30</f>
        <v>628.80000000000018</v>
      </c>
      <c r="M31" s="242"/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54">
        <f>H42</f>
        <v>1468.8041939999998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413.97419399999967</v>
      </c>
      <c r="L33" s="36"/>
    </row>
    <row r="34" spans="1:17" x14ac:dyDescent="0.2">
      <c r="A34" s="220"/>
      <c r="B34" s="91"/>
      <c r="C34" s="93"/>
      <c r="G34" s="251">
        <f>G4*G3</f>
        <v>487.26000000000005</v>
      </c>
      <c r="H34" s="111">
        <f>H4*H3</f>
        <v>713.48419999999999</v>
      </c>
      <c r="I34" s="255">
        <f>I4*I3</f>
        <v>0</v>
      </c>
      <c r="K34" s="256">
        <f>M30+N30</f>
        <v>1468.8041939999996</v>
      </c>
      <c r="L34" s="36"/>
      <c r="N34"/>
      <c r="O34"/>
      <c r="P34"/>
    </row>
    <row r="35" spans="1:17" x14ac:dyDescent="0.2">
      <c r="A35" s="110"/>
      <c r="B35" s="91">
        <f>C35-C4</f>
        <v>319</v>
      </c>
      <c r="C35" s="93">
        <v>2339</v>
      </c>
      <c r="G35" s="188" t="s">
        <v>13</v>
      </c>
      <c r="H35" s="362">
        <f>G34+H34+I34</f>
        <v>1200.7442000000001</v>
      </c>
      <c r="I35" s="362"/>
      <c r="K35" s="36">
        <f>998.1-K27</f>
        <v>757.3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319</v>
      </c>
      <c r="C36" s="121">
        <f>C4+B36</f>
        <v>2339</v>
      </c>
      <c r="G36" s="252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52" t="s">
        <v>11</v>
      </c>
      <c r="H37" s="359">
        <f>H36+G34+H34+I34</f>
        <v>1238.9641999999999</v>
      </c>
      <c r="I37" s="359"/>
      <c r="J37" s="197"/>
      <c r="N37"/>
      <c r="O37"/>
      <c r="P37"/>
    </row>
    <row r="38" spans="1:17" x14ac:dyDescent="0.2">
      <c r="G38" s="252" t="s">
        <v>12</v>
      </c>
      <c r="H38" s="111">
        <v>298.04000000000002</v>
      </c>
      <c r="I38" s="255">
        <f>7/100</f>
        <v>7.0000000000000007E-2</v>
      </c>
      <c r="N38"/>
      <c r="O38"/>
      <c r="P38"/>
    </row>
    <row r="39" spans="1:17" x14ac:dyDescent="0.2">
      <c r="G39" s="252" t="s">
        <v>13</v>
      </c>
      <c r="H39" s="363">
        <f>H37+H38-H40</f>
        <v>1372.7141999999999</v>
      </c>
      <c r="I39" s="363"/>
      <c r="N39"/>
      <c r="O39"/>
      <c r="P39"/>
    </row>
    <row r="40" spans="1:17" x14ac:dyDescent="0.2">
      <c r="G40" s="252" t="s">
        <v>163</v>
      </c>
      <c r="H40" s="363">
        <v>164.29</v>
      </c>
      <c r="I40" s="363"/>
      <c r="N40"/>
      <c r="O40"/>
      <c r="P40"/>
    </row>
    <row r="41" spans="1:17" x14ac:dyDescent="0.2">
      <c r="G41" s="252" t="s">
        <v>158</v>
      </c>
      <c r="H41" s="360">
        <f>H39*I38</f>
        <v>96.089994000000004</v>
      </c>
      <c r="I41" s="360"/>
      <c r="J41" s="36"/>
      <c r="K41" s="2"/>
      <c r="N41"/>
      <c r="O41"/>
      <c r="P41"/>
    </row>
    <row r="42" spans="1:17" x14ac:dyDescent="0.2">
      <c r="G42" s="251" t="s">
        <v>120</v>
      </c>
      <c r="H42" s="355">
        <f>H39+H41</f>
        <v>1468.8041939999998</v>
      </c>
      <c r="I42" s="355"/>
      <c r="J42" s="252"/>
      <c r="M42" s="14"/>
      <c r="N42"/>
      <c r="O42"/>
      <c r="P42"/>
    </row>
    <row r="43" spans="1:17" x14ac:dyDescent="0.2">
      <c r="G43" s="2"/>
    </row>
    <row r="44" spans="1:17" x14ac:dyDescent="0.2">
      <c r="M44" s="6"/>
      <c r="P44" s="252"/>
      <c r="Q44" s="14"/>
    </row>
  </sheetData>
  <mergeCells count="14">
    <mergeCell ref="H42:I42"/>
    <mergeCell ref="H35:I35"/>
    <mergeCell ref="H36:I36"/>
    <mergeCell ref="H37:I37"/>
    <mergeCell ref="H39:I39"/>
    <mergeCell ref="H40:I40"/>
    <mergeCell ref="H41:I41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3594-5261-4202-923D-A8E39BE86514}">
  <sheetPr>
    <tabColor rgb="FF00B0F0"/>
  </sheetPr>
  <dimension ref="A1:Q44"/>
  <sheetViews>
    <sheetView workbookViewId="0">
      <selection activeCell="K33" sqref="K33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57" customWidth="1"/>
    <col min="4" max="4" width="9" style="259"/>
    <col min="5" max="6" width="13" style="259" customWidth="1"/>
    <col min="7" max="7" width="12.5" style="259" customWidth="1"/>
    <col min="8" max="9" width="12.375" style="259" customWidth="1"/>
    <col min="10" max="10" width="50.25" style="2" bestFit="1" customWidth="1"/>
    <col min="11" max="11" width="12.625" style="259" customWidth="1"/>
    <col min="12" max="12" width="16.25" style="259" customWidth="1"/>
    <col min="13" max="13" width="16" style="259" customWidth="1"/>
    <col min="14" max="14" width="11" style="259" customWidth="1"/>
    <col min="15" max="15" width="9" style="259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59" t="s">
        <v>67</v>
      </c>
      <c r="H2" s="259" t="s">
        <v>68</v>
      </c>
      <c r="I2" s="259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57" t="s">
        <v>16</v>
      </c>
      <c r="D3" s="259" t="s">
        <v>6</v>
      </c>
      <c r="E3" s="259" t="s">
        <v>7</v>
      </c>
      <c r="F3" s="259" t="s">
        <v>14</v>
      </c>
      <c r="G3" s="259">
        <f>L4</f>
        <v>3.2484000000000002</v>
      </c>
      <c r="H3" s="259">
        <f>L5</f>
        <v>4.2218</v>
      </c>
      <c r="I3" s="259">
        <v>4.4217000000000004</v>
      </c>
      <c r="L3" s="259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2339</v>
      </c>
      <c r="D4" s="361">
        <f>C4</f>
        <v>2339</v>
      </c>
      <c r="E4" s="356">
        <f>C36-D4</f>
        <v>273</v>
      </c>
      <c r="F4" s="353"/>
      <c r="G4" s="329">
        <v>150</v>
      </c>
      <c r="H4" s="364">
        <f>B36-G4</f>
        <v>123</v>
      </c>
      <c r="I4" s="357">
        <f>E4-G4-H4</f>
        <v>0</v>
      </c>
      <c r="J4" s="2" t="s">
        <v>0</v>
      </c>
      <c r="K4" s="259" t="s">
        <v>1</v>
      </c>
      <c r="L4" s="259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59" t="s">
        <v>1</v>
      </c>
      <c r="L5" s="259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59" t="s">
        <v>1</v>
      </c>
      <c r="L6" s="259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59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59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61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61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61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61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638.20000000000005</v>
      </c>
      <c r="L23" s="196"/>
      <c r="M23" s="195">
        <f>K23</f>
        <v>638.20000000000005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8.1</v>
      </c>
      <c r="L25" s="196">
        <f>K25</f>
        <v>8.1</v>
      </c>
      <c r="M25" s="195">
        <f>K25/2</f>
        <v>4.05</v>
      </c>
      <c r="N25" s="198">
        <f>M25</f>
        <v>4.05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102.9</v>
      </c>
      <c r="L26" s="196">
        <f>K26</f>
        <v>102.9</v>
      </c>
      <c r="M26" s="195">
        <f>K26/2</f>
        <v>51.45</v>
      </c>
      <c r="N26" s="198">
        <f>M26</f>
        <v>51.45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197.4</v>
      </c>
      <c r="L27" s="196">
        <f>K27</f>
        <v>197.4</v>
      </c>
      <c r="M27" s="195">
        <f>K27/2</f>
        <v>98.7</v>
      </c>
      <c r="N27" s="198">
        <f>M27</f>
        <v>98.7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70.52</v>
      </c>
      <c r="L28" s="196">
        <f>K28</f>
        <v>70.52</v>
      </c>
      <c r="M28" s="195">
        <f>K28/2</f>
        <v>35.26</v>
      </c>
      <c r="N28" s="198">
        <f>M28</f>
        <v>35.26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6"/>
      <c r="L29" s="196">
        <f>H42-K30</f>
        <v>104.82999799999982</v>
      </c>
      <c r="M29" s="195">
        <f>K33/2</f>
        <v>52.414998999999909</v>
      </c>
      <c r="N29" s="198">
        <f>M29</f>
        <v>52.414998999999909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63">
        <f>SUM(K23:K29)</f>
        <v>1017.12</v>
      </c>
      <c r="L30" s="263">
        <f>SUM(L23:L29)</f>
        <v>483.74999799999978</v>
      </c>
      <c r="M30" s="263">
        <f>SUM(M23:M29)</f>
        <v>880.07499899999993</v>
      </c>
      <c r="N30" s="260">
        <f>SUM(N23:N29)</f>
        <v>241.87499899999989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62">
        <f>K30+K33</f>
        <v>1121.9499979999998</v>
      </c>
      <c r="L31" s="36">
        <f>K31-L30</f>
        <v>638.20000000000005</v>
      </c>
      <c r="M31" s="242"/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61">
        <f>H42</f>
        <v>1121.9499979999998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104.82999799999982</v>
      </c>
      <c r="L33" s="36"/>
    </row>
    <row r="34" spans="1:17" x14ac:dyDescent="0.2">
      <c r="A34" s="220"/>
      <c r="B34" s="91"/>
      <c r="C34" s="93"/>
      <c r="G34" s="258">
        <f>G4*G3</f>
        <v>487.26000000000005</v>
      </c>
      <c r="H34" s="111">
        <f>H4*H3</f>
        <v>519.28139999999996</v>
      </c>
      <c r="I34" s="262">
        <f>I4*I3</f>
        <v>0</v>
      </c>
      <c r="K34" s="263">
        <f>M30+N30</f>
        <v>1121.9499979999998</v>
      </c>
      <c r="L34" s="36"/>
      <c r="N34"/>
      <c r="O34"/>
      <c r="P34"/>
    </row>
    <row r="35" spans="1:17" x14ac:dyDescent="0.2">
      <c r="A35" s="110"/>
      <c r="B35" s="91">
        <f>C35-C4</f>
        <v>273</v>
      </c>
      <c r="C35" s="93">
        <v>2612</v>
      </c>
      <c r="G35" s="188" t="s">
        <v>13</v>
      </c>
      <c r="H35" s="362">
        <f>G34+H34+I34</f>
        <v>1006.5414000000001</v>
      </c>
      <c r="I35" s="362"/>
      <c r="K35" s="36">
        <f>998.1-K27</f>
        <v>800.7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273</v>
      </c>
      <c r="C36" s="121">
        <f>C4+B36</f>
        <v>2612</v>
      </c>
      <c r="G36" s="259" t="s">
        <v>9</v>
      </c>
      <c r="H36" s="358">
        <f>L7</f>
        <v>38.22</v>
      </c>
      <c r="I36" s="358"/>
      <c r="L36" s="36"/>
      <c r="N36"/>
      <c r="O36"/>
      <c r="P36"/>
    </row>
    <row r="37" spans="1:17" x14ac:dyDescent="0.2">
      <c r="G37" s="259" t="s">
        <v>11</v>
      </c>
      <c r="H37" s="359">
        <f>H36+G34+H34+I34</f>
        <v>1044.7613999999999</v>
      </c>
      <c r="I37" s="359"/>
      <c r="J37" s="197"/>
      <c r="N37"/>
      <c r="O37"/>
      <c r="P37"/>
    </row>
    <row r="38" spans="1:17" x14ac:dyDescent="0.2">
      <c r="G38" s="259" t="s">
        <v>12</v>
      </c>
      <c r="H38" s="111">
        <v>298.04000000000002</v>
      </c>
      <c r="I38" s="262">
        <f>7/100</f>
        <v>7.0000000000000007E-2</v>
      </c>
      <c r="N38"/>
      <c r="O38"/>
      <c r="P38"/>
    </row>
    <row r="39" spans="1:17" x14ac:dyDescent="0.2">
      <c r="G39" s="259" t="s">
        <v>13</v>
      </c>
      <c r="H39" s="363">
        <f>H37+H38-H40</f>
        <v>1048.5513999999998</v>
      </c>
      <c r="I39" s="363"/>
      <c r="N39"/>
      <c r="O39"/>
      <c r="P39"/>
    </row>
    <row r="40" spans="1:17" x14ac:dyDescent="0.2">
      <c r="G40" s="259" t="s">
        <v>163</v>
      </c>
      <c r="H40" s="363">
        <v>294.25</v>
      </c>
      <c r="I40" s="363"/>
      <c r="N40"/>
      <c r="O40"/>
      <c r="P40"/>
    </row>
    <row r="41" spans="1:17" x14ac:dyDescent="0.2">
      <c r="G41" s="259" t="s">
        <v>158</v>
      </c>
      <c r="H41" s="360">
        <f>H39*I38</f>
        <v>73.398597999999993</v>
      </c>
      <c r="I41" s="360"/>
      <c r="J41" s="36"/>
      <c r="K41" s="2"/>
      <c r="N41"/>
      <c r="O41"/>
      <c r="P41"/>
    </row>
    <row r="42" spans="1:17" x14ac:dyDescent="0.2">
      <c r="G42" s="258" t="s">
        <v>120</v>
      </c>
      <c r="H42" s="355">
        <f>H39+H41</f>
        <v>1121.9499979999998</v>
      </c>
      <c r="I42" s="355"/>
      <c r="J42" s="259"/>
      <c r="M42" s="14"/>
      <c r="N42"/>
      <c r="O42"/>
      <c r="P42"/>
    </row>
    <row r="43" spans="1:17" x14ac:dyDescent="0.2">
      <c r="G43" s="2"/>
      <c r="I43" s="36"/>
    </row>
    <row r="44" spans="1:17" x14ac:dyDescent="0.2">
      <c r="M44" s="6"/>
      <c r="P44" s="259"/>
      <c r="Q44" s="14"/>
    </row>
  </sheetData>
  <mergeCells count="14">
    <mergeCell ref="D1:I1"/>
    <mergeCell ref="D4:D33"/>
    <mergeCell ref="E4:E33"/>
    <mergeCell ref="F4:F33"/>
    <mergeCell ref="G4:G33"/>
    <mergeCell ref="H4:H33"/>
    <mergeCell ref="I4:I33"/>
    <mergeCell ref="H42:I42"/>
    <mergeCell ref="H35:I35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279D-073D-44FA-93E8-85BAF8BA2940}">
  <dimension ref="A1:Q44"/>
  <sheetViews>
    <sheetView topLeftCell="A7" workbookViewId="0">
      <selection activeCell="L37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64" customWidth="1"/>
    <col min="4" max="4" width="9" style="266"/>
    <col min="5" max="6" width="13" style="266" customWidth="1"/>
    <col min="7" max="7" width="12.5" style="266" customWidth="1"/>
    <col min="8" max="9" width="12.375" style="266" customWidth="1"/>
    <col min="10" max="10" width="50.25" style="2" bestFit="1" customWidth="1"/>
    <col min="11" max="11" width="12.625" style="266" customWidth="1"/>
    <col min="12" max="12" width="16.25" style="266" customWidth="1"/>
    <col min="13" max="13" width="16" style="266" customWidth="1"/>
    <col min="14" max="14" width="11" style="266" customWidth="1"/>
    <col min="15" max="15" width="9" style="266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66" t="s">
        <v>67</v>
      </c>
      <c r="H2" s="266" t="s">
        <v>68</v>
      </c>
      <c r="I2" s="266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64" t="s">
        <v>16</v>
      </c>
      <c r="D3" s="266" t="s">
        <v>6</v>
      </c>
      <c r="E3" s="266" t="s">
        <v>7</v>
      </c>
      <c r="F3" s="266" t="s">
        <v>14</v>
      </c>
      <c r="G3" s="266">
        <f>L4</f>
        <v>3.2484000000000002</v>
      </c>
      <c r="H3" s="266">
        <f>L5</f>
        <v>4.2218</v>
      </c>
      <c r="I3" s="266">
        <v>4.4217000000000004</v>
      </c>
      <c r="L3" s="266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2612</v>
      </c>
      <c r="D4" s="361">
        <f>C4</f>
        <v>2612</v>
      </c>
      <c r="E4" s="356">
        <f>C36-D4</f>
        <v>283</v>
      </c>
      <c r="F4" s="353"/>
      <c r="G4" s="329">
        <v>150</v>
      </c>
      <c r="H4" s="364">
        <f>B36-G4</f>
        <v>133</v>
      </c>
      <c r="I4" s="357">
        <f>E4-G4-H4</f>
        <v>0</v>
      </c>
      <c r="J4" s="2" t="s">
        <v>0</v>
      </c>
      <c r="K4" s="266" t="s">
        <v>1</v>
      </c>
      <c r="L4" s="266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66" t="s">
        <v>1</v>
      </c>
      <c r="L5" s="266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66" t="s">
        <v>1</v>
      </c>
      <c r="L6" s="266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66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66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68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68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68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68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651.29999999999995</v>
      </c>
      <c r="L23" s="196"/>
      <c r="M23" s="195">
        <f>K23</f>
        <v>651.29999999999995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11.5</v>
      </c>
      <c r="L25" s="196">
        <f>K25</f>
        <v>11.5</v>
      </c>
      <c r="M25" s="195">
        <f>K25/2</f>
        <v>5.75</v>
      </c>
      <c r="N25" s="198">
        <f>M25</f>
        <v>5.75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115.6</v>
      </c>
      <c r="L26" s="196">
        <f>K26</f>
        <v>115.6</v>
      </c>
      <c r="M26" s="195">
        <f>K26/2</f>
        <v>57.8</v>
      </c>
      <c r="N26" s="198">
        <f>M26</f>
        <v>57.8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214.1</v>
      </c>
      <c r="L27" s="196">
        <f>K27</f>
        <v>214.1</v>
      </c>
      <c r="M27" s="195">
        <f>K27/2</f>
        <v>107.05</v>
      </c>
      <c r="N27" s="198">
        <f>M27</f>
        <v>107.05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79.11</v>
      </c>
      <c r="L28" s="196">
        <f>K28</f>
        <v>79.11</v>
      </c>
      <c r="M28" s="195">
        <f>K28/2</f>
        <v>39.555</v>
      </c>
      <c r="N28" s="198">
        <f>M28</f>
        <v>39.555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271">
        <f>K33</f>
        <v>359.82465800000023</v>
      </c>
      <c r="L29" s="196">
        <f>H42-K30</f>
        <v>359.82465800000023</v>
      </c>
      <c r="M29" s="195">
        <f>K33/2</f>
        <v>179.91232900000011</v>
      </c>
      <c r="N29" s="198">
        <f>M29</f>
        <v>179.91232900000011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70">
        <f>SUM(K23:K28)</f>
        <v>1071.6099999999999</v>
      </c>
      <c r="L30" s="270">
        <f>SUM(L23:L29)</f>
        <v>780.13465800000017</v>
      </c>
      <c r="M30" s="270">
        <f>SUM(M23:M29)</f>
        <v>1041.3673289999999</v>
      </c>
      <c r="N30" s="267">
        <f>SUM(N23:N29)</f>
        <v>390.06732900000009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69">
        <f>K30+K33</f>
        <v>1431.4346580000001</v>
      </c>
      <c r="L31" s="36">
        <f>K31-L30</f>
        <v>651.29999999999995</v>
      </c>
      <c r="M31" s="242"/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68">
        <f>H42</f>
        <v>1431.4346580000001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359.82465800000023</v>
      </c>
      <c r="L33" s="36"/>
    </row>
    <row r="34" spans="1:17" x14ac:dyDescent="0.2">
      <c r="A34" s="220"/>
      <c r="B34" s="91"/>
      <c r="C34" s="93"/>
      <c r="G34" s="265">
        <f>G4*G3</f>
        <v>487.26000000000005</v>
      </c>
      <c r="H34" s="111">
        <f>H4*H3</f>
        <v>561.49940000000004</v>
      </c>
      <c r="I34" s="269">
        <f>I4*I3</f>
        <v>0</v>
      </c>
      <c r="K34" s="270">
        <f>M30+N30</f>
        <v>1431.4346580000001</v>
      </c>
      <c r="L34" s="36"/>
      <c r="N34"/>
      <c r="O34"/>
      <c r="P34"/>
    </row>
    <row r="35" spans="1:17" x14ac:dyDescent="0.2">
      <c r="A35" s="110"/>
      <c r="B35" s="91">
        <f>C35-C4</f>
        <v>283</v>
      </c>
      <c r="C35" s="93">
        <v>2895</v>
      </c>
      <c r="G35" s="188" t="s">
        <v>13</v>
      </c>
      <c r="H35" s="362">
        <f>G34+H34+I34</f>
        <v>1048.7594000000001</v>
      </c>
      <c r="I35" s="362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283</v>
      </c>
      <c r="C36" s="121">
        <f>C4+B36</f>
        <v>2895</v>
      </c>
      <c r="G36" s="266" t="s">
        <v>9</v>
      </c>
      <c r="H36" s="358">
        <v>24.62</v>
      </c>
      <c r="I36" s="358"/>
      <c r="L36" s="36"/>
      <c r="N36"/>
      <c r="O36"/>
      <c r="P36"/>
    </row>
    <row r="37" spans="1:17" x14ac:dyDescent="0.2">
      <c r="G37" s="266" t="s">
        <v>11</v>
      </c>
      <c r="H37" s="359">
        <f>H36+G34+H34+I34</f>
        <v>1073.3794</v>
      </c>
      <c r="I37" s="359"/>
      <c r="J37" s="197"/>
      <c r="N37"/>
      <c r="O37"/>
      <c r="P37"/>
    </row>
    <row r="38" spans="1:17" x14ac:dyDescent="0.2">
      <c r="G38" s="266" t="s">
        <v>12</v>
      </c>
      <c r="H38" s="111">
        <v>264.41000000000003</v>
      </c>
      <c r="I38" s="269">
        <f>7/100</f>
        <v>7.0000000000000007E-2</v>
      </c>
      <c r="N38"/>
      <c r="O38"/>
      <c r="P38"/>
    </row>
    <row r="39" spans="1:17" x14ac:dyDescent="0.2">
      <c r="G39" s="266" t="s">
        <v>13</v>
      </c>
      <c r="H39" s="363">
        <f>H37+H38-H40</f>
        <v>1337.7894000000001</v>
      </c>
      <c r="I39" s="363"/>
      <c r="N39"/>
      <c r="O39"/>
      <c r="P39"/>
    </row>
    <row r="40" spans="1:17" x14ac:dyDescent="0.2">
      <c r="G40" s="266" t="s">
        <v>163</v>
      </c>
      <c r="H40" s="363">
        <v>0</v>
      </c>
      <c r="I40" s="363"/>
      <c r="N40"/>
      <c r="O40"/>
      <c r="P40"/>
    </row>
    <row r="41" spans="1:17" x14ac:dyDescent="0.2">
      <c r="G41" s="266" t="s">
        <v>158</v>
      </c>
      <c r="H41" s="360">
        <f>H39*I38</f>
        <v>93.645258000000013</v>
      </c>
      <c r="I41" s="360"/>
      <c r="J41" s="36"/>
      <c r="K41" s="2"/>
      <c r="N41"/>
      <c r="O41"/>
      <c r="P41"/>
    </row>
    <row r="42" spans="1:17" x14ac:dyDescent="0.2">
      <c r="G42" s="265" t="s">
        <v>120</v>
      </c>
      <c r="H42" s="355">
        <f>H39+H41</f>
        <v>1431.4346580000001</v>
      </c>
      <c r="I42" s="355"/>
      <c r="J42" s="266"/>
      <c r="M42" s="14"/>
      <c r="N42"/>
      <c r="O42"/>
      <c r="P42"/>
    </row>
    <row r="43" spans="1:17" x14ac:dyDescent="0.2">
      <c r="G43" s="2"/>
    </row>
    <row r="44" spans="1:17" x14ac:dyDescent="0.2">
      <c r="M44" s="6"/>
      <c r="P44" s="266"/>
      <c r="Q44" s="14"/>
    </row>
  </sheetData>
  <mergeCells count="14">
    <mergeCell ref="H42:I42"/>
    <mergeCell ref="H35:I35"/>
    <mergeCell ref="H36:I36"/>
    <mergeCell ref="H37:I37"/>
    <mergeCell ref="H39:I39"/>
    <mergeCell ref="H40:I40"/>
    <mergeCell ref="H41:I41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BF4-AFA3-4A24-851B-59012720682B}">
  <dimension ref="A1:Q44"/>
  <sheetViews>
    <sheetView topLeftCell="A10" workbookViewId="0">
      <selection activeCell="N31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72" customWidth="1"/>
    <col min="4" max="4" width="9" style="274"/>
    <col min="5" max="6" width="13" style="274" customWidth="1"/>
    <col min="7" max="7" width="12.5" style="274" customWidth="1"/>
    <col min="8" max="9" width="12.375" style="274" customWidth="1"/>
    <col min="10" max="10" width="50.25" style="2" bestFit="1" customWidth="1"/>
    <col min="11" max="11" width="12.625" style="274" customWidth="1"/>
    <col min="12" max="12" width="16.25" style="274" customWidth="1"/>
    <col min="13" max="13" width="16" style="274" customWidth="1"/>
    <col min="14" max="14" width="11" style="274" customWidth="1"/>
    <col min="15" max="15" width="9" style="274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74" t="s">
        <v>67</v>
      </c>
      <c r="H2" s="274" t="s">
        <v>68</v>
      </c>
      <c r="I2" s="274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72" t="s">
        <v>16</v>
      </c>
      <c r="D3" s="274" t="s">
        <v>6</v>
      </c>
      <c r="E3" s="274" t="s">
        <v>7</v>
      </c>
      <c r="F3" s="274" t="s">
        <v>14</v>
      </c>
      <c r="G3" s="274">
        <f>L4</f>
        <v>3.2484000000000002</v>
      </c>
      <c r="H3" s="274">
        <f>L5</f>
        <v>4.2218</v>
      </c>
      <c r="I3" s="274">
        <v>4.4217000000000004</v>
      </c>
      <c r="L3" s="274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2895</v>
      </c>
      <c r="D4" s="361">
        <f>C4</f>
        <v>2895</v>
      </c>
      <c r="E4" s="356">
        <f>C36-D4</f>
        <v>264</v>
      </c>
      <c r="F4" s="353"/>
      <c r="G4" s="329">
        <v>150</v>
      </c>
      <c r="H4" s="364">
        <f>B36-G4</f>
        <v>114</v>
      </c>
      <c r="I4" s="357">
        <f>E4-G4-H4</f>
        <v>0</v>
      </c>
      <c r="J4" s="2" t="s">
        <v>0</v>
      </c>
      <c r="K4" s="274" t="s">
        <v>1</v>
      </c>
      <c r="L4" s="274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74" t="s">
        <v>1</v>
      </c>
      <c r="L5" s="274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74" t="s">
        <v>1</v>
      </c>
      <c r="L6" s="274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74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74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76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76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76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76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530.5</v>
      </c>
      <c r="L23" s="196"/>
      <c r="M23" s="195">
        <f>K23</f>
        <v>530.5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8.77</v>
      </c>
      <c r="L25" s="196">
        <f>K25</f>
        <v>8.77</v>
      </c>
      <c r="M25" s="195">
        <f>K25/2</f>
        <v>4.3849999999999998</v>
      </c>
      <c r="N25" s="198">
        <f>M25</f>
        <v>4.3849999999999998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105.9</v>
      </c>
      <c r="L26" s="196">
        <f>K26</f>
        <v>105.9</v>
      </c>
      <c r="M26" s="195">
        <f>K26/2</f>
        <v>52.95</v>
      </c>
      <c r="N26" s="198">
        <f>M26</f>
        <v>52.95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175.6</v>
      </c>
      <c r="L27" s="196">
        <f>K27</f>
        <v>175.6</v>
      </c>
      <c r="M27" s="195">
        <f>K27/2</f>
        <v>87.8</v>
      </c>
      <c r="N27" s="198">
        <f>M27</f>
        <v>87.8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46.28</v>
      </c>
      <c r="L28" s="196">
        <f>K28</f>
        <v>46.28</v>
      </c>
      <c r="M28" s="195">
        <f>K28/2</f>
        <v>23.14</v>
      </c>
      <c r="N28" s="198">
        <f>M28</f>
        <v>23.14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278">
        <f>K33</f>
        <v>270.18366400000014</v>
      </c>
      <c r="L29" s="196">
        <f>H42-K30</f>
        <v>270.18366400000014</v>
      </c>
      <c r="M29" s="195">
        <f>K33/2</f>
        <v>135.09183200000007</v>
      </c>
      <c r="N29" s="198">
        <f>M29</f>
        <v>135.09183200000007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78">
        <f>SUM(K23:K28)</f>
        <v>867.05</v>
      </c>
      <c r="L30" s="278">
        <f>SUM(L23:L29)</f>
        <v>606.73366400000009</v>
      </c>
      <c r="M30" s="278">
        <f>SUM(M23:M29)</f>
        <v>833.86683200000004</v>
      </c>
      <c r="N30" s="275">
        <f>SUM(N23:N29)+2.5</f>
        <v>305.86683200000004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 t="s">
        <v>154</v>
      </c>
      <c r="K31" s="277">
        <f>K30+K33</f>
        <v>1137.2336640000001</v>
      </c>
      <c r="L31" s="36">
        <f>K31-L30</f>
        <v>530.5</v>
      </c>
      <c r="M31" s="242"/>
      <c r="N31" s="3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76">
        <f>H42</f>
        <v>1137.2336640000001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270.18366400000014</v>
      </c>
      <c r="L33" s="36"/>
    </row>
    <row r="34" spans="1:17" x14ac:dyDescent="0.2">
      <c r="A34" s="220"/>
      <c r="B34" s="91"/>
      <c r="C34" s="93"/>
      <c r="G34" s="273">
        <f>G4*G3</f>
        <v>487.26000000000005</v>
      </c>
      <c r="H34" s="111">
        <f>H4*H3</f>
        <v>481.28519999999997</v>
      </c>
      <c r="I34" s="277">
        <f>I4*I3</f>
        <v>0</v>
      </c>
      <c r="K34" s="278">
        <f>M30+N30</f>
        <v>1139.7336640000001</v>
      </c>
      <c r="L34" s="36"/>
      <c r="N34"/>
      <c r="O34"/>
      <c r="P34"/>
    </row>
    <row r="35" spans="1:17" x14ac:dyDescent="0.2">
      <c r="A35" s="110"/>
      <c r="B35" s="91">
        <f>C35-C4</f>
        <v>264</v>
      </c>
      <c r="C35" s="93">
        <v>3159</v>
      </c>
      <c r="G35" s="188" t="s">
        <v>13</v>
      </c>
      <c r="H35" s="362">
        <f>G34+H34+I34</f>
        <v>968.54520000000002</v>
      </c>
      <c r="I35" s="362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264</v>
      </c>
      <c r="C36" s="121">
        <f>C4+B36</f>
        <v>3159</v>
      </c>
      <c r="G36" s="274" t="s">
        <v>9</v>
      </c>
      <c r="H36" s="358">
        <v>24.62</v>
      </c>
      <c r="I36" s="358"/>
      <c r="L36" s="36"/>
      <c r="N36"/>
      <c r="O36"/>
      <c r="P36"/>
    </row>
    <row r="37" spans="1:17" x14ac:dyDescent="0.2">
      <c r="G37" s="274" t="s">
        <v>11</v>
      </c>
      <c r="H37" s="359">
        <f>H36+G34+H34+I34</f>
        <v>993.16520000000003</v>
      </c>
      <c r="I37" s="359"/>
      <c r="J37" s="197"/>
      <c r="N37"/>
      <c r="O37"/>
      <c r="P37"/>
    </row>
    <row r="38" spans="1:17" x14ac:dyDescent="0.2">
      <c r="G38" s="274" t="s">
        <v>12</v>
      </c>
      <c r="H38" s="111">
        <v>246.66</v>
      </c>
      <c r="I38" s="277">
        <f>7/100</f>
        <v>7.0000000000000007E-2</v>
      </c>
      <c r="N38"/>
      <c r="O38"/>
      <c r="P38"/>
    </row>
    <row r="39" spans="1:17" x14ac:dyDescent="0.2">
      <c r="G39" s="274" t="s">
        <v>13</v>
      </c>
      <c r="H39" s="363">
        <f>H37+H38-H40</f>
        <v>1062.8352</v>
      </c>
      <c r="I39" s="363"/>
      <c r="N39"/>
      <c r="O39"/>
      <c r="P39"/>
    </row>
    <row r="40" spans="1:17" x14ac:dyDescent="0.2">
      <c r="G40" s="274" t="s">
        <v>163</v>
      </c>
      <c r="H40" s="363">
        <v>176.99</v>
      </c>
      <c r="I40" s="363"/>
      <c r="N40"/>
      <c r="O40"/>
      <c r="P40"/>
    </row>
    <row r="41" spans="1:17" x14ac:dyDescent="0.2">
      <c r="G41" s="274" t="s">
        <v>158</v>
      </c>
      <c r="H41" s="360">
        <f>H39*I38</f>
        <v>74.398464000000004</v>
      </c>
      <c r="I41" s="360"/>
      <c r="J41" s="36"/>
      <c r="K41" s="2"/>
      <c r="N41"/>
      <c r="O41"/>
      <c r="P41"/>
    </row>
    <row r="42" spans="1:17" x14ac:dyDescent="0.2">
      <c r="G42" s="273" t="s">
        <v>120</v>
      </c>
      <c r="H42" s="355">
        <f>H39+H41</f>
        <v>1137.2336640000001</v>
      </c>
      <c r="I42" s="355"/>
      <c r="J42" s="274"/>
      <c r="M42" s="14"/>
      <c r="N42"/>
      <c r="O42"/>
      <c r="P42"/>
    </row>
    <row r="43" spans="1:17" x14ac:dyDescent="0.2">
      <c r="G43" s="2"/>
    </row>
    <row r="44" spans="1:17" x14ac:dyDescent="0.2">
      <c r="M44" s="6"/>
      <c r="P44" s="274"/>
      <c r="Q44" s="14"/>
    </row>
  </sheetData>
  <mergeCells count="14">
    <mergeCell ref="H42:I42"/>
    <mergeCell ref="H35:I35"/>
    <mergeCell ref="H36:I36"/>
    <mergeCell ref="H37:I37"/>
    <mergeCell ref="H39:I39"/>
    <mergeCell ref="H40:I40"/>
    <mergeCell ref="H41:I41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DB09-8976-431A-AC98-23E761DEC77D}">
  <dimension ref="A1:Q45"/>
  <sheetViews>
    <sheetView workbookViewId="0">
      <selection activeCell="C37" sqref="C37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79" customWidth="1"/>
    <col min="4" max="4" width="9" style="283"/>
    <col min="5" max="6" width="13" style="283" customWidth="1"/>
    <col min="7" max="7" width="13.625" style="283" bestFit="1" customWidth="1"/>
    <col min="8" max="9" width="12.375" style="283" customWidth="1"/>
    <col min="10" max="10" width="50.25" style="2" bestFit="1" customWidth="1"/>
    <col min="11" max="11" width="12.625" style="283" customWidth="1"/>
    <col min="12" max="12" width="16.25" style="283" customWidth="1"/>
    <col min="13" max="13" width="16" style="283" customWidth="1"/>
    <col min="14" max="14" width="11" style="283" customWidth="1"/>
    <col min="15" max="15" width="9" style="283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83" t="s">
        <v>67</v>
      </c>
      <c r="H2" s="283" t="s">
        <v>68</v>
      </c>
      <c r="I2" s="283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79" t="s">
        <v>16</v>
      </c>
      <c r="D3" s="283" t="s">
        <v>6</v>
      </c>
      <c r="E3" s="283" t="s">
        <v>7</v>
      </c>
      <c r="F3" s="283" t="s">
        <v>14</v>
      </c>
      <c r="G3" s="283">
        <f>L4</f>
        <v>3.2484000000000002</v>
      </c>
      <c r="H3" s="283">
        <f>L5</f>
        <v>4.2218</v>
      </c>
      <c r="I3" s="283">
        <v>4.4217000000000004</v>
      </c>
      <c r="L3" s="283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3159</v>
      </c>
      <c r="D4" s="361">
        <f>C4</f>
        <v>3159</v>
      </c>
      <c r="E4" s="356">
        <f>C36-D4</f>
        <v>317</v>
      </c>
      <c r="F4" s="353"/>
      <c r="G4" s="329">
        <v>150</v>
      </c>
      <c r="H4" s="364">
        <f>B36-G4</f>
        <v>167</v>
      </c>
      <c r="I4" s="357">
        <f>E4-G4-H4</f>
        <v>0</v>
      </c>
      <c r="J4" s="2" t="s">
        <v>0</v>
      </c>
      <c r="K4" s="283" t="s">
        <v>1</v>
      </c>
      <c r="L4" s="283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83" t="s">
        <v>1</v>
      </c>
      <c r="L5" s="283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83" t="s">
        <v>1</v>
      </c>
      <c r="L6" s="283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83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83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86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86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86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86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709.4</v>
      </c>
      <c r="L23" s="196"/>
      <c r="M23" s="195">
        <f>K23</f>
        <v>709.4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0</v>
      </c>
      <c r="L25" s="196">
        <f>K25</f>
        <v>0</v>
      </c>
      <c r="M25" s="195">
        <f>K25/2</f>
        <v>0</v>
      </c>
      <c r="N25" s="198">
        <f>M25</f>
        <v>0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149.19999999999999</v>
      </c>
      <c r="L26" s="196">
        <f>K26</f>
        <v>149.19999999999999</v>
      </c>
      <c r="M26" s="195">
        <f>K26/2</f>
        <v>74.599999999999994</v>
      </c>
      <c r="N26" s="198">
        <f>M26</f>
        <v>74.599999999999994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925</v>
      </c>
      <c r="L27" s="196">
        <f>K27</f>
        <v>925</v>
      </c>
      <c r="M27" s="195">
        <f>K27/2</f>
        <v>462.5</v>
      </c>
      <c r="N27" s="198">
        <f>M27</f>
        <v>462.5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70.02</v>
      </c>
      <c r="L28" s="196">
        <f>K28</f>
        <v>70.02</v>
      </c>
      <c r="M28" s="195">
        <f>K28/2</f>
        <v>35.01</v>
      </c>
      <c r="N28" s="198">
        <f>M28</f>
        <v>35.01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288"/>
      <c r="L29" s="196">
        <f>K32-K30</f>
        <v>-437.61305799999968</v>
      </c>
      <c r="M29" s="195">
        <f>L29/2</f>
        <v>-218.80652899999984</v>
      </c>
      <c r="N29" s="198">
        <f>M29</f>
        <v>-218.80652899999984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88">
        <f>SUM(K23:K29)</f>
        <v>1853.62</v>
      </c>
      <c r="L30" s="288">
        <f>SUM(L23:L29)</f>
        <v>706.60694200000034</v>
      </c>
      <c r="M30" s="288">
        <f>SUM(M23:M29)</f>
        <v>1062.7034710000003</v>
      </c>
      <c r="N30" s="285">
        <f>SUM(N23:N29)+2.5</f>
        <v>355.80347100000017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/>
      <c r="K31" s="287"/>
      <c r="L31" s="36"/>
      <c r="M31" s="366">
        <f>M30+N30</f>
        <v>1418.5069420000004</v>
      </c>
      <c r="N31" s="36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86">
        <f>H44</f>
        <v>1416.0069420000002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111">
        <f>K32-K30</f>
        <v>-437.61305799999968</v>
      </c>
      <c r="L33" s="36"/>
    </row>
    <row r="34" spans="1:17" x14ac:dyDescent="0.2">
      <c r="A34" s="220"/>
      <c r="B34" s="91"/>
      <c r="C34" s="93"/>
      <c r="G34" s="280">
        <f>G4*G3</f>
        <v>487.26000000000005</v>
      </c>
      <c r="H34" s="111">
        <f>H4*H3</f>
        <v>705.04060000000004</v>
      </c>
      <c r="I34" s="287">
        <f>I4*I3</f>
        <v>0</v>
      </c>
      <c r="K34" s="288"/>
      <c r="L34" s="36"/>
      <c r="N34"/>
      <c r="O34"/>
      <c r="P34"/>
    </row>
    <row r="35" spans="1:17" x14ac:dyDescent="0.2">
      <c r="A35" s="110"/>
      <c r="B35" s="91">
        <v>317</v>
      </c>
      <c r="C35" s="93">
        <f>3159+317</f>
        <v>3476</v>
      </c>
      <c r="G35" s="188" t="s">
        <v>164</v>
      </c>
      <c r="H35" s="362">
        <f>G34+H34+I34</f>
        <v>1192.3006</v>
      </c>
      <c r="I35" s="362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317</v>
      </c>
      <c r="C36" s="121">
        <f>C4+B36</f>
        <v>3476</v>
      </c>
      <c r="G36" s="283" t="s">
        <v>9</v>
      </c>
      <c r="H36" s="358">
        <v>24.62</v>
      </c>
      <c r="I36" s="358"/>
      <c r="L36" s="36"/>
      <c r="N36"/>
      <c r="O36"/>
      <c r="P36"/>
    </row>
    <row r="37" spans="1:17" x14ac:dyDescent="0.2">
      <c r="G37" s="283" t="s">
        <v>11</v>
      </c>
      <c r="H37" s="359">
        <f>H36+G34+H34+I34</f>
        <v>1216.9206000000001</v>
      </c>
      <c r="I37" s="359"/>
      <c r="J37" s="197"/>
      <c r="N37"/>
      <c r="O37"/>
      <c r="P37"/>
    </row>
    <row r="38" spans="1:17" x14ac:dyDescent="0.2">
      <c r="G38" s="281" t="s">
        <v>165</v>
      </c>
      <c r="H38" s="365">
        <v>296.17</v>
      </c>
      <c r="I38" s="365"/>
      <c r="N38"/>
      <c r="O38"/>
      <c r="P38"/>
    </row>
    <row r="39" spans="1:17" x14ac:dyDescent="0.2">
      <c r="G39" s="284" t="s">
        <v>167</v>
      </c>
      <c r="H39" s="358">
        <f>H37+H38</f>
        <v>1513.0906000000002</v>
      </c>
      <c r="I39" s="358"/>
      <c r="N39"/>
      <c r="O39"/>
      <c r="P39"/>
    </row>
    <row r="40" spans="1:17" x14ac:dyDescent="0.2">
      <c r="G40" s="283" t="s">
        <v>158</v>
      </c>
      <c r="H40" s="300">
        <f>7/100</f>
        <v>7.0000000000000007E-2</v>
      </c>
      <c r="I40" s="300">
        <f>H39*H40</f>
        <v>105.91634200000003</v>
      </c>
      <c r="N40"/>
      <c r="O40"/>
      <c r="P40"/>
    </row>
    <row r="41" spans="1:17" x14ac:dyDescent="0.2">
      <c r="G41" s="283" t="s">
        <v>163</v>
      </c>
      <c r="H41" s="363">
        <v>0</v>
      </c>
      <c r="I41" s="363"/>
      <c r="J41" s="36"/>
      <c r="K41" s="2"/>
      <c r="N41"/>
      <c r="O41"/>
      <c r="P41"/>
    </row>
    <row r="42" spans="1:17" x14ac:dyDescent="0.2">
      <c r="G42" s="282" t="s">
        <v>166</v>
      </c>
      <c r="H42" s="360">
        <f>H39+I40</f>
        <v>1619.0069420000002</v>
      </c>
      <c r="I42" s="360"/>
      <c r="J42" s="283"/>
      <c r="M42" s="14"/>
      <c r="N42"/>
      <c r="O42"/>
      <c r="P42"/>
    </row>
    <row r="43" spans="1:17" x14ac:dyDescent="0.2">
      <c r="G43" s="283" t="s">
        <v>168</v>
      </c>
      <c r="H43" s="366">
        <v>203</v>
      </c>
      <c r="I43" s="366"/>
    </row>
    <row r="44" spans="1:17" x14ac:dyDescent="0.2">
      <c r="G44" s="280" t="s">
        <v>120</v>
      </c>
      <c r="H44" s="355">
        <f>H42-H41-H43</f>
        <v>1416.0069420000002</v>
      </c>
      <c r="I44" s="355"/>
      <c r="M44" s="6"/>
      <c r="P44" s="283"/>
      <c r="Q44" s="14"/>
    </row>
    <row r="45" spans="1:17" x14ac:dyDescent="0.2">
      <c r="G45" s="2"/>
    </row>
  </sheetData>
  <mergeCells count="17">
    <mergeCell ref="D1:I1"/>
    <mergeCell ref="D4:D33"/>
    <mergeCell ref="E4:E33"/>
    <mergeCell ref="F4:F33"/>
    <mergeCell ref="G4:G33"/>
    <mergeCell ref="H4:H33"/>
    <mergeCell ref="I4:I33"/>
    <mergeCell ref="H44:I44"/>
    <mergeCell ref="H38:I38"/>
    <mergeCell ref="H43:I43"/>
    <mergeCell ref="M31:N31"/>
    <mergeCell ref="H35:I35"/>
    <mergeCell ref="H36:I36"/>
    <mergeCell ref="H37:I37"/>
    <mergeCell ref="H39:I39"/>
    <mergeCell ref="H41:I41"/>
    <mergeCell ref="H42:I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2C9C-8C54-4D64-BB19-0C4460875A75}">
  <dimension ref="A3:J40"/>
  <sheetViews>
    <sheetView topLeftCell="A6" workbookViewId="0">
      <selection activeCell="L38" sqref="A1:XFD1048576"/>
    </sheetView>
  </sheetViews>
  <sheetFormatPr defaultRowHeight="14.25" x14ac:dyDescent="0.2"/>
  <cols>
    <col min="1" max="2" width="9" style="1"/>
    <col min="3" max="3" width="13" style="1" customWidth="1"/>
    <col min="4" max="4" width="12.5" style="1" customWidth="1"/>
    <col min="5" max="5" width="9" style="1"/>
    <col min="6" max="6" width="41.375" style="2" bestFit="1" customWidth="1"/>
    <col min="7" max="7" width="7.25" style="1" bestFit="1" customWidth="1"/>
    <col min="8" max="8" width="13.375" style="1" customWidth="1"/>
    <col min="9" max="9" width="11.5" style="6" bestFit="1" customWidth="1"/>
    <col min="10" max="10" width="9" style="5"/>
  </cols>
  <sheetData>
    <row r="3" spans="2:10" x14ac:dyDescent="0.2">
      <c r="B3" s="350" t="s">
        <v>8</v>
      </c>
      <c r="C3" s="350"/>
      <c r="D3" s="350"/>
      <c r="E3" s="350"/>
    </row>
    <row r="4" spans="2:10" x14ac:dyDescent="0.2">
      <c r="B4" s="1" t="s">
        <v>6</v>
      </c>
      <c r="C4" s="1" t="s">
        <v>7</v>
      </c>
      <c r="D4" s="1">
        <f>H5</f>
        <v>3.2484000000000002</v>
      </c>
      <c r="E4" s="1">
        <f>H6</f>
        <v>4.2218</v>
      </c>
      <c r="H4" s="1" t="s">
        <v>4</v>
      </c>
    </row>
    <row r="5" spans="2:10" x14ac:dyDescent="0.2">
      <c r="B5" s="348">
        <v>4378</v>
      </c>
      <c r="C5" s="351">
        <f>A34-B5</f>
        <v>283</v>
      </c>
      <c r="D5" s="329">
        <v>150</v>
      </c>
      <c r="E5" s="342">
        <f>C5-D5</f>
        <v>133</v>
      </c>
      <c r="F5" s="2" t="s">
        <v>0</v>
      </c>
      <c r="G5" s="1" t="s">
        <v>1</v>
      </c>
      <c r="H5" s="1">
        <v>3.2484000000000002</v>
      </c>
    </row>
    <row r="6" spans="2:10" x14ac:dyDescent="0.2">
      <c r="B6" s="348"/>
      <c r="C6" s="351"/>
      <c r="D6" s="329"/>
      <c r="E6" s="342"/>
      <c r="F6" s="2" t="s">
        <v>2</v>
      </c>
      <c r="G6" s="1" t="s">
        <v>1</v>
      </c>
      <c r="H6" s="1">
        <v>4.2218</v>
      </c>
    </row>
    <row r="7" spans="2:10" x14ac:dyDescent="0.2">
      <c r="B7" s="348"/>
      <c r="C7" s="351"/>
      <c r="D7" s="329"/>
      <c r="E7" s="342"/>
      <c r="F7" s="2" t="s">
        <v>3</v>
      </c>
      <c r="G7" s="1" t="s">
        <v>1</v>
      </c>
      <c r="H7" s="1">
        <v>4.4217000000000004</v>
      </c>
    </row>
    <row r="8" spans="2:10" x14ac:dyDescent="0.2">
      <c r="B8" s="348"/>
      <c r="C8" s="351"/>
      <c r="D8" s="329"/>
      <c r="E8" s="342"/>
      <c r="F8" s="2" t="s">
        <v>5</v>
      </c>
      <c r="H8" s="1">
        <v>38.22</v>
      </c>
    </row>
    <row r="9" spans="2:10" x14ac:dyDescent="0.2">
      <c r="B9" s="348"/>
      <c r="C9" s="351"/>
      <c r="D9" s="329"/>
      <c r="E9" s="342"/>
    </row>
    <row r="10" spans="2:10" x14ac:dyDescent="0.2">
      <c r="B10" s="348"/>
      <c r="C10" s="351"/>
      <c r="D10" s="329"/>
      <c r="E10" s="342"/>
    </row>
    <row r="11" spans="2:10" x14ac:dyDescent="0.2">
      <c r="B11" s="348"/>
      <c r="C11" s="351"/>
      <c r="D11" s="329"/>
      <c r="E11" s="342"/>
    </row>
    <row r="12" spans="2:10" x14ac:dyDescent="0.2">
      <c r="B12" s="348"/>
      <c r="C12" s="351"/>
      <c r="D12" s="329"/>
      <c r="E12" s="342"/>
    </row>
    <row r="13" spans="2:10" x14ac:dyDescent="0.2">
      <c r="B13" s="348"/>
      <c r="C13" s="351"/>
      <c r="D13" s="329"/>
      <c r="E13" s="342"/>
    </row>
    <row r="14" spans="2:10" x14ac:dyDescent="0.2">
      <c r="B14" s="348"/>
      <c r="C14" s="351"/>
      <c r="D14" s="329"/>
      <c r="E14" s="342"/>
      <c r="H14" s="6"/>
    </row>
    <row r="15" spans="2:10" x14ac:dyDescent="0.2">
      <c r="B15" s="348"/>
      <c r="C15" s="351"/>
      <c r="D15" s="329"/>
      <c r="E15" s="342"/>
      <c r="H15" s="6">
        <v>19725</v>
      </c>
      <c r="I15" s="6">
        <v>10000</v>
      </c>
      <c r="J15" s="5">
        <v>1</v>
      </c>
    </row>
    <row r="16" spans="2:10" x14ac:dyDescent="0.2">
      <c r="B16" s="348"/>
      <c r="C16" s="351"/>
      <c r="D16" s="329"/>
      <c r="E16" s="342"/>
      <c r="H16" s="6">
        <v>17900</v>
      </c>
      <c r="I16" s="6">
        <v>10000</v>
      </c>
      <c r="J16" s="5">
        <v>2</v>
      </c>
    </row>
    <row r="17" spans="1:10" x14ac:dyDescent="0.2">
      <c r="B17" s="348"/>
      <c r="C17" s="351"/>
      <c r="D17" s="329"/>
      <c r="E17" s="342"/>
      <c r="H17" s="6">
        <v>278</v>
      </c>
      <c r="I17" s="6">
        <v>10000</v>
      </c>
      <c r="J17" s="5">
        <v>3</v>
      </c>
    </row>
    <row r="18" spans="1:10" x14ac:dyDescent="0.2">
      <c r="B18" s="348"/>
      <c r="C18" s="351"/>
      <c r="D18" s="329"/>
      <c r="E18" s="342"/>
      <c r="H18" s="6">
        <v>1140</v>
      </c>
      <c r="I18" s="6">
        <v>10000</v>
      </c>
      <c r="J18" s="5">
        <v>4</v>
      </c>
    </row>
    <row r="19" spans="1:10" x14ac:dyDescent="0.2">
      <c r="A19" s="1">
        <v>4463</v>
      </c>
      <c r="B19" s="348"/>
      <c r="C19" s="351"/>
      <c r="D19" s="329"/>
      <c r="E19" s="342"/>
      <c r="H19" s="6">
        <v>19800</v>
      </c>
      <c r="I19" s="6">
        <v>10000</v>
      </c>
      <c r="J19" s="5">
        <v>5</v>
      </c>
    </row>
    <row r="20" spans="1:10" x14ac:dyDescent="0.2">
      <c r="A20" s="1">
        <v>4470</v>
      </c>
      <c r="B20" s="348"/>
      <c r="C20" s="351"/>
      <c r="D20" s="329"/>
      <c r="E20" s="342"/>
      <c r="H20" s="6"/>
      <c r="I20" s="6">
        <v>10000</v>
      </c>
      <c r="J20" s="5">
        <v>6</v>
      </c>
    </row>
    <row r="21" spans="1:10" x14ac:dyDescent="0.2">
      <c r="A21" s="1">
        <v>4483</v>
      </c>
      <c r="B21" s="348"/>
      <c r="C21" s="351"/>
      <c r="D21" s="329"/>
      <c r="E21" s="342"/>
      <c r="H21" s="6"/>
      <c r="J21" s="5">
        <v>7</v>
      </c>
    </row>
    <row r="22" spans="1:10" x14ac:dyDescent="0.2">
      <c r="A22" s="1">
        <v>4490</v>
      </c>
      <c r="B22" s="348"/>
      <c r="C22" s="351"/>
      <c r="D22" s="329"/>
      <c r="E22" s="342"/>
      <c r="H22" s="6"/>
      <c r="J22" s="5">
        <v>8</v>
      </c>
    </row>
    <row r="23" spans="1:10" x14ac:dyDescent="0.2">
      <c r="A23" s="1">
        <v>4503</v>
      </c>
      <c r="B23" s="348"/>
      <c r="C23" s="351"/>
      <c r="D23" s="329"/>
      <c r="E23" s="342"/>
      <c r="H23" s="6"/>
      <c r="J23" s="5">
        <v>9</v>
      </c>
    </row>
    <row r="24" spans="1:10" x14ac:dyDescent="0.2">
      <c r="A24" s="1">
        <v>4512</v>
      </c>
      <c r="B24" s="348"/>
      <c r="C24" s="351"/>
      <c r="D24" s="329"/>
      <c r="E24" s="342"/>
      <c r="H24" s="6"/>
      <c r="J24" s="5">
        <v>10</v>
      </c>
    </row>
    <row r="25" spans="1:10" x14ac:dyDescent="0.2">
      <c r="A25" s="1">
        <v>4525</v>
      </c>
      <c r="B25" s="348"/>
      <c r="C25" s="351"/>
      <c r="D25" s="329"/>
      <c r="E25" s="342"/>
      <c r="H25" s="6"/>
      <c r="J25" s="5">
        <v>11</v>
      </c>
    </row>
    <row r="26" spans="1:10" x14ac:dyDescent="0.2">
      <c r="A26" s="1">
        <v>4539</v>
      </c>
      <c r="B26" s="348"/>
      <c r="C26" s="351"/>
      <c r="D26" s="329"/>
      <c r="E26" s="342"/>
      <c r="H26" s="6"/>
      <c r="J26" s="5">
        <v>12</v>
      </c>
    </row>
    <row r="27" spans="1:10" x14ac:dyDescent="0.2">
      <c r="A27" s="1">
        <v>4540</v>
      </c>
      <c r="B27" s="348"/>
      <c r="C27" s="351"/>
      <c r="D27" s="329"/>
      <c r="E27" s="342"/>
      <c r="H27" s="6"/>
      <c r="J27" s="5">
        <v>13</v>
      </c>
    </row>
    <row r="28" spans="1:10" x14ac:dyDescent="0.2">
      <c r="A28" s="1">
        <v>4550</v>
      </c>
      <c r="B28" s="348"/>
      <c r="C28" s="351"/>
      <c r="D28" s="329"/>
      <c r="E28" s="342"/>
      <c r="J28" s="5">
        <v>14</v>
      </c>
    </row>
    <row r="29" spans="1:10" x14ac:dyDescent="0.2">
      <c r="A29" s="1">
        <v>4560</v>
      </c>
      <c r="B29" s="348"/>
      <c r="C29" s="351"/>
      <c r="D29" s="329"/>
      <c r="E29" s="342"/>
      <c r="J29" s="5">
        <v>15</v>
      </c>
    </row>
    <row r="30" spans="1:10" x14ac:dyDescent="0.2">
      <c r="A30" s="1">
        <v>4574</v>
      </c>
      <c r="B30" s="348"/>
      <c r="C30" s="351"/>
      <c r="D30" s="329"/>
      <c r="E30" s="342"/>
      <c r="J30" s="5">
        <v>16</v>
      </c>
    </row>
    <row r="31" spans="1:10" x14ac:dyDescent="0.2">
      <c r="A31" s="1">
        <v>4588</v>
      </c>
      <c r="B31" s="348"/>
      <c r="C31" s="351"/>
      <c r="D31" s="329"/>
      <c r="E31" s="342"/>
      <c r="J31" s="5">
        <v>17</v>
      </c>
    </row>
    <row r="32" spans="1:10" x14ac:dyDescent="0.2">
      <c r="A32" s="1">
        <v>4621</v>
      </c>
      <c r="B32" s="348"/>
      <c r="C32" s="351"/>
      <c r="D32" s="329"/>
      <c r="E32" s="342"/>
      <c r="J32" s="5">
        <v>18</v>
      </c>
    </row>
    <row r="33" spans="1:10" x14ac:dyDescent="0.2">
      <c r="A33" s="1">
        <v>4636</v>
      </c>
      <c r="B33" s="348"/>
      <c r="C33" s="351"/>
      <c r="D33" s="329"/>
      <c r="E33" s="342"/>
      <c r="J33" s="5">
        <v>19</v>
      </c>
    </row>
    <row r="34" spans="1:10" x14ac:dyDescent="0.2">
      <c r="A34" s="1">
        <v>4661</v>
      </c>
      <c r="B34" s="348"/>
      <c r="C34" s="351"/>
      <c r="D34" s="329"/>
      <c r="E34" s="342"/>
      <c r="J34" s="5">
        <v>20</v>
      </c>
    </row>
    <row r="35" spans="1:10" x14ac:dyDescent="0.2">
      <c r="D35" s="4">
        <f>D5*D4</f>
        <v>487.26000000000005</v>
      </c>
      <c r="E35" s="3">
        <f>E5*E4</f>
        <v>561.49940000000004</v>
      </c>
      <c r="H35" s="6">
        <f>SUM(H15:H34)</f>
        <v>58843</v>
      </c>
      <c r="I35" s="6">
        <f>SUM(I15:I34)</f>
        <v>60000</v>
      </c>
    </row>
    <row r="36" spans="1:10" x14ac:dyDescent="0.2">
      <c r="C36" s="1" t="s">
        <v>9</v>
      </c>
      <c r="D36" s="342">
        <f>H8</f>
        <v>38.22</v>
      </c>
      <c r="E36" s="342"/>
    </row>
    <row r="37" spans="1:10" x14ac:dyDescent="0.2">
      <c r="C37" s="1" t="s">
        <v>11</v>
      </c>
      <c r="D37" s="329">
        <f>D36+D35+E35</f>
        <v>1086.9794000000002</v>
      </c>
      <c r="E37" s="329"/>
    </row>
    <row r="38" spans="1:10" x14ac:dyDescent="0.2">
      <c r="C38" s="1" t="s">
        <v>12</v>
      </c>
      <c r="D38" s="9">
        <v>43.36</v>
      </c>
      <c r="E38" s="8">
        <f>7/100</f>
        <v>7.0000000000000007E-2</v>
      </c>
    </row>
    <row r="39" spans="1:10" x14ac:dyDescent="0.2">
      <c r="C39" s="1" t="s">
        <v>10</v>
      </c>
      <c r="D39" s="348">
        <f>(D37-D38)*E38</f>
        <v>73.053358000000031</v>
      </c>
      <c r="E39" s="348"/>
    </row>
    <row r="40" spans="1:10" x14ac:dyDescent="0.2">
      <c r="C40" s="1" t="s">
        <v>13</v>
      </c>
      <c r="D40" s="349">
        <f>D37+D39-D38</f>
        <v>1116.6727580000004</v>
      </c>
      <c r="E40" s="349"/>
    </row>
  </sheetData>
  <mergeCells count="9">
    <mergeCell ref="D39:E39"/>
    <mergeCell ref="D40:E40"/>
    <mergeCell ref="D37:E37"/>
    <mergeCell ref="B3:E3"/>
    <mergeCell ref="B5:B34"/>
    <mergeCell ref="C5:C34"/>
    <mergeCell ref="D5:D34"/>
    <mergeCell ref="E5:E34"/>
    <mergeCell ref="D36:E36"/>
  </mergeCells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1EE8-2294-4047-A8FE-44467C6849C2}">
  <dimension ref="A1:Q45"/>
  <sheetViews>
    <sheetView topLeftCell="A4" workbookViewId="0">
      <selection activeCell="J43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89" customWidth="1"/>
    <col min="4" max="4" width="9" style="293"/>
    <col min="5" max="6" width="13" style="293" customWidth="1"/>
    <col min="7" max="7" width="13.625" style="293" bestFit="1" customWidth="1"/>
    <col min="8" max="9" width="12.375" style="293" customWidth="1"/>
    <col min="10" max="10" width="50.25" style="2" bestFit="1" customWidth="1"/>
    <col min="11" max="11" width="12.625" style="293" customWidth="1"/>
    <col min="12" max="12" width="16.25" style="293" customWidth="1"/>
    <col min="13" max="13" width="16" style="293" customWidth="1"/>
    <col min="14" max="14" width="11" style="293" customWidth="1"/>
    <col min="15" max="15" width="9" style="293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293" t="s">
        <v>67</v>
      </c>
      <c r="H2" s="293" t="s">
        <v>68</v>
      </c>
      <c r="I2" s="293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89" t="s">
        <v>16</v>
      </c>
      <c r="D3" s="293" t="s">
        <v>6</v>
      </c>
      <c r="E3" s="293" t="s">
        <v>7</v>
      </c>
      <c r="F3" s="293" t="s">
        <v>14</v>
      </c>
      <c r="G3" s="293">
        <f>L4</f>
        <v>3.2484000000000002</v>
      </c>
      <c r="H3" s="293">
        <f>L5</f>
        <v>4.2218</v>
      </c>
      <c r="I3" s="293">
        <v>4.4217000000000004</v>
      </c>
      <c r="L3" s="293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3159</v>
      </c>
      <c r="D4" s="361">
        <f>C4</f>
        <v>3159</v>
      </c>
      <c r="E4" s="356">
        <f>C36-D4</f>
        <v>317</v>
      </c>
      <c r="F4" s="353"/>
      <c r="G4" s="329">
        <v>150</v>
      </c>
      <c r="H4" s="364">
        <f>B36-G4</f>
        <v>167</v>
      </c>
      <c r="I4" s="357">
        <f>E4-G4-H4</f>
        <v>0</v>
      </c>
      <c r="J4" s="2" t="s">
        <v>0</v>
      </c>
      <c r="K4" s="293" t="s">
        <v>1</v>
      </c>
      <c r="L4" s="293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293" t="s">
        <v>1</v>
      </c>
      <c r="L5" s="293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293" t="s">
        <v>1</v>
      </c>
      <c r="L6" s="293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293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293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296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296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296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296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579</v>
      </c>
      <c r="L23" s="196"/>
      <c r="M23" s="195">
        <f>K23</f>
        <v>579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0</v>
      </c>
      <c r="L25" s="196">
        <f>K25</f>
        <v>0</v>
      </c>
      <c r="M25" s="195">
        <f>K25/2</f>
        <v>0</v>
      </c>
      <c r="N25" s="198">
        <f>M25</f>
        <v>0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113.1</v>
      </c>
      <c r="L26" s="196">
        <f>K26</f>
        <v>113.1</v>
      </c>
      <c r="M26" s="195">
        <f>K26/2</f>
        <v>56.55</v>
      </c>
      <c r="N26" s="198">
        <f>M26</f>
        <v>56.55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158.80000000000001</v>
      </c>
      <c r="L27" s="196">
        <f>K27</f>
        <v>158.80000000000001</v>
      </c>
      <c r="M27" s="195">
        <f>K27/2</f>
        <v>79.400000000000006</v>
      </c>
      <c r="N27" s="198">
        <f>M27</f>
        <v>79.400000000000006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48.41</v>
      </c>
      <c r="L28" s="196">
        <f>K28</f>
        <v>48.41</v>
      </c>
      <c r="M28" s="195">
        <f>K28/2</f>
        <v>24.204999999999998</v>
      </c>
      <c r="N28" s="198">
        <f>M28</f>
        <v>24.204999999999998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298"/>
      <c r="L29" s="196">
        <f>K32-K30</f>
        <v>852.11</v>
      </c>
      <c r="M29" s="195">
        <f>L29/2</f>
        <v>426.05500000000001</v>
      </c>
      <c r="N29" s="198">
        <f>M29</f>
        <v>426.05500000000001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298">
        <f>SUM(K23:K29)</f>
        <v>899.31000000000006</v>
      </c>
      <c r="L30" s="298">
        <f>SUM(L23:L29)</f>
        <v>1172.42</v>
      </c>
      <c r="M30" s="298">
        <f>SUM(M23:M29)</f>
        <v>1165.21</v>
      </c>
      <c r="N30" s="295">
        <f>SUM(N23:N29)+2.5</f>
        <v>588.71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/>
      <c r="K31" s="297"/>
      <c r="L31" s="36"/>
      <c r="M31" s="366">
        <f>M30+N30</f>
        <v>1753.92</v>
      </c>
      <c r="N31" s="36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296">
        <v>1751.42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299">
        <f>K32-K30</f>
        <v>852.11</v>
      </c>
      <c r="L33" s="36"/>
    </row>
    <row r="34" spans="1:17" x14ac:dyDescent="0.2">
      <c r="A34" s="220"/>
      <c r="B34" s="91"/>
      <c r="C34" s="93"/>
      <c r="G34" s="291">
        <f>G4*G3</f>
        <v>487.26000000000005</v>
      </c>
      <c r="H34" s="299">
        <f>H4*H3</f>
        <v>705.04060000000004</v>
      </c>
      <c r="I34" s="297">
        <f>I4*I3</f>
        <v>0</v>
      </c>
      <c r="K34" s="298"/>
      <c r="L34" s="36"/>
      <c r="N34"/>
      <c r="O34"/>
      <c r="P34"/>
    </row>
    <row r="35" spans="1:17" x14ac:dyDescent="0.2">
      <c r="A35" s="110"/>
      <c r="B35" s="91">
        <v>317</v>
      </c>
      <c r="C35" s="93">
        <f>3159+317</f>
        <v>3476</v>
      </c>
      <c r="G35" s="188" t="s">
        <v>164</v>
      </c>
      <c r="H35" s="362">
        <f>G34+H34+I34</f>
        <v>1192.3006</v>
      </c>
      <c r="I35" s="362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317</v>
      </c>
      <c r="C36" s="121">
        <f>C4+B36</f>
        <v>3476</v>
      </c>
      <c r="G36" s="293" t="s">
        <v>9</v>
      </c>
      <c r="H36" s="358">
        <v>24.62</v>
      </c>
      <c r="I36" s="358"/>
      <c r="L36" s="36"/>
      <c r="N36"/>
      <c r="O36"/>
      <c r="P36"/>
    </row>
    <row r="37" spans="1:17" x14ac:dyDescent="0.2">
      <c r="G37" s="293" t="s">
        <v>11</v>
      </c>
      <c r="H37" s="359">
        <f>H36+G34+H34+I34</f>
        <v>1216.9206000000001</v>
      </c>
      <c r="I37" s="359"/>
      <c r="J37" s="197"/>
      <c r="N37"/>
      <c r="O37"/>
      <c r="P37"/>
    </row>
    <row r="38" spans="1:17" x14ac:dyDescent="0.2">
      <c r="G38" s="290" t="s">
        <v>165</v>
      </c>
      <c r="H38" s="365">
        <v>296.17</v>
      </c>
      <c r="I38" s="365"/>
      <c r="N38"/>
      <c r="O38"/>
      <c r="P38"/>
    </row>
    <row r="39" spans="1:17" x14ac:dyDescent="0.2">
      <c r="G39" s="294" t="s">
        <v>167</v>
      </c>
      <c r="H39" s="358">
        <f>H37+H38</f>
        <v>1513.0906000000002</v>
      </c>
      <c r="I39" s="358"/>
      <c r="N39"/>
      <c r="O39"/>
      <c r="P39"/>
    </row>
    <row r="40" spans="1:17" x14ac:dyDescent="0.2">
      <c r="G40" s="293" t="s">
        <v>158</v>
      </c>
      <c r="H40" s="300">
        <f>7/100</f>
        <v>7.0000000000000007E-2</v>
      </c>
      <c r="I40" s="300">
        <f>H39*H40</f>
        <v>105.91634200000003</v>
      </c>
      <c r="N40"/>
      <c r="O40"/>
      <c r="P40"/>
    </row>
    <row r="41" spans="1:17" x14ac:dyDescent="0.2">
      <c r="G41" s="293" t="s">
        <v>163</v>
      </c>
      <c r="H41" s="363">
        <v>0</v>
      </c>
      <c r="I41" s="363"/>
      <c r="J41" s="36"/>
      <c r="K41" s="2"/>
      <c r="N41"/>
      <c r="O41"/>
      <c r="P41"/>
    </row>
    <row r="42" spans="1:17" x14ac:dyDescent="0.2">
      <c r="G42" s="292" t="s">
        <v>166</v>
      </c>
      <c r="H42" s="360">
        <f>H39+I40</f>
        <v>1619.0069420000002</v>
      </c>
      <c r="I42" s="360"/>
      <c r="J42" s="293"/>
      <c r="M42" s="14"/>
      <c r="N42"/>
      <c r="O42"/>
      <c r="P42"/>
    </row>
    <row r="43" spans="1:17" x14ac:dyDescent="0.2">
      <c r="G43" s="293" t="s">
        <v>168</v>
      </c>
      <c r="H43" s="366">
        <v>203</v>
      </c>
      <c r="I43" s="366"/>
    </row>
    <row r="44" spans="1:17" x14ac:dyDescent="0.2">
      <c r="G44" s="291" t="s">
        <v>120</v>
      </c>
      <c r="H44" s="355">
        <f>H42-H41-H43</f>
        <v>1416.0069420000002</v>
      </c>
      <c r="I44" s="355"/>
      <c r="M44" s="6"/>
      <c r="P44" s="293"/>
      <c r="Q44" s="14"/>
    </row>
    <row r="45" spans="1:17" x14ac:dyDescent="0.2">
      <c r="G45" s="2"/>
    </row>
  </sheetData>
  <mergeCells count="17">
    <mergeCell ref="H41:I41"/>
    <mergeCell ref="H42:I42"/>
    <mergeCell ref="H43:I43"/>
    <mergeCell ref="H44:I44"/>
    <mergeCell ref="M31:N31"/>
    <mergeCell ref="H35:I35"/>
    <mergeCell ref="H36:I36"/>
    <mergeCell ref="H37:I37"/>
    <mergeCell ref="H38:I38"/>
    <mergeCell ref="H39:I39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6D6E-B7B7-4783-8581-EE75EB0A5868}">
  <dimension ref="A1:Q46"/>
  <sheetViews>
    <sheetView topLeftCell="A7" workbookViewId="0">
      <selection activeCell="J41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301" customWidth="1"/>
    <col min="4" max="4" width="9" style="305"/>
    <col min="5" max="6" width="13" style="305" customWidth="1"/>
    <col min="7" max="7" width="13.625" style="305" bestFit="1" customWidth="1"/>
    <col min="8" max="9" width="12.375" style="305" customWidth="1"/>
    <col min="10" max="10" width="50.25" style="2" bestFit="1" customWidth="1"/>
    <col min="11" max="11" width="12.625" style="305" customWidth="1"/>
    <col min="12" max="12" width="16.25" style="305" customWidth="1"/>
    <col min="13" max="13" width="16" style="305" customWidth="1"/>
    <col min="14" max="14" width="11" style="305" customWidth="1"/>
    <col min="15" max="15" width="9" style="305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305" t="s">
        <v>67</v>
      </c>
      <c r="H2" s="305" t="s">
        <v>68</v>
      </c>
      <c r="I2" s="305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301" t="s">
        <v>16</v>
      </c>
      <c r="D3" s="305" t="s">
        <v>6</v>
      </c>
      <c r="E3" s="305" t="s">
        <v>7</v>
      </c>
      <c r="F3" s="305" t="s">
        <v>14</v>
      </c>
      <c r="G3" s="305">
        <f>L4</f>
        <v>3.2484000000000002</v>
      </c>
      <c r="H3" s="305">
        <f>L5</f>
        <v>4.2218</v>
      </c>
      <c r="I3" s="305">
        <v>4.4217000000000004</v>
      </c>
      <c r="L3" s="305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391</v>
      </c>
      <c r="D4" s="361">
        <f>C4</f>
        <v>391</v>
      </c>
      <c r="E4" s="356">
        <f>C36-D4</f>
        <v>357</v>
      </c>
      <c r="F4" s="353"/>
      <c r="G4" s="329">
        <v>150</v>
      </c>
      <c r="H4" s="364">
        <f>B36-G4</f>
        <v>207</v>
      </c>
      <c r="I4" s="357">
        <f>E4-G4-H4</f>
        <v>0</v>
      </c>
      <c r="J4" s="2" t="s">
        <v>0</v>
      </c>
      <c r="K4" s="305" t="s">
        <v>1</v>
      </c>
      <c r="L4" s="305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305" t="s">
        <v>1</v>
      </c>
      <c r="L5" s="305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305" t="s">
        <v>1</v>
      </c>
      <c r="L6" s="305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305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305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308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308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308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308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721.2</v>
      </c>
      <c r="L23" s="196"/>
      <c r="M23" s="195">
        <f>K23</f>
        <v>721.2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/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0</v>
      </c>
      <c r="L25" s="196">
        <f>K25</f>
        <v>0</v>
      </c>
      <c r="M25" s="195">
        <f>K25/2</f>
        <v>0</v>
      </c>
      <c r="N25" s="198">
        <f>M25</f>
        <v>0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146.1</v>
      </c>
      <c r="L26" s="196">
        <f>K26</f>
        <v>146.1</v>
      </c>
      <c r="M26" s="195">
        <f>K26/2</f>
        <v>73.05</v>
      </c>
      <c r="N26" s="198">
        <f>M26</f>
        <v>73.05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189.9</v>
      </c>
      <c r="L27" s="196">
        <f>K27</f>
        <v>189.9</v>
      </c>
      <c r="M27" s="195">
        <f>K27/2</f>
        <v>94.95</v>
      </c>
      <c r="N27" s="198">
        <f>M27</f>
        <v>94.95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50</v>
      </c>
      <c r="L28" s="196">
        <f>K28</f>
        <v>50</v>
      </c>
      <c r="M28" s="195">
        <f>K28/2</f>
        <v>25</v>
      </c>
      <c r="N28" s="198">
        <f>M28</f>
        <v>25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10"/>
      <c r="L29" s="196">
        <f>K33</f>
        <v>568.43658199999982</v>
      </c>
      <c r="M29" s="195">
        <f>L29/2</f>
        <v>284.21829099999991</v>
      </c>
      <c r="N29" s="198">
        <f>M29</f>
        <v>284.21829099999991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310">
        <f>SUM(K23:K29)</f>
        <v>1107.2</v>
      </c>
      <c r="L30" s="310">
        <f>SUM(L23:L29)</f>
        <v>954.43658199999982</v>
      </c>
      <c r="M30" s="310">
        <f>SUM(M23:M29)</f>
        <v>1198.418291</v>
      </c>
      <c r="N30" s="307">
        <f>SUM(N23:N29)</f>
        <v>477.21829099999991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/>
      <c r="K31" s="309"/>
      <c r="L31" s="36"/>
      <c r="M31" s="366">
        <f>M30+N30</f>
        <v>1675.6365819999999</v>
      </c>
      <c r="N31" s="36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308">
        <f>H45</f>
        <v>1670.6365819999999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311">
        <f>(K32-K30)+5</f>
        <v>568.43658199999982</v>
      </c>
      <c r="L33" s="36"/>
    </row>
    <row r="34" spans="1:17" x14ac:dyDescent="0.2">
      <c r="A34" s="220"/>
      <c r="B34" s="91"/>
      <c r="C34" s="93"/>
      <c r="G34" s="302">
        <f>G4*G3</f>
        <v>487.26000000000005</v>
      </c>
      <c r="H34" s="311">
        <f>H4*H3</f>
        <v>873.9126</v>
      </c>
      <c r="I34" s="309">
        <f>I4*I3</f>
        <v>0</v>
      </c>
      <c r="K34" s="310"/>
      <c r="L34" s="36"/>
      <c r="N34"/>
      <c r="O34"/>
      <c r="P34"/>
    </row>
    <row r="35" spans="1:17" x14ac:dyDescent="0.2">
      <c r="A35" s="110"/>
      <c r="B35" s="91">
        <v>357</v>
      </c>
      <c r="C35" s="93">
        <f>C4+B35</f>
        <v>748</v>
      </c>
      <c r="G35" s="188" t="s">
        <v>164</v>
      </c>
      <c r="H35" s="362">
        <f>G34+H34+I34</f>
        <v>1361.1726000000001</v>
      </c>
      <c r="I35" s="362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357</v>
      </c>
      <c r="C36" s="121">
        <f>C4+B36</f>
        <v>748</v>
      </c>
      <c r="G36" s="305" t="s">
        <v>9</v>
      </c>
      <c r="H36" s="358">
        <v>24.62</v>
      </c>
      <c r="I36" s="358"/>
      <c r="L36" s="36"/>
      <c r="N36"/>
      <c r="O36"/>
      <c r="P36"/>
    </row>
    <row r="37" spans="1:17" x14ac:dyDescent="0.2">
      <c r="G37" s="305" t="s">
        <v>11</v>
      </c>
      <c r="H37" s="359">
        <f>H36+G34+H34+I34</f>
        <v>1385.7926</v>
      </c>
      <c r="I37" s="359"/>
      <c r="J37" s="197"/>
      <c r="N37"/>
      <c r="O37"/>
      <c r="P37"/>
    </row>
    <row r="38" spans="1:17" x14ac:dyDescent="0.2">
      <c r="G38" s="303" t="s">
        <v>165</v>
      </c>
      <c r="H38" s="365">
        <v>325.55</v>
      </c>
      <c r="I38" s="365"/>
      <c r="N38"/>
      <c r="O38"/>
      <c r="P38"/>
    </row>
    <row r="39" spans="1:17" x14ac:dyDescent="0.2">
      <c r="G39" t="s">
        <v>169</v>
      </c>
      <c r="H39" s="367">
        <v>150</v>
      </c>
      <c r="I39" s="367"/>
      <c r="N39"/>
      <c r="O39"/>
      <c r="P39"/>
    </row>
    <row r="40" spans="1:17" x14ac:dyDescent="0.2">
      <c r="G40" s="306" t="s">
        <v>167</v>
      </c>
      <c r="H40" s="358">
        <f>H37+H38-H39</f>
        <v>1561.3425999999999</v>
      </c>
      <c r="I40" s="358"/>
      <c r="N40"/>
      <c r="O40"/>
      <c r="P40"/>
    </row>
    <row r="41" spans="1:17" x14ac:dyDescent="0.2">
      <c r="G41" s="305" t="s">
        <v>158</v>
      </c>
      <c r="H41" s="300">
        <f>7/100</f>
        <v>7.0000000000000007E-2</v>
      </c>
      <c r="I41" s="300">
        <f>H40*H41</f>
        <v>109.293982</v>
      </c>
      <c r="J41" s="36"/>
      <c r="K41" s="2"/>
      <c r="N41"/>
      <c r="O41"/>
      <c r="P41"/>
    </row>
    <row r="42" spans="1:17" x14ac:dyDescent="0.2">
      <c r="G42" s="305" t="s">
        <v>163</v>
      </c>
      <c r="H42" s="363"/>
      <c r="I42" s="363"/>
      <c r="J42" s="305"/>
      <c r="M42" s="14"/>
      <c r="N42"/>
      <c r="O42"/>
      <c r="P42"/>
    </row>
    <row r="43" spans="1:17" x14ac:dyDescent="0.2">
      <c r="G43" s="304" t="s">
        <v>166</v>
      </c>
      <c r="H43" s="360">
        <f>H40+I41</f>
        <v>1670.6365819999999</v>
      </c>
      <c r="I43" s="360"/>
    </row>
    <row r="44" spans="1:17" x14ac:dyDescent="0.2">
      <c r="G44" s="305" t="s">
        <v>168</v>
      </c>
      <c r="H44" s="366"/>
      <c r="I44" s="366"/>
      <c r="M44" s="6"/>
      <c r="P44" s="305"/>
      <c r="Q44" s="14"/>
    </row>
    <row r="45" spans="1:17" x14ac:dyDescent="0.2">
      <c r="G45" s="302" t="s">
        <v>120</v>
      </c>
      <c r="H45" s="355">
        <f>H43-H42-H44</f>
        <v>1670.6365819999999</v>
      </c>
      <c r="I45" s="355"/>
    </row>
    <row r="46" spans="1:17" x14ac:dyDescent="0.2">
      <c r="G46" s="2"/>
    </row>
  </sheetData>
  <mergeCells count="18">
    <mergeCell ref="D1:I1"/>
    <mergeCell ref="D4:D33"/>
    <mergeCell ref="E4:E33"/>
    <mergeCell ref="F4:F33"/>
    <mergeCell ref="G4:G33"/>
    <mergeCell ref="H4:H33"/>
    <mergeCell ref="I4:I33"/>
    <mergeCell ref="M31:N31"/>
    <mergeCell ref="H35:I35"/>
    <mergeCell ref="H36:I36"/>
    <mergeCell ref="H37:I37"/>
    <mergeCell ref="H38:I38"/>
    <mergeCell ref="H42:I42"/>
    <mergeCell ref="H43:I43"/>
    <mergeCell ref="H44:I44"/>
    <mergeCell ref="H45:I45"/>
    <mergeCell ref="H39:I39"/>
    <mergeCell ref="H40:I4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AF3D-ED4B-4862-BDFC-A997F2886601}">
  <dimension ref="A1:Q46"/>
  <sheetViews>
    <sheetView tabSelected="1" topLeftCell="A10" workbookViewId="0">
      <selection activeCell="M38" sqref="M38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312" customWidth="1"/>
    <col min="4" max="4" width="9" style="316"/>
    <col min="5" max="6" width="13" style="316" customWidth="1"/>
    <col min="7" max="7" width="13.625" style="316" bestFit="1" customWidth="1"/>
    <col min="8" max="9" width="12.375" style="316" customWidth="1"/>
    <col min="10" max="10" width="50.25" style="2" bestFit="1" customWidth="1"/>
    <col min="11" max="11" width="12.625" style="316" customWidth="1"/>
    <col min="12" max="12" width="16.25" style="316" customWidth="1"/>
    <col min="13" max="13" width="16" style="316" customWidth="1"/>
    <col min="14" max="14" width="11" style="316" customWidth="1"/>
    <col min="15" max="15" width="9" style="316"/>
    <col min="16" max="16" width="9" style="14"/>
  </cols>
  <sheetData>
    <row r="1" spans="1:16" ht="15.75" thickTop="1" thickBot="1" x14ac:dyDescent="0.25">
      <c r="D1" s="352" t="s">
        <v>8</v>
      </c>
      <c r="E1" s="352"/>
      <c r="F1" s="352"/>
      <c r="G1" s="352"/>
      <c r="H1" s="352"/>
      <c r="I1" s="352"/>
    </row>
    <row r="2" spans="1:16" ht="15" thickTop="1" x14ac:dyDescent="0.2">
      <c r="E2" s="37"/>
      <c r="F2" s="37"/>
      <c r="G2" s="316" t="s">
        <v>67</v>
      </c>
      <c r="H2" s="316" t="s">
        <v>68</v>
      </c>
      <c r="I2" s="316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312" t="s">
        <v>16</v>
      </c>
      <c r="D3" s="316" t="s">
        <v>6</v>
      </c>
      <c r="E3" s="316" t="s">
        <v>7</v>
      </c>
      <c r="F3" s="316" t="s">
        <v>14</v>
      </c>
      <c r="G3" s="316">
        <f>L4</f>
        <v>3.2484000000000002</v>
      </c>
      <c r="H3" s="316">
        <f>L5</f>
        <v>4.2218</v>
      </c>
      <c r="I3" s="316">
        <v>4.4217000000000004</v>
      </c>
      <c r="L3" s="316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748</v>
      </c>
      <c r="D4" s="361">
        <f>C4</f>
        <v>748</v>
      </c>
      <c r="E4" s="356">
        <f>C36-D4</f>
        <v>251</v>
      </c>
      <c r="F4" s="353"/>
      <c r="G4" s="329">
        <v>150</v>
      </c>
      <c r="H4" s="364">
        <f>B36-G4</f>
        <v>101</v>
      </c>
      <c r="I4" s="357">
        <f>E4-G4-H4</f>
        <v>0</v>
      </c>
      <c r="J4" s="2" t="s">
        <v>0</v>
      </c>
      <c r="K4" s="316" t="s">
        <v>1</v>
      </c>
      <c r="L4" s="316">
        <v>3.2484000000000002</v>
      </c>
      <c r="M4"/>
      <c r="N4"/>
      <c r="O4"/>
      <c r="P4"/>
    </row>
    <row r="5" spans="1:16" x14ac:dyDescent="0.2">
      <c r="A5" s="220"/>
      <c r="B5" s="91"/>
      <c r="C5" s="93"/>
      <c r="D5" s="348"/>
      <c r="E5" s="351"/>
      <c r="F5" s="353"/>
      <c r="G5" s="329"/>
      <c r="H5" s="342"/>
      <c r="I5" s="333"/>
      <c r="J5" s="2" t="s">
        <v>2</v>
      </c>
      <c r="K5" s="316" t="s">
        <v>1</v>
      </c>
      <c r="L5" s="316">
        <v>4.2218</v>
      </c>
      <c r="M5"/>
      <c r="N5"/>
      <c r="O5"/>
      <c r="P5"/>
    </row>
    <row r="6" spans="1:16" x14ac:dyDescent="0.2">
      <c r="A6" s="220"/>
      <c r="B6" s="91"/>
      <c r="C6" s="93"/>
      <c r="D6" s="348"/>
      <c r="E6" s="351"/>
      <c r="F6" s="353"/>
      <c r="G6" s="329"/>
      <c r="H6" s="342"/>
      <c r="I6" s="333"/>
      <c r="J6" s="2" t="s">
        <v>3</v>
      </c>
      <c r="K6" s="316" t="s">
        <v>1</v>
      </c>
      <c r="L6" s="316">
        <v>4.4217000000000004</v>
      </c>
      <c r="M6"/>
      <c r="N6"/>
      <c r="O6"/>
      <c r="P6"/>
    </row>
    <row r="7" spans="1:16" x14ac:dyDescent="0.2">
      <c r="A7" s="220"/>
      <c r="B7" s="91"/>
      <c r="C7" s="93"/>
      <c r="D7" s="348"/>
      <c r="E7" s="351"/>
      <c r="F7" s="353"/>
      <c r="G7" s="329"/>
      <c r="H7" s="342"/>
      <c r="I7" s="333"/>
      <c r="J7" s="2" t="s">
        <v>5</v>
      </c>
      <c r="L7" s="316">
        <v>38.22</v>
      </c>
      <c r="M7"/>
      <c r="N7"/>
      <c r="O7"/>
      <c r="P7"/>
    </row>
    <row r="8" spans="1:16" x14ac:dyDescent="0.2">
      <c r="A8" s="220"/>
      <c r="B8" s="91"/>
      <c r="C8" s="93"/>
      <c r="D8" s="348"/>
      <c r="E8" s="351"/>
      <c r="F8" s="353"/>
      <c r="G8" s="329"/>
      <c r="H8" s="342"/>
      <c r="I8" s="333"/>
      <c r="M8"/>
      <c r="N8"/>
      <c r="O8"/>
      <c r="P8"/>
    </row>
    <row r="9" spans="1:16" x14ac:dyDescent="0.2">
      <c r="A9" s="220"/>
      <c r="B9" s="91"/>
      <c r="C9" s="93"/>
      <c r="D9" s="348"/>
      <c r="E9" s="351"/>
      <c r="F9" s="353"/>
      <c r="G9" s="329"/>
      <c r="H9" s="342"/>
      <c r="I9" s="333"/>
      <c r="M9"/>
      <c r="N9"/>
      <c r="O9"/>
      <c r="P9"/>
    </row>
    <row r="10" spans="1:16" x14ac:dyDescent="0.2">
      <c r="A10" s="220"/>
      <c r="B10" s="91"/>
      <c r="C10" s="93"/>
      <c r="D10" s="348"/>
      <c r="E10" s="351"/>
      <c r="F10" s="353"/>
      <c r="G10" s="329"/>
      <c r="H10" s="342"/>
      <c r="I10" s="333"/>
      <c r="M10"/>
      <c r="N10"/>
      <c r="O10"/>
      <c r="P10"/>
    </row>
    <row r="11" spans="1:16" x14ac:dyDescent="0.2">
      <c r="A11" s="220"/>
      <c r="B11" s="91"/>
      <c r="C11" s="93"/>
      <c r="D11" s="348"/>
      <c r="E11" s="351"/>
      <c r="F11" s="353"/>
      <c r="G11" s="329"/>
      <c r="H11" s="342"/>
      <c r="I11" s="333"/>
      <c r="M11"/>
      <c r="N11"/>
      <c r="O11"/>
      <c r="P11"/>
    </row>
    <row r="12" spans="1:16" x14ac:dyDescent="0.2">
      <c r="A12" s="220"/>
      <c r="B12" s="91"/>
      <c r="D12" s="348"/>
      <c r="E12" s="351"/>
      <c r="F12" s="353"/>
      <c r="G12" s="329"/>
      <c r="H12" s="342"/>
      <c r="I12" s="333"/>
      <c r="L12" s="316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48"/>
      <c r="E13" s="351"/>
      <c r="F13" s="353"/>
      <c r="G13" s="329"/>
      <c r="H13" s="342"/>
      <c r="I13" s="333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48"/>
      <c r="E14" s="351"/>
      <c r="F14" s="353"/>
      <c r="G14" s="329"/>
      <c r="H14" s="342"/>
      <c r="I14" s="333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48"/>
      <c r="E15" s="351"/>
      <c r="F15" s="353"/>
      <c r="G15" s="329"/>
      <c r="H15" s="342"/>
      <c r="I15" s="333"/>
      <c r="J15" s="2" t="s">
        <v>23</v>
      </c>
      <c r="L15" s="319"/>
      <c r="M15" s="58"/>
      <c r="N15"/>
      <c r="O15" s="58"/>
      <c r="P15"/>
    </row>
    <row r="16" spans="1:16" x14ac:dyDescent="0.2">
      <c r="A16" s="220"/>
      <c r="B16" s="91"/>
      <c r="C16" s="93"/>
      <c r="D16" s="348"/>
      <c r="E16" s="351"/>
      <c r="F16" s="353"/>
      <c r="G16" s="329"/>
      <c r="H16" s="342"/>
      <c r="I16" s="333"/>
      <c r="J16" s="2" t="s">
        <v>24</v>
      </c>
      <c r="L16" s="319"/>
      <c r="M16" s="58"/>
      <c r="N16"/>
      <c r="O16" s="58"/>
      <c r="P16"/>
    </row>
    <row r="17" spans="1:16" x14ac:dyDescent="0.2">
      <c r="A17" s="220"/>
      <c r="B17" s="91"/>
      <c r="C17" s="93"/>
      <c r="D17" s="348"/>
      <c r="E17" s="351"/>
      <c r="F17" s="353"/>
      <c r="G17" s="329"/>
      <c r="H17" s="342"/>
      <c r="I17" s="333"/>
      <c r="J17" s="2" t="s">
        <v>25</v>
      </c>
      <c r="L17" s="319"/>
      <c r="M17" s="58"/>
      <c r="N17"/>
      <c r="O17" s="58"/>
      <c r="P17"/>
    </row>
    <row r="18" spans="1:16" x14ac:dyDescent="0.2">
      <c r="A18" s="220"/>
      <c r="B18" s="91"/>
      <c r="C18" s="93"/>
      <c r="D18" s="348"/>
      <c r="E18" s="351"/>
      <c r="F18" s="353"/>
      <c r="G18" s="329"/>
      <c r="H18" s="342"/>
      <c r="I18" s="333"/>
      <c r="J18" s="2" t="s">
        <v>26</v>
      </c>
      <c r="L18" s="319"/>
      <c r="M18" s="58"/>
      <c r="N18"/>
      <c r="O18" s="58"/>
      <c r="P18"/>
    </row>
    <row r="19" spans="1:16" x14ac:dyDescent="0.2">
      <c r="A19" s="220"/>
      <c r="B19" s="91"/>
      <c r="C19" s="93"/>
      <c r="D19" s="348"/>
      <c r="E19" s="351"/>
      <c r="F19" s="353"/>
      <c r="G19" s="329"/>
      <c r="H19" s="342"/>
      <c r="I19" s="333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48"/>
      <c r="E20" s="351"/>
      <c r="F20" s="353"/>
      <c r="G20" s="329"/>
      <c r="H20" s="342"/>
      <c r="I20" s="333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48"/>
      <c r="E21" s="351"/>
      <c r="F21" s="353"/>
      <c r="G21" s="329"/>
      <c r="H21" s="342"/>
      <c r="I21" s="333"/>
      <c r="L21" s="36"/>
      <c r="M21"/>
      <c r="N21"/>
      <c r="O21"/>
      <c r="P21"/>
    </row>
    <row r="22" spans="1:16" x14ac:dyDescent="0.2">
      <c r="A22" s="220"/>
      <c r="B22" s="91"/>
      <c r="C22" s="93"/>
      <c r="D22" s="348"/>
      <c r="E22" s="351"/>
      <c r="F22" s="353"/>
      <c r="G22" s="329"/>
      <c r="H22" s="342"/>
      <c r="I22" s="333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48"/>
      <c r="E23" s="351"/>
      <c r="F23" s="353"/>
      <c r="G23" s="329"/>
      <c r="H23" s="342"/>
      <c r="I23" s="333"/>
      <c r="J23" s="179" t="s">
        <v>151</v>
      </c>
      <c r="K23" s="36">
        <v>493.6</v>
      </c>
      <c r="L23" s="196"/>
      <c r="M23" s="195">
        <f>K23</f>
        <v>493.6</v>
      </c>
      <c r="N23" s="198"/>
      <c r="O23"/>
      <c r="P23"/>
    </row>
    <row r="24" spans="1:16" x14ac:dyDescent="0.2">
      <c r="A24" s="220"/>
      <c r="B24" s="91"/>
      <c r="D24" s="348"/>
      <c r="E24" s="351"/>
      <c r="F24" s="353"/>
      <c r="G24" s="329"/>
      <c r="H24" s="342"/>
      <c r="I24" s="333"/>
      <c r="J24" s="179" t="s">
        <v>150</v>
      </c>
      <c r="K24" s="36">
        <v>0</v>
      </c>
      <c r="L24" s="196"/>
      <c r="M24" s="195"/>
      <c r="N24" s="198"/>
      <c r="O24"/>
      <c r="P24"/>
    </row>
    <row r="25" spans="1:16" x14ac:dyDescent="0.2">
      <c r="A25" s="220"/>
      <c r="B25" s="91"/>
      <c r="C25" s="93"/>
      <c r="D25" s="348"/>
      <c r="E25" s="351"/>
      <c r="F25" s="353"/>
      <c r="G25" s="329"/>
      <c r="H25" s="342"/>
      <c r="I25" s="333"/>
      <c r="J25" s="179" t="s">
        <v>146</v>
      </c>
      <c r="K25" s="36">
        <v>0</v>
      </c>
      <c r="L25" s="196">
        <f>K25</f>
        <v>0</v>
      </c>
      <c r="M25" s="195">
        <f>K25/2</f>
        <v>0</v>
      </c>
      <c r="N25" s="198">
        <f>M25</f>
        <v>0</v>
      </c>
      <c r="O25"/>
      <c r="P25"/>
    </row>
    <row r="26" spans="1:16" x14ac:dyDescent="0.2">
      <c r="A26" s="220"/>
      <c r="B26" s="91"/>
      <c r="C26" s="93"/>
      <c r="D26" s="348"/>
      <c r="E26" s="351"/>
      <c r="F26" s="353"/>
      <c r="G26" s="329"/>
      <c r="H26" s="342"/>
      <c r="I26" s="333"/>
      <c r="J26" s="179" t="s">
        <v>162</v>
      </c>
      <c r="K26" s="36">
        <v>25.22</v>
      </c>
      <c r="L26" s="196">
        <f>K26</f>
        <v>25.22</v>
      </c>
      <c r="M26" s="195">
        <f>K26/2</f>
        <v>12.61</v>
      </c>
      <c r="N26" s="198">
        <f>M26</f>
        <v>12.61</v>
      </c>
      <c r="O26"/>
      <c r="P26"/>
    </row>
    <row r="27" spans="1:16" x14ac:dyDescent="0.2">
      <c r="A27" s="220"/>
      <c r="B27" s="91"/>
      <c r="C27" s="93"/>
      <c r="D27" s="348"/>
      <c r="E27" s="351"/>
      <c r="F27" s="353"/>
      <c r="G27" s="329"/>
      <c r="H27" s="342"/>
      <c r="I27" s="333"/>
      <c r="J27" s="179" t="s">
        <v>148</v>
      </c>
      <c r="K27" s="36">
        <v>158.80000000000001</v>
      </c>
      <c r="L27" s="196">
        <f>K27</f>
        <v>158.80000000000001</v>
      </c>
      <c r="M27" s="195">
        <f>K27/2</f>
        <v>79.400000000000006</v>
      </c>
      <c r="N27" s="198">
        <f>M27</f>
        <v>79.400000000000006</v>
      </c>
      <c r="O27"/>
      <c r="P27"/>
    </row>
    <row r="28" spans="1:16" x14ac:dyDescent="0.2">
      <c r="A28" s="220"/>
      <c r="B28" s="91"/>
      <c r="C28" s="93"/>
      <c r="D28" s="348"/>
      <c r="E28" s="351"/>
      <c r="F28" s="353"/>
      <c r="G28" s="329"/>
      <c r="H28" s="342"/>
      <c r="I28" s="333"/>
      <c r="J28" s="179" t="s">
        <v>161</v>
      </c>
      <c r="K28" s="36">
        <v>47.52</v>
      </c>
      <c r="L28" s="196">
        <f>K28</f>
        <v>47.52</v>
      </c>
      <c r="M28" s="195">
        <f>K28/2</f>
        <v>23.76</v>
      </c>
      <c r="N28" s="198">
        <f>M28</f>
        <v>23.76</v>
      </c>
      <c r="O28"/>
      <c r="P28"/>
    </row>
    <row r="29" spans="1:16" x14ac:dyDescent="0.2">
      <c r="A29" s="220"/>
      <c r="B29" s="91"/>
      <c r="C29" s="93"/>
      <c r="D29" s="348"/>
      <c r="E29" s="351"/>
      <c r="F29" s="353"/>
      <c r="G29" s="329"/>
      <c r="H29" s="342"/>
      <c r="I29" s="333"/>
      <c r="J29" s="179" t="s">
        <v>153</v>
      </c>
      <c r="K29" s="321"/>
      <c r="L29" s="196">
        <f>K33</f>
        <v>354.69832599999995</v>
      </c>
      <c r="M29" s="195">
        <f>L29/2</f>
        <v>177.34916299999998</v>
      </c>
      <c r="N29" s="198">
        <f>M29</f>
        <v>177.34916299999998</v>
      </c>
      <c r="O29"/>
      <c r="P29"/>
    </row>
    <row r="30" spans="1:16" x14ac:dyDescent="0.2">
      <c r="A30" s="220"/>
      <c r="B30" s="91"/>
      <c r="C30" s="93"/>
      <c r="D30" s="348"/>
      <c r="E30" s="351"/>
      <c r="F30" s="353"/>
      <c r="G30" s="329"/>
      <c r="H30" s="342"/>
      <c r="I30" s="333"/>
      <c r="J30" s="180" t="s">
        <v>13</v>
      </c>
      <c r="K30" s="321">
        <f>SUM(K23:K29)</f>
        <v>725.1400000000001</v>
      </c>
      <c r="L30" s="321">
        <f>SUM(L23:L29)</f>
        <v>586.23832599999992</v>
      </c>
      <c r="M30" s="321">
        <f>SUM(M23:M29)</f>
        <v>786.71916299999998</v>
      </c>
      <c r="N30" s="318">
        <f>SUM(N23:N29)</f>
        <v>293.11916299999996</v>
      </c>
    </row>
    <row r="31" spans="1:16" x14ac:dyDescent="0.2">
      <c r="A31" s="220"/>
      <c r="B31" s="91"/>
      <c r="D31" s="348"/>
      <c r="E31" s="351"/>
      <c r="F31" s="353"/>
      <c r="G31" s="329"/>
      <c r="H31" s="342"/>
      <c r="I31" s="333"/>
      <c r="J31" s="181"/>
      <c r="K31" s="320"/>
      <c r="L31" s="36"/>
      <c r="M31" s="366">
        <f>M30+N30</f>
        <v>1079.8383260000001</v>
      </c>
      <c r="N31" s="366"/>
    </row>
    <row r="32" spans="1:16" x14ac:dyDescent="0.2">
      <c r="A32" s="220"/>
      <c r="B32" s="91"/>
      <c r="C32" s="93"/>
      <c r="D32" s="348"/>
      <c r="E32" s="351"/>
      <c r="F32" s="353"/>
      <c r="G32" s="329"/>
      <c r="H32" s="342"/>
      <c r="I32" s="333"/>
      <c r="J32" s="182" t="s">
        <v>152</v>
      </c>
      <c r="K32" s="319">
        <f>H45</f>
        <v>1074.8383260000001</v>
      </c>
      <c r="L32" s="36"/>
      <c r="M32" s="36"/>
    </row>
    <row r="33" spans="1:17" x14ac:dyDescent="0.2">
      <c r="A33" s="220"/>
      <c r="B33" s="91"/>
      <c r="C33" s="93"/>
      <c r="D33" s="348"/>
      <c r="E33" s="351"/>
      <c r="F33" s="353"/>
      <c r="G33" s="329"/>
      <c r="H33" s="342"/>
      <c r="I33" s="334"/>
      <c r="J33" s="179" t="s">
        <v>159</v>
      </c>
      <c r="K33" s="322">
        <f>(K32-K30)+5</f>
        <v>354.69832599999995</v>
      </c>
      <c r="L33" s="36"/>
    </row>
    <row r="34" spans="1:17" x14ac:dyDescent="0.2">
      <c r="A34" s="220"/>
      <c r="B34" s="91"/>
      <c r="C34" s="93"/>
      <c r="G34" s="314">
        <f>G4*G3</f>
        <v>487.26000000000005</v>
      </c>
      <c r="H34" s="322">
        <f>H4*H3</f>
        <v>426.40179999999998</v>
      </c>
      <c r="I34" s="320">
        <f>I4*I3</f>
        <v>0</v>
      </c>
      <c r="K34" s="321"/>
      <c r="L34" s="36"/>
      <c r="N34"/>
      <c r="O34"/>
      <c r="P34"/>
    </row>
    <row r="35" spans="1:17" x14ac:dyDescent="0.2">
      <c r="A35" s="110"/>
      <c r="B35" s="91">
        <f>C35-C4</f>
        <v>251</v>
      </c>
      <c r="C35" s="93">
        <v>999</v>
      </c>
      <c r="G35" s="188" t="s">
        <v>164</v>
      </c>
      <c r="H35" s="362">
        <f>G34+H34+I34</f>
        <v>913.66180000000008</v>
      </c>
      <c r="I35" s="362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251</v>
      </c>
      <c r="C36" s="121">
        <f>C4+B36</f>
        <v>999</v>
      </c>
      <c r="G36" s="316" t="s">
        <v>9</v>
      </c>
      <c r="H36" s="358">
        <v>24.62</v>
      </c>
      <c r="I36" s="358"/>
      <c r="L36" s="36"/>
      <c r="N36"/>
      <c r="O36"/>
      <c r="P36"/>
    </row>
    <row r="37" spans="1:17" x14ac:dyDescent="0.2">
      <c r="G37" s="316" t="s">
        <v>11</v>
      </c>
      <c r="H37" s="359">
        <f>H36+G34+H34+I34</f>
        <v>938.28179999999998</v>
      </c>
      <c r="I37" s="359"/>
      <c r="J37" s="197"/>
      <c r="N37"/>
      <c r="O37"/>
      <c r="P37"/>
    </row>
    <row r="38" spans="1:17" x14ac:dyDescent="0.2">
      <c r="G38" s="313" t="s">
        <v>165</v>
      </c>
      <c r="H38" s="365">
        <v>228.89</v>
      </c>
      <c r="I38" s="365"/>
      <c r="N38"/>
      <c r="O38"/>
      <c r="P38"/>
    </row>
    <row r="39" spans="1:17" x14ac:dyDescent="0.2">
      <c r="G39" t="s">
        <v>169</v>
      </c>
      <c r="H39" s="367">
        <v>162.65</v>
      </c>
      <c r="I39" s="367"/>
      <c r="N39"/>
      <c r="O39"/>
      <c r="P39"/>
    </row>
    <row r="40" spans="1:17" x14ac:dyDescent="0.2">
      <c r="G40" s="317" t="s">
        <v>167</v>
      </c>
      <c r="H40" s="358">
        <f>H37+H38-H39</f>
        <v>1004.5218000000001</v>
      </c>
      <c r="I40" s="358"/>
      <c r="N40"/>
      <c r="O40"/>
      <c r="P40"/>
    </row>
    <row r="41" spans="1:17" x14ac:dyDescent="0.2">
      <c r="G41" s="316" t="s">
        <v>158</v>
      </c>
      <c r="H41" s="300">
        <f>7/100</f>
        <v>7.0000000000000007E-2</v>
      </c>
      <c r="I41" s="300">
        <f>H40*H41</f>
        <v>70.31652600000001</v>
      </c>
      <c r="J41" s="36"/>
      <c r="K41" s="2"/>
      <c r="N41"/>
      <c r="O41"/>
      <c r="P41"/>
    </row>
    <row r="42" spans="1:17" x14ac:dyDescent="0.2">
      <c r="G42" s="316" t="s">
        <v>163</v>
      </c>
      <c r="H42" s="363"/>
      <c r="I42" s="363"/>
      <c r="J42" s="316"/>
      <c r="M42" s="14"/>
      <c r="N42"/>
      <c r="O42"/>
      <c r="P42"/>
    </row>
    <row r="43" spans="1:17" x14ac:dyDescent="0.2">
      <c r="G43" s="315" t="s">
        <v>166</v>
      </c>
      <c r="H43" s="360">
        <f>H40+I41</f>
        <v>1074.8383260000001</v>
      </c>
      <c r="I43" s="360"/>
    </row>
    <row r="44" spans="1:17" x14ac:dyDescent="0.2">
      <c r="G44" s="316" t="s">
        <v>168</v>
      </c>
      <c r="H44" s="366"/>
      <c r="I44" s="366"/>
      <c r="M44" s="6"/>
      <c r="P44" s="316"/>
      <c r="Q44" s="14"/>
    </row>
    <row r="45" spans="1:17" x14ac:dyDescent="0.2">
      <c r="G45" s="314" t="s">
        <v>120</v>
      </c>
      <c r="H45" s="355">
        <f>H43-H42-H44</f>
        <v>1074.8383260000001</v>
      </c>
      <c r="I45" s="355"/>
    </row>
    <row r="46" spans="1:17" x14ac:dyDescent="0.2">
      <c r="G46" s="2"/>
    </row>
  </sheetData>
  <mergeCells count="18">
    <mergeCell ref="H40:I40"/>
    <mergeCell ref="H42:I42"/>
    <mergeCell ref="H43:I43"/>
    <mergeCell ref="H44:I44"/>
    <mergeCell ref="H45:I45"/>
    <mergeCell ref="M31:N31"/>
    <mergeCell ref="H35:I35"/>
    <mergeCell ref="H36:I36"/>
    <mergeCell ref="H37:I37"/>
    <mergeCell ref="H38:I38"/>
    <mergeCell ref="H39:I39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EED-1C39-42BD-83BD-B4C0F91E6DC7}">
  <dimension ref="A1:P44"/>
  <sheetViews>
    <sheetView topLeftCell="A11" workbookViewId="0">
      <selection activeCell="B35" sqref="B35"/>
    </sheetView>
  </sheetViews>
  <sheetFormatPr defaultRowHeight="14.25" x14ac:dyDescent="0.2"/>
  <cols>
    <col min="1" max="1" width="20.125" style="22" customWidth="1"/>
    <col min="2" max="2" width="11" style="7" customWidth="1"/>
    <col min="3" max="3" width="9" style="7"/>
    <col min="4" max="5" width="13" style="7" customWidth="1"/>
    <col min="6" max="6" width="12.5" style="7" customWidth="1"/>
    <col min="7" max="7" width="12.375" style="7" customWidth="1"/>
    <col min="8" max="8" width="12.375" style="30" customWidth="1"/>
    <col min="9" max="9" width="50.25" style="2" bestFit="1" customWidth="1"/>
    <col min="10" max="10" width="7.25" style="7" bestFit="1" customWidth="1"/>
    <col min="11" max="11" width="16.25" style="7" customWidth="1"/>
    <col min="12" max="12" width="9" style="7"/>
    <col min="13" max="14" width="9" style="13"/>
    <col min="15" max="15" width="9" style="14"/>
  </cols>
  <sheetData>
    <row r="1" spans="1:16" ht="15" thickBot="1" x14ac:dyDescent="0.25"/>
    <row r="2" spans="1:16" ht="15.75" thickTop="1" thickBot="1" x14ac:dyDescent="0.25">
      <c r="C2" s="352" t="s">
        <v>8</v>
      </c>
      <c r="D2" s="352"/>
      <c r="E2" s="352"/>
      <c r="F2" s="352"/>
      <c r="G2" s="352"/>
      <c r="H2" s="352"/>
    </row>
    <row r="3" spans="1:16" ht="15" thickTop="1" x14ac:dyDescent="0.2">
      <c r="D3" s="37"/>
      <c r="E3" s="37"/>
      <c r="F3" s="30" t="s">
        <v>67</v>
      </c>
      <c r="G3" s="30" t="s">
        <v>68</v>
      </c>
      <c r="H3" s="30" t="s">
        <v>69</v>
      </c>
    </row>
    <row r="4" spans="1:16" x14ac:dyDescent="0.2">
      <c r="A4" s="22" t="s">
        <v>17</v>
      </c>
      <c r="B4" s="7" t="s">
        <v>16</v>
      </c>
      <c r="C4" s="7" t="s">
        <v>6</v>
      </c>
      <c r="D4" s="7" t="s">
        <v>7</v>
      </c>
      <c r="E4" s="7" t="s">
        <v>14</v>
      </c>
      <c r="F4" s="7">
        <f>K5</f>
        <v>3.2484000000000002</v>
      </c>
      <c r="G4" s="7">
        <f>K6</f>
        <v>4.2218</v>
      </c>
      <c r="H4" s="30">
        <v>4.4217000000000004</v>
      </c>
      <c r="K4" s="7" t="s">
        <v>4</v>
      </c>
      <c r="N4" s="351" t="s">
        <v>18</v>
      </c>
      <c r="O4" s="351"/>
      <c r="P4" s="351"/>
    </row>
    <row r="5" spans="1:16" x14ac:dyDescent="0.2">
      <c r="B5" s="11">
        <v>4661</v>
      </c>
      <c r="C5" s="348">
        <v>4661</v>
      </c>
      <c r="D5" s="351">
        <f>B34-C5</f>
        <v>710</v>
      </c>
      <c r="E5" s="353">
        <v>90</v>
      </c>
      <c r="F5" s="329">
        <v>150</v>
      </c>
      <c r="G5" s="342">
        <v>250</v>
      </c>
      <c r="H5" s="332">
        <f>D5-E5-F5-G5</f>
        <v>220</v>
      </c>
      <c r="I5" s="2" t="s">
        <v>0</v>
      </c>
      <c r="J5" s="7" t="s">
        <v>1</v>
      </c>
      <c r="K5" s="7">
        <v>3.2484000000000002</v>
      </c>
      <c r="N5" s="33">
        <v>650</v>
      </c>
      <c r="O5" s="32">
        <v>650</v>
      </c>
      <c r="P5" s="35">
        <v>750</v>
      </c>
    </row>
    <row r="6" spans="1:16" x14ac:dyDescent="0.2">
      <c r="B6" s="11">
        <v>4681</v>
      </c>
      <c r="C6" s="348"/>
      <c r="D6" s="351"/>
      <c r="E6" s="353"/>
      <c r="F6" s="329"/>
      <c r="G6" s="342"/>
      <c r="H6" s="333"/>
      <c r="I6" s="2" t="s">
        <v>2</v>
      </c>
      <c r="J6" s="7" t="s">
        <v>1</v>
      </c>
      <c r="K6" s="7">
        <v>4.2218</v>
      </c>
      <c r="L6" s="42"/>
      <c r="M6" s="13" t="s">
        <v>19</v>
      </c>
      <c r="N6" s="34">
        <v>65</v>
      </c>
      <c r="O6"/>
    </row>
    <row r="7" spans="1:16" x14ac:dyDescent="0.2">
      <c r="B7" s="11">
        <v>4702</v>
      </c>
      <c r="C7" s="348"/>
      <c r="D7" s="351"/>
      <c r="E7" s="353"/>
      <c r="F7" s="329"/>
      <c r="G7" s="342"/>
      <c r="H7" s="333"/>
      <c r="I7" s="2" t="s">
        <v>3</v>
      </c>
      <c r="J7" s="7" t="s">
        <v>1</v>
      </c>
      <c r="K7" s="7">
        <v>4.4217000000000004</v>
      </c>
      <c r="L7" s="42"/>
      <c r="M7" s="13" t="s">
        <v>21</v>
      </c>
      <c r="N7" s="34">
        <v>200</v>
      </c>
      <c r="O7"/>
    </row>
    <row r="8" spans="1:16" x14ac:dyDescent="0.2">
      <c r="B8" s="11">
        <v>4721</v>
      </c>
      <c r="C8" s="348"/>
      <c r="D8" s="351"/>
      <c r="E8" s="353"/>
      <c r="F8" s="329"/>
      <c r="G8" s="342"/>
      <c r="H8" s="333"/>
      <c r="I8" s="2" t="s">
        <v>5</v>
      </c>
      <c r="K8" s="7">
        <v>38.22</v>
      </c>
      <c r="L8" s="42" t="s">
        <v>72</v>
      </c>
      <c r="M8" s="13">
        <v>2070</v>
      </c>
      <c r="N8" s="34"/>
      <c r="P8" s="14">
        <v>215</v>
      </c>
    </row>
    <row r="9" spans="1:16" x14ac:dyDescent="0.2">
      <c r="B9" s="11">
        <v>4737</v>
      </c>
      <c r="C9" s="348"/>
      <c r="D9" s="351"/>
      <c r="E9" s="353"/>
      <c r="F9" s="329"/>
      <c r="G9" s="342"/>
      <c r="H9" s="333"/>
      <c r="L9" s="42" t="s">
        <v>74</v>
      </c>
      <c r="M9" s="13" t="s">
        <v>15</v>
      </c>
      <c r="N9" s="34"/>
      <c r="O9" s="14">
        <v>90</v>
      </c>
      <c r="P9" s="14"/>
    </row>
    <row r="10" spans="1:16" x14ac:dyDescent="0.2">
      <c r="B10" s="11">
        <v>4757</v>
      </c>
      <c r="C10" s="348"/>
      <c r="D10" s="351"/>
      <c r="E10" s="353"/>
      <c r="F10" s="329"/>
      <c r="G10" s="342"/>
      <c r="H10" s="333"/>
      <c r="L10" s="7" t="s">
        <v>74</v>
      </c>
      <c r="M10" s="13" t="s">
        <v>15</v>
      </c>
      <c r="N10" s="34"/>
      <c r="O10" s="14">
        <v>90</v>
      </c>
      <c r="P10" s="14"/>
    </row>
    <row r="11" spans="1:16" x14ac:dyDescent="0.2">
      <c r="B11" s="11">
        <v>4781</v>
      </c>
      <c r="C11" s="348"/>
      <c r="D11" s="351"/>
      <c r="E11" s="353"/>
      <c r="F11" s="329"/>
      <c r="G11" s="342"/>
      <c r="H11" s="333"/>
      <c r="L11" s="7" t="s">
        <v>77</v>
      </c>
      <c r="M11" s="13" t="s">
        <v>15</v>
      </c>
      <c r="N11" s="34">
        <v>90</v>
      </c>
      <c r="P11" s="14"/>
    </row>
    <row r="12" spans="1:16" x14ac:dyDescent="0.2">
      <c r="B12" s="11"/>
      <c r="C12" s="348"/>
      <c r="D12" s="351"/>
      <c r="E12" s="353"/>
      <c r="F12" s="329"/>
      <c r="G12" s="342"/>
      <c r="H12" s="333"/>
      <c r="L12" s="42" t="s">
        <v>77</v>
      </c>
      <c r="M12" s="13" t="s">
        <v>15</v>
      </c>
      <c r="N12" s="34">
        <v>90</v>
      </c>
      <c r="P12" s="14"/>
    </row>
    <row r="13" spans="1:16" x14ac:dyDescent="0.2">
      <c r="A13" s="22">
        <v>150.69999999999999</v>
      </c>
      <c r="B13" s="11">
        <v>4825</v>
      </c>
      <c r="C13" s="348"/>
      <c r="D13" s="351"/>
      <c r="E13" s="353"/>
      <c r="F13" s="329"/>
      <c r="G13" s="342"/>
      <c r="H13" s="333"/>
      <c r="L13" s="7" t="s">
        <v>72</v>
      </c>
      <c r="M13" s="13" t="s">
        <v>15</v>
      </c>
      <c r="N13" s="34"/>
      <c r="O13" s="14">
        <v>90</v>
      </c>
      <c r="P13" s="14"/>
    </row>
    <row r="14" spans="1:16" x14ac:dyDescent="0.2">
      <c r="A14" s="22">
        <v>221.8</v>
      </c>
      <c r="B14" s="11">
        <v>4848</v>
      </c>
      <c r="C14" s="348"/>
      <c r="D14" s="351"/>
      <c r="E14" s="353"/>
      <c r="F14" s="329"/>
      <c r="G14" s="342"/>
      <c r="H14" s="333"/>
      <c r="K14" s="36"/>
      <c r="L14" s="42" t="s">
        <v>75</v>
      </c>
      <c r="M14" s="39" t="s">
        <v>15</v>
      </c>
      <c r="N14" s="34"/>
      <c r="O14" s="14">
        <v>90</v>
      </c>
    </row>
    <row r="15" spans="1:16" x14ac:dyDescent="0.2">
      <c r="A15" s="22">
        <v>298.39999999999998</v>
      </c>
      <c r="B15" s="11">
        <v>4872</v>
      </c>
      <c r="C15" s="348"/>
      <c r="D15" s="351"/>
      <c r="E15" s="353"/>
      <c r="F15" s="329"/>
      <c r="G15" s="342"/>
      <c r="H15" s="333"/>
      <c r="I15" s="2" t="s">
        <v>22</v>
      </c>
      <c r="K15" s="36"/>
      <c r="L15" s="7" t="s">
        <v>73</v>
      </c>
      <c r="M15" s="13" t="s">
        <v>70</v>
      </c>
      <c r="N15" s="34"/>
      <c r="O15" s="14">
        <v>90</v>
      </c>
      <c r="P15" s="14"/>
    </row>
    <row r="16" spans="1:16" x14ac:dyDescent="0.2">
      <c r="A16" s="22">
        <v>377.5</v>
      </c>
      <c r="B16" s="11">
        <v>4902</v>
      </c>
      <c r="C16" s="348"/>
      <c r="D16" s="351"/>
      <c r="E16" s="353"/>
      <c r="F16" s="329"/>
      <c r="G16" s="342"/>
      <c r="H16" s="333"/>
      <c r="I16" s="2" t="s">
        <v>23</v>
      </c>
      <c r="J16" s="12"/>
      <c r="K16" s="36"/>
      <c r="L16" s="7" t="s">
        <v>75</v>
      </c>
      <c r="M16" s="13">
        <v>1070</v>
      </c>
      <c r="N16" s="34"/>
      <c r="P16" s="14">
        <v>150</v>
      </c>
    </row>
    <row r="17" spans="1:16" x14ac:dyDescent="0.2">
      <c r="A17" s="22">
        <v>449</v>
      </c>
      <c r="B17" s="11">
        <v>4929</v>
      </c>
      <c r="C17" s="348"/>
      <c r="D17" s="351"/>
      <c r="E17" s="353"/>
      <c r="F17" s="329"/>
      <c r="G17" s="342"/>
      <c r="H17" s="333"/>
      <c r="I17" s="2" t="s">
        <v>24</v>
      </c>
      <c r="K17" s="36"/>
      <c r="L17" s="7" t="s">
        <v>76</v>
      </c>
      <c r="M17" s="13" t="s">
        <v>20</v>
      </c>
      <c r="N17" s="34">
        <v>60</v>
      </c>
      <c r="P17" s="14"/>
    </row>
    <row r="18" spans="1:16" x14ac:dyDescent="0.2">
      <c r="A18" s="22">
        <v>532.4</v>
      </c>
      <c r="B18" s="11">
        <v>4962</v>
      </c>
      <c r="C18" s="348"/>
      <c r="D18" s="351"/>
      <c r="E18" s="353"/>
      <c r="F18" s="329"/>
      <c r="G18" s="342"/>
      <c r="H18" s="333"/>
      <c r="I18" s="2" t="s">
        <v>25</v>
      </c>
      <c r="K18" s="36"/>
      <c r="N18" s="13">
        <v>100</v>
      </c>
    </row>
    <row r="19" spans="1:16" x14ac:dyDescent="0.2">
      <c r="A19" s="22">
        <v>607.1</v>
      </c>
      <c r="B19" s="11">
        <v>4991</v>
      </c>
      <c r="C19" s="348"/>
      <c r="D19" s="351"/>
      <c r="E19" s="353"/>
      <c r="F19" s="329"/>
      <c r="G19" s="342"/>
      <c r="H19" s="333"/>
      <c r="I19" s="2" t="s">
        <v>26</v>
      </c>
      <c r="K19" s="36"/>
      <c r="P19" s="14"/>
    </row>
    <row r="20" spans="1:16" x14ac:dyDescent="0.2">
      <c r="A20" s="22">
        <v>698.9</v>
      </c>
      <c r="B20" s="11">
        <v>5019</v>
      </c>
      <c r="C20" s="348"/>
      <c r="D20" s="351"/>
      <c r="E20" s="353"/>
      <c r="F20" s="329"/>
      <c r="G20" s="342"/>
      <c r="H20" s="333"/>
      <c r="I20" s="2" t="s">
        <v>27</v>
      </c>
      <c r="K20" s="36"/>
    </row>
    <row r="21" spans="1:16" x14ac:dyDescent="0.2">
      <c r="A21" s="22">
        <v>792.6</v>
      </c>
      <c r="B21" s="11">
        <v>5046</v>
      </c>
      <c r="C21" s="348"/>
      <c r="D21" s="351"/>
      <c r="E21" s="353"/>
      <c r="F21" s="329"/>
      <c r="G21" s="342"/>
      <c r="H21" s="333"/>
      <c r="I21" s="2" t="s">
        <v>28</v>
      </c>
      <c r="J21" s="10"/>
      <c r="K21" s="36"/>
      <c r="P21" s="14"/>
    </row>
    <row r="22" spans="1:16" x14ac:dyDescent="0.2">
      <c r="A22" s="22">
        <v>882.5</v>
      </c>
      <c r="B22" s="11">
        <v>5072</v>
      </c>
      <c r="C22" s="348"/>
      <c r="D22" s="351"/>
      <c r="E22" s="353"/>
      <c r="F22" s="329"/>
      <c r="G22" s="342"/>
      <c r="H22" s="333"/>
      <c r="J22" s="12"/>
      <c r="K22" s="36"/>
    </row>
    <row r="23" spans="1:16" x14ac:dyDescent="0.2">
      <c r="A23" s="22">
        <v>993.7</v>
      </c>
      <c r="B23" s="11">
        <v>5107</v>
      </c>
      <c r="C23" s="348"/>
      <c r="D23" s="351"/>
      <c r="E23" s="353"/>
      <c r="F23" s="329"/>
      <c r="G23" s="342"/>
      <c r="H23" s="333"/>
      <c r="K23" s="36"/>
      <c r="P23" s="14"/>
    </row>
    <row r="24" spans="1:16" x14ac:dyDescent="0.2">
      <c r="A24" s="22">
        <f>A23-A22</f>
        <v>111.20000000000005</v>
      </c>
      <c r="B24" s="11">
        <f>B23-B22</f>
        <v>35</v>
      </c>
      <c r="C24" s="348"/>
      <c r="D24" s="351"/>
      <c r="E24" s="353"/>
      <c r="F24" s="329"/>
      <c r="G24" s="342"/>
      <c r="H24" s="333"/>
      <c r="K24" s="36"/>
      <c r="N24" s="34"/>
      <c r="P24" s="14"/>
    </row>
    <row r="25" spans="1:16" x14ac:dyDescent="0.2">
      <c r="B25" s="11">
        <f>B24+30</f>
        <v>65</v>
      </c>
      <c r="C25" s="348"/>
      <c r="D25" s="351"/>
      <c r="E25" s="353"/>
      <c r="F25" s="329"/>
      <c r="G25" s="342"/>
      <c r="H25" s="333"/>
      <c r="J25" s="30"/>
      <c r="K25" s="36"/>
      <c r="N25" s="34"/>
      <c r="P25" s="14"/>
    </row>
    <row r="26" spans="1:16" x14ac:dyDescent="0.2">
      <c r="B26" s="11">
        <f>B25+30</f>
        <v>95</v>
      </c>
      <c r="C26" s="348"/>
      <c r="D26" s="351"/>
      <c r="E26" s="353"/>
      <c r="F26" s="329"/>
      <c r="G26" s="342"/>
      <c r="H26" s="333"/>
      <c r="K26" s="36"/>
      <c r="M26" s="13" t="s">
        <v>78</v>
      </c>
      <c r="N26" s="33">
        <f>SUM(N8:N25)</f>
        <v>340</v>
      </c>
      <c r="O26" s="15">
        <f>SUM(O8:O25)</f>
        <v>450</v>
      </c>
      <c r="P26" s="38">
        <f>SUM(P8:P25)</f>
        <v>365</v>
      </c>
    </row>
    <row r="27" spans="1:16" x14ac:dyDescent="0.2">
      <c r="B27" s="11">
        <f>B26+30</f>
        <v>125</v>
      </c>
      <c r="C27" s="348"/>
      <c r="D27" s="351"/>
      <c r="E27" s="353"/>
      <c r="F27" s="329"/>
      <c r="G27" s="342"/>
      <c r="H27" s="333"/>
      <c r="K27" s="36"/>
      <c r="M27" s="13" t="s">
        <v>79</v>
      </c>
      <c r="N27" s="34">
        <f>N5-N26</f>
        <v>310</v>
      </c>
      <c r="O27" s="14">
        <f>O5-O26</f>
        <v>200</v>
      </c>
      <c r="P27" s="14">
        <f>P5-P26</f>
        <v>385</v>
      </c>
    </row>
    <row r="28" spans="1:16" x14ac:dyDescent="0.2">
      <c r="A28" s="22">
        <v>1457</v>
      </c>
      <c r="B28" s="11">
        <v>5238</v>
      </c>
      <c r="C28" s="348"/>
      <c r="D28" s="351"/>
      <c r="E28" s="353"/>
      <c r="F28" s="329"/>
      <c r="G28" s="342"/>
      <c r="H28" s="333"/>
      <c r="K28" s="36"/>
      <c r="N28" s="34"/>
      <c r="P28" s="14"/>
    </row>
    <row r="29" spans="1:16" x14ac:dyDescent="0.2">
      <c r="B29" s="11"/>
      <c r="C29" s="348"/>
      <c r="D29" s="351"/>
      <c r="E29" s="353"/>
      <c r="F29" s="329"/>
      <c r="G29" s="342"/>
      <c r="H29" s="333"/>
      <c r="K29" s="36"/>
      <c r="N29" s="34"/>
      <c r="P29" s="14"/>
    </row>
    <row r="30" spans="1:16" x14ac:dyDescent="0.2">
      <c r="A30" s="22">
        <v>1562</v>
      </c>
      <c r="B30" s="11">
        <v>5269</v>
      </c>
      <c r="C30" s="348"/>
      <c r="D30" s="351"/>
      <c r="E30" s="353"/>
      <c r="F30" s="329"/>
      <c r="G30" s="342"/>
      <c r="H30" s="333"/>
      <c r="K30" s="36"/>
    </row>
    <row r="31" spans="1:16" x14ac:dyDescent="0.2">
      <c r="A31" s="22">
        <v>1658</v>
      </c>
      <c r="B31" s="11">
        <v>5296</v>
      </c>
      <c r="C31" s="348"/>
      <c r="D31" s="351"/>
      <c r="E31" s="353"/>
      <c r="F31" s="329"/>
      <c r="G31" s="342"/>
      <c r="H31" s="333"/>
      <c r="K31" s="36"/>
    </row>
    <row r="32" spans="1:16" x14ac:dyDescent="0.2">
      <c r="A32" s="22">
        <v>1766</v>
      </c>
      <c r="B32" s="11">
        <v>5327</v>
      </c>
      <c r="C32" s="348"/>
      <c r="D32" s="351"/>
      <c r="E32" s="353"/>
      <c r="F32" s="329"/>
      <c r="G32" s="342"/>
      <c r="H32" s="333"/>
      <c r="K32" s="36"/>
    </row>
    <row r="33" spans="1:16" x14ac:dyDescent="0.2">
      <c r="A33" s="22">
        <v>1870</v>
      </c>
      <c r="B33" s="11">
        <v>5355</v>
      </c>
      <c r="C33" s="348"/>
      <c r="D33" s="351"/>
      <c r="E33" s="353"/>
      <c r="F33" s="329"/>
      <c r="G33" s="342"/>
      <c r="H33" s="333"/>
      <c r="K33" s="36"/>
    </row>
    <row r="34" spans="1:16" x14ac:dyDescent="0.2">
      <c r="A34" s="22">
        <v>1990</v>
      </c>
      <c r="B34" s="11">
        <v>5371</v>
      </c>
      <c r="C34" s="348"/>
      <c r="D34" s="351"/>
      <c r="E34" s="353"/>
      <c r="F34" s="329"/>
      <c r="G34" s="342"/>
      <c r="H34" s="334"/>
      <c r="K34" s="36"/>
    </row>
    <row r="35" spans="1:16" x14ac:dyDescent="0.2">
      <c r="C35" s="30"/>
      <c r="F35" s="29">
        <f>F5*F4</f>
        <v>487.26000000000005</v>
      </c>
      <c r="G35" s="31">
        <f>G5*G4</f>
        <v>1055.45</v>
      </c>
      <c r="H35" s="28">
        <f>H5*H4</f>
        <v>972.77400000000011</v>
      </c>
      <c r="K35" s="36"/>
      <c r="M35"/>
      <c r="N35"/>
      <c r="O35"/>
    </row>
    <row r="36" spans="1:16" x14ac:dyDescent="0.2">
      <c r="C36" s="30"/>
      <c r="E36" s="7" t="s">
        <v>9</v>
      </c>
      <c r="G36" s="354">
        <f>K8</f>
        <v>38.22</v>
      </c>
      <c r="H36" s="354"/>
      <c r="K36" s="36"/>
      <c r="M36"/>
      <c r="N36"/>
      <c r="O36"/>
    </row>
    <row r="37" spans="1:16" x14ac:dyDescent="0.2">
      <c r="C37" s="30"/>
      <c r="E37" s="7" t="s">
        <v>11</v>
      </c>
      <c r="G37" s="329">
        <f>G36+F35+G35+H35</f>
        <v>2553.7040000000002</v>
      </c>
      <c r="H37" s="329"/>
      <c r="K37" s="36"/>
      <c r="M37"/>
      <c r="N37"/>
      <c r="O37"/>
    </row>
    <row r="38" spans="1:16" x14ac:dyDescent="0.2">
      <c r="C38" s="30"/>
      <c r="E38" s="7" t="s">
        <v>12</v>
      </c>
      <c r="G38" s="9">
        <v>43.36</v>
      </c>
      <c r="H38" s="8">
        <f>7/100</f>
        <v>7.0000000000000007E-2</v>
      </c>
      <c r="M38"/>
      <c r="N38"/>
      <c r="O38"/>
    </row>
    <row r="39" spans="1:16" x14ac:dyDescent="0.2">
      <c r="C39" s="30"/>
      <c r="E39" s="7" t="s">
        <v>10</v>
      </c>
      <c r="G39" s="348">
        <f>(G37-G38)*H38</f>
        <v>175.72408000000001</v>
      </c>
      <c r="H39" s="348"/>
      <c r="M39"/>
      <c r="N39"/>
      <c r="O39"/>
    </row>
    <row r="40" spans="1:16" x14ac:dyDescent="0.2">
      <c r="C40" s="30"/>
      <c r="E40" s="7" t="s">
        <v>13</v>
      </c>
      <c r="G40" s="349">
        <f>G37+G39-G38</f>
        <v>2686.06808</v>
      </c>
      <c r="H40" s="349"/>
      <c r="M40"/>
      <c r="N40"/>
      <c r="O40"/>
    </row>
    <row r="41" spans="1:16" x14ac:dyDescent="0.2">
      <c r="C41" s="30"/>
      <c r="G41" s="7">
        <v>1767.61</v>
      </c>
      <c r="H41" s="7"/>
      <c r="I41" s="30"/>
      <c r="J41" s="2"/>
      <c r="M41"/>
      <c r="N41"/>
      <c r="O41"/>
    </row>
    <row r="42" spans="1:16" x14ac:dyDescent="0.2">
      <c r="G42" s="7">
        <f>G41-300</f>
        <v>1467.61</v>
      </c>
    </row>
    <row r="44" spans="1:16" x14ac:dyDescent="0.2">
      <c r="L44" s="6"/>
      <c r="M44" s="7"/>
      <c r="O44" s="13"/>
      <c r="P44" s="14"/>
    </row>
  </sheetData>
  <mergeCells count="12">
    <mergeCell ref="N4:P4"/>
    <mergeCell ref="C2:H2"/>
    <mergeCell ref="G37:H37"/>
    <mergeCell ref="G39:H39"/>
    <mergeCell ref="G40:H40"/>
    <mergeCell ref="E5:E34"/>
    <mergeCell ref="G36:H36"/>
    <mergeCell ref="H5:H34"/>
    <mergeCell ref="C5:C34"/>
    <mergeCell ref="D5:D34"/>
    <mergeCell ref="F5:F34"/>
    <mergeCell ref="G5:G3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2FFA-CCC8-4474-AFB9-9D04442CA2FA}">
  <dimension ref="A1:Q44"/>
  <sheetViews>
    <sheetView topLeftCell="A4" workbookViewId="0">
      <selection activeCell="J33" sqref="J33"/>
    </sheetView>
  </sheetViews>
  <sheetFormatPr defaultRowHeight="14.25" x14ac:dyDescent="0.2"/>
  <cols>
    <col min="1" max="1" width="20.125" style="22" customWidth="1"/>
    <col min="2" max="2" width="6" style="90" bestFit="1" customWidth="1"/>
    <col min="3" max="3" width="11" style="92" customWidth="1"/>
    <col min="4" max="4" width="9" style="65"/>
    <col min="5" max="6" width="13" style="65" customWidth="1"/>
    <col min="7" max="7" width="12.5" style="65" customWidth="1"/>
    <col min="8" max="9" width="12.375" style="65" customWidth="1"/>
    <col min="10" max="10" width="50.25" style="2" bestFit="1" customWidth="1"/>
    <col min="11" max="11" width="7.25" style="65" bestFit="1" customWidth="1"/>
    <col min="12" max="12" width="16.25" style="65" customWidth="1"/>
    <col min="13" max="15" width="9" style="65"/>
    <col min="16" max="16" width="9" style="14"/>
  </cols>
  <sheetData>
    <row r="1" spans="1:17" ht="15" thickBot="1" x14ac:dyDescent="0.25"/>
    <row r="2" spans="1:17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7" ht="15" thickTop="1" x14ac:dyDescent="0.2">
      <c r="E3" s="37"/>
      <c r="F3" s="37"/>
      <c r="G3" s="65" t="s">
        <v>67</v>
      </c>
      <c r="H3" s="65" t="s">
        <v>68</v>
      </c>
      <c r="I3" s="65" t="s">
        <v>69</v>
      </c>
    </row>
    <row r="4" spans="1:17" x14ac:dyDescent="0.2">
      <c r="A4" s="22" t="s">
        <v>17</v>
      </c>
      <c r="B4" s="90" t="s">
        <v>8</v>
      </c>
      <c r="C4" s="92" t="s">
        <v>16</v>
      </c>
      <c r="D4" s="65" t="s">
        <v>6</v>
      </c>
      <c r="E4" s="65" t="s">
        <v>7</v>
      </c>
      <c r="F4" s="65" t="s">
        <v>14</v>
      </c>
      <c r="G4" s="65">
        <f>L5</f>
        <v>3.2484000000000002</v>
      </c>
      <c r="H4" s="65">
        <f>L6</f>
        <v>4.2218</v>
      </c>
      <c r="I4" s="65">
        <v>4.4217000000000004</v>
      </c>
      <c r="L4" s="65" t="s">
        <v>4</v>
      </c>
      <c r="O4" s="351" t="s">
        <v>18</v>
      </c>
      <c r="P4" s="351"/>
      <c r="Q4" s="351"/>
    </row>
    <row r="5" spans="1:17" x14ac:dyDescent="0.2">
      <c r="C5" s="93">
        <f>4661+710</f>
        <v>5371</v>
      </c>
      <c r="D5" s="348">
        <v>5371</v>
      </c>
      <c r="E5" s="356">
        <f>C37-D5</f>
        <v>1204</v>
      </c>
      <c r="F5" s="353">
        <v>90</v>
      </c>
      <c r="G5" s="329">
        <v>150</v>
      </c>
      <c r="H5" s="342">
        <v>250</v>
      </c>
      <c r="I5" s="357">
        <f>E5-G5-H5</f>
        <v>804</v>
      </c>
      <c r="J5" s="2" t="s">
        <v>0</v>
      </c>
      <c r="K5" s="65" t="s">
        <v>1</v>
      </c>
      <c r="L5" s="65">
        <v>3.2484000000000002</v>
      </c>
      <c r="O5" s="64">
        <v>650</v>
      </c>
      <c r="P5" s="63">
        <v>650</v>
      </c>
      <c r="Q5" s="66">
        <v>750</v>
      </c>
    </row>
    <row r="6" spans="1:17" x14ac:dyDescent="0.2">
      <c r="C6" s="93"/>
      <c r="D6" s="348"/>
      <c r="E6" s="351"/>
      <c r="F6" s="353"/>
      <c r="G6" s="329"/>
      <c r="H6" s="342"/>
      <c r="I6" s="333"/>
      <c r="J6" s="2" t="s">
        <v>2</v>
      </c>
      <c r="K6" s="65" t="s">
        <v>1</v>
      </c>
      <c r="L6" s="65">
        <v>4.2218</v>
      </c>
      <c r="N6" s="65" t="s">
        <v>19</v>
      </c>
      <c r="O6" s="65">
        <v>65</v>
      </c>
      <c r="P6"/>
    </row>
    <row r="7" spans="1:17" x14ac:dyDescent="0.2">
      <c r="C7" s="93"/>
      <c r="D7" s="348"/>
      <c r="E7" s="351"/>
      <c r="F7" s="353"/>
      <c r="G7" s="329"/>
      <c r="H7" s="342"/>
      <c r="I7" s="333"/>
      <c r="J7" s="2" t="s">
        <v>3</v>
      </c>
      <c r="K7" s="65" t="s">
        <v>1</v>
      </c>
      <c r="L7" s="65">
        <v>4.4217000000000004</v>
      </c>
      <c r="N7" s="65" t="s">
        <v>21</v>
      </c>
      <c r="O7" s="65">
        <v>200</v>
      </c>
      <c r="P7"/>
    </row>
    <row r="8" spans="1:17" x14ac:dyDescent="0.2">
      <c r="C8" s="93">
        <v>5492</v>
      </c>
      <c r="D8" s="348"/>
      <c r="E8" s="351"/>
      <c r="F8" s="353"/>
      <c r="G8" s="329"/>
      <c r="H8" s="342"/>
      <c r="I8" s="333"/>
      <c r="J8" s="2" t="s">
        <v>5</v>
      </c>
      <c r="L8" s="65">
        <v>38.22</v>
      </c>
      <c r="M8" s="65" t="s">
        <v>72</v>
      </c>
      <c r="N8" s="65">
        <v>2070</v>
      </c>
      <c r="Q8" s="14">
        <v>215</v>
      </c>
    </row>
    <row r="9" spans="1:17" x14ac:dyDescent="0.2">
      <c r="A9" s="89"/>
      <c r="B9" s="91">
        <f>C9-C8</f>
        <v>29</v>
      </c>
      <c r="C9" s="93">
        <v>5521</v>
      </c>
      <c r="D9" s="348"/>
      <c r="E9" s="351"/>
      <c r="F9" s="353"/>
      <c r="G9" s="329"/>
      <c r="H9" s="342"/>
      <c r="I9" s="333"/>
      <c r="M9" s="65" t="s">
        <v>74</v>
      </c>
      <c r="N9" s="65" t="s">
        <v>15</v>
      </c>
      <c r="P9" s="14">
        <v>90</v>
      </c>
      <c r="Q9" s="14"/>
    </row>
    <row r="10" spans="1:17" x14ac:dyDescent="0.2">
      <c r="A10" s="89"/>
      <c r="B10" s="91">
        <f>C10-C9</f>
        <v>33</v>
      </c>
      <c r="C10" s="93">
        <v>5554</v>
      </c>
      <c r="D10" s="348"/>
      <c r="E10" s="351"/>
      <c r="F10" s="353"/>
      <c r="G10" s="329"/>
      <c r="H10" s="342"/>
      <c r="I10" s="333"/>
      <c r="M10" s="65" t="s">
        <v>74</v>
      </c>
      <c r="N10" s="65" t="s">
        <v>15</v>
      </c>
      <c r="P10" s="14">
        <v>90</v>
      </c>
      <c r="Q10" s="14"/>
    </row>
    <row r="11" spans="1:17" x14ac:dyDescent="0.2">
      <c r="A11" s="94">
        <v>365.1</v>
      </c>
      <c r="B11" s="91">
        <f>C11-C10</f>
        <v>32</v>
      </c>
      <c r="C11" s="93">
        <v>5586</v>
      </c>
      <c r="D11" s="348"/>
      <c r="E11" s="351"/>
      <c r="F11" s="353"/>
      <c r="G11" s="329"/>
      <c r="H11" s="342"/>
      <c r="I11" s="333"/>
      <c r="M11" s="65" t="s">
        <v>77</v>
      </c>
      <c r="N11" s="65" t="s">
        <v>15</v>
      </c>
      <c r="O11" s="65">
        <v>90</v>
      </c>
      <c r="Q11" s="14"/>
    </row>
    <row r="12" spans="1:17" x14ac:dyDescent="0.2">
      <c r="B12" s="90">
        <v>34</v>
      </c>
      <c r="C12" s="93">
        <f>C11-C10</f>
        <v>32</v>
      </c>
      <c r="D12" s="348"/>
      <c r="E12" s="351"/>
      <c r="F12" s="353"/>
      <c r="G12" s="329"/>
      <c r="H12" s="342"/>
      <c r="I12" s="333"/>
      <c r="M12" s="65" t="s">
        <v>77</v>
      </c>
      <c r="N12" s="65" t="s">
        <v>15</v>
      </c>
      <c r="O12" s="65">
        <v>90</v>
      </c>
      <c r="Q12" s="14"/>
    </row>
    <row r="13" spans="1:17" x14ac:dyDescent="0.2">
      <c r="B13" s="90">
        <v>34</v>
      </c>
      <c r="D13" s="348"/>
      <c r="E13" s="351"/>
      <c r="F13" s="353"/>
      <c r="G13" s="329"/>
      <c r="H13" s="342"/>
      <c r="I13" s="333"/>
      <c r="M13" s="65" t="s">
        <v>72</v>
      </c>
      <c r="N13" s="65" t="s">
        <v>15</v>
      </c>
      <c r="P13" s="14">
        <v>90</v>
      </c>
      <c r="Q13" s="14"/>
    </row>
    <row r="14" spans="1:17" x14ac:dyDescent="0.2">
      <c r="A14" s="22">
        <v>746.4</v>
      </c>
      <c r="B14" s="91">
        <f>C14-C11</f>
        <v>102</v>
      </c>
      <c r="C14" s="93">
        <v>5688</v>
      </c>
      <c r="D14" s="348"/>
      <c r="E14" s="351"/>
      <c r="F14" s="353"/>
      <c r="G14" s="329"/>
      <c r="H14" s="342"/>
      <c r="I14" s="333"/>
      <c r="L14" s="36"/>
      <c r="M14" s="65" t="s">
        <v>75</v>
      </c>
      <c r="N14" s="65" t="s">
        <v>15</v>
      </c>
      <c r="P14" s="14">
        <v>90</v>
      </c>
    </row>
    <row r="15" spans="1:17" x14ac:dyDescent="0.2">
      <c r="B15" s="91">
        <f t="shared" ref="B15:B20" si="0">C15-C14</f>
        <v>29</v>
      </c>
      <c r="C15" s="93">
        <v>5717</v>
      </c>
      <c r="D15" s="348"/>
      <c r="E15" s="351"/>
      <c r="F15" s="353"/>
      <c r="G15" s="329"/>
      <c r="H15" s="342"/>
      <c r="I15" s="333"/>
      <c r="J15" s="2" t="s">
        <v>22</v>
      </c>
      <c r="L15" s="36"/>
      <c r="M15" s="65" t="s">
        <v>73</v>
      </c>
      <c r="N15" s="65" t="s">
        <v>70</v>
      </c>
      <c r="P15" s="14">
        <v>90</v>
      </c>
      <c r="Q15" s="14"/>
    </row>
    <row r="16" spans="1:17" x14ac:dyDescent="0.2">
      <c r="B16" s="91">
        <f t="shared" si="0"/>
        <v>31</v>
      </c>
      <c r="C16" s="93">
        <v>5748</v>
      </c>
      <c r="D16" s="348"/>
      <c r="E16" s="351"/>
      <c r="F16" s="353"/>
      <c r="G16" s="329"/>
      <c r="H16" s="342"/>
      <c r="I16" s="333"/>
      <c r="J16" s="2" t="s">
        <v>23</v>
      </c>
      <c r="L16" s="36"/>
      <c r="M16" s="65" t="s">
        <v>75</v>
      </c>
      <c r="N16" s="65">
        <v>1070</v>
      </c>
      <c r="Q16" s="14">
        <v>150</v>
      </c>
    </row>
    <row r="17" spans="1:17" x14ac:dyDescent="0.2">
      <c r="A17" s="22">
        <v>1136</v>
      </c>
      <c r="B17" s="91">
        <f t="shared" si="0"/>
        <v>41</v>
      </c>
      <c r="C17" s="93">
        <v>5789</v>
      </c>
      <c r="D17" s="348"/>
      <c r="E17" s="351"/>
      <c r="F17" s="353"/>
      <c r="G17" s="329"/>
      <c r="H17" s="342"/>
      <c r="I17" s="333"/>
      <c r="J17" s="2" t="s">
        <v>24</v>
      </c>
      <c r="L17" s="36"/>
      <c r="M17" s="65" t="s">
        <v>76</v>
      </c>
      <c r="N17" s="65" t="s">
        <v>20</v>
      </c>
      <c r="O17" s="65">
        <v>60</v>
      </c>
      <c r="Q17" s="14"/>
    </row>
    <row r="18" spans="1:17" x14ac:dyDescent="0.2">
      <c r="B18" s="91">
        <f t="shared" si="0"/>
        <v>39</v>
      </c>
      <c r="C18" s="93">
        <v>5828</v>
      </c>
      <c r="D18" s="348"/>
      <c r="E18" s="351"/>
      <c r="F18" s="353"/>
      <c r="G18" s="329"/>
      <c r="H18" s="342"/>
      <c r="I18" s="333"/>
      <c r="J18" s="2" t="s">
        <v>25</v>
      </c>
      <c r="L18" s="36"/>
      <c r="O18" s="65">
        <v>100</v>
      </c>
    </row>
    <row r="19" spans="1:17" x14ac:dyDescent="0.2">
      <c r="B19" s="91">
        <f t="shared" si="0"/>
        <v>40</v>
      </c>
      <c r="C19" s="93">
        <v>5868</v>
      </c>
      <c r="D19" s="348"/>
      <c r="E19" s="351"/>
      <c r="F19" s="353"/>
      <c r="G19" s="329"/>
      <c r="H19" s="342"/>
      <c r="I19" s="333"/>
      <c r="J19" s="2" t="s">
        <v>26</v>
      </c>
      <c r="L19" s="36"/>
      <c r="Q19" s="14"/>
    </row>
    <row r="20" spans="1:17" x14ac:dyDescent="0.2">
      <c r="B20" s="91">
        <f t="shared" si="0"/>
        <v>40</v>
      </c>
      <c r="C20" s="93">
        <v>5908</v>
      </c>
      <c r="D20" s="348"/>
      <c r="E20" s="351"/>
      <c r="F20" s="353"/>
      <c r="G20" s="329"/>
      <c r="H20" s="342"/>
      <c r="I20" s="333"/>
      <c r="J20" s="2" t="s">
        <v>27</v>
      </c>
      <c r="L20" s="36"/>
    </row>
    <row r="21" spans="1:17" x14ac:dyDescent="0.2">
      <c r="B21" s="91">
        <f>C21-C20</f>
        <v>42</v>
      </c>
      <c r="C21" s="93">
        <v>5950</v>
      </c>
      <c r="D21" s="348"/>
      <c r="E21" s="351"/>
      <c r="F21" s="353"/>
      <c r="G21" s="329"/>
      <c r="H21" s="342"/>
      <c r="I21" s="333"/>
      <c r="J21" s="2" t="s">
        <v>28</v>
      </c>
      <c r="L21" s="36"/>
      <c r="Q21" s="14"/>
    </row>
    <row r="22" spans="1:17" x14ac:dyDescent="0.2">
      <c r="B22" s="91">
        <f>C22-C21</f>
        <v>32</v>
      </c>
      <c r="C22" s="93">
        <v>5982</v>
      </c>
      <c r="D22" s="348"/>
      <c r="E22" s="351"/>
      <c r="F22" s="353"/>
      <c r="G22" s="329"/>
      <c r="H22" s="342"/>
      <c r="I22" s="333"/>
      <c r="L22" s="36"/>
    </row>
    <row r="23" spans="1:17" x14ac:dyDescent="0.2">
      <c r="B23" s="91">
        <f>C23-C22</f>
        <v>39</v>
      </c>
      <c r="C23" s="93">
        <v>6021</v>
      </c>
      <c r="D23" s="348"/>
      <c r="E23" s="351"/>
      <c r="F23" s="353"/>
      <c r="G23" s="329"/>
      <c r="H23" s="342"/>
      <c r="I23" s="333"/>
      <c r="L23" s="36"/>
      <c r="Q23" s="14"/>
    </row>
    <row r="24" spans="1:17" x14ac:dyDescent="0.2">
      <c r="B24" s="91">
        <f>C24-C23</f>
        <v>38</v>
      </c>
      <c r="C24" s="93">
        <v>6059</v>
      </c>
      <c r="D24" s="348"/>
      <c r="E24" s="351"/>
      <c r="F24" s="353"/>
      <c r="G24" s="329"/>
      <c r="H24" s="342"/>
      <c r="I24" s="333"/>
      <c r="L24" s="36"/>
      <c r="Q24" s="14"/>
    </row>
    <row r="25" spans="1:17" x14ac:dyDescent="0.2">
      <c r="C25" s="93"/>
      <c r="D25" s="348"/>
      <c r="E25" s="351"/>
      <c r="F25" s="353"/>
      <c r="G25" s="329"/>
      <c r="H25" s="342"/>
      <c r="I25" s="333"/>
      <c r="L25" s="36"/>
      <c r="Q25" s="14"/>
    </row>
    <row r="26" spans="1:17" x14ac:dyDescent="0.2">
      <c r="B26" s="91">
        <f>C26-C24</f>
        <v>79</v>
      </c>
      <c r="C26" s="93">
        <v>6138</v>
      </c>
      <c r="D26" s="348"/>
      <c r="E26" s="351"/>
      <c r="F26" s="353"/>
      <c r="G26" s="329"/>
      <c r="H26" s="342"/>
      <c r="I26" s="333"/>
      <c r="L26" s="36"/>
      <c r="N26" s="65" t="s">
        <v>78</v>
      </c>
      <c r="O26" s="64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B27" s="91">
        <f>C27-C26</f>
        <v>42</v>
      </c>
      <c r="C27" s="93">
        <v>6180</v>
      </c>
      <c r="D27" s="348"/>
      <c r="E27" s="351"/>
      <c r="F27" s="353"/>
      <c r="G27" s="329"/>
      <c r="H27" s="342"/>
      <c r="I27" s="333"/>
      <c r="L27" s="36"/>
      <c r="N27" s="65" t="s">
        <v>79</v>
      </c>
      <c r="O27" s="65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B28" s="91">
        <f>C28-C27</f>
        <v>35</v>
      </c>
      <c r="C28" s="93">
        <v>6215</v>
      </c>
      <c r="D28" s="348"/>
      <c r="E28" s="351"/>
      <c r="F28" s="353"/>
      <c r="G28" s="329"/>
      <c r="H28" s="342"/>
      <c r="I28" s="333"/>
      <c r="L28" s="36"/>
      <c r="Q28" s="14"/>
    </row>
    <row r="29" spans="1:17" x14ac:dyDescent="0.2">
      <c r="B29" s="91">
        <f>C29-C28</f>
        <v>42</v>
      </c>
      <c r="C29" s="93">
        <v>6257</v>
      </c>
      <c r="D29" s="348"/>
      <c r="E29" s="351"/>
      <c r="F29" s="353"/>
      <c r="G29" s="329"/>
      <c r="H29" s="342"/>
      <c r="I29" s="333"/>
      <c r="L29" s="36"/>
      <c r="Q29" s="14"/>
    </row>
    <row r="30" spans="1:17" x14ac:dyDescent="0.2">
      <c r="C30" s="93"/>
      <c r="D30" s="348"/>
      <c r="E30" s="351"/>
      <c r="F30" s="353"/>
      <c r="G30" s="329"/>
      <c r="H30" s="342"/>
      <c r="I30" s="333"/>
      <c r="L30" s="36"/>
    </row>
    <row r="31" spans="1:17" x14ac:dyDescent="0.2">
      <c r="B31" s="91">
        <f>C31-C29</f>
        <v>83</v>
      </c>
      <c r="C31" s="93">
        <v>6340</v>
      </c>
      <c r="D31" s="348"/>
      <c r="E31" s="351"/>
      <c r="F31" s="353"/>
      <c r="G31" s="329"/>
      <c r="H31" s="342"/>
      <c r="I31" s="333"/>
      <c r="L31" s="36"/>
    </row>
    <row r="32" spans="1:17" x14ac:dyDescent="0.2">
      <c r="B32" s="91">
        <f>C32-C31</f>
        <v>52</v>
      </c>
      <c r="C32" s="93">
        <v>6392</v>
      </c>
      <c r="D32" s="348"/>
      <c r="E32" s="351"/>
      <c r="F32" s="353"/>
      <c r="G32" s="329"/>
      <c r="H32" s="342"/>
      <c r="I32" s="333"/>
      <c r="L32" s="36"/>
    </row>
    <row r="33" spans="1:17" x14ac:dyDescent="0.2">
      <c r="B33" s="91">
        <f>C33-C32</f>
        <v>52</v>
      </c>
      <c r="C33" s="93">
        <v>6444</v>
      </c>
      <c r="D33" s="348"/>
      <c r="E33" s="351"/>
      <c r="F33" s="353"/>
      <c r="G33" s="329"/>
      <c r="H33" s="342"/>
      <c r="I33" s="333"/>
      <c r="L33" s="36"/>
    </row>
    <row r="34" spans="1:17" x14ac:dyDescent="0.2">
      <c r="B34" s="91">
        <f>C34-C33</f>
        <v>52</v>
      </c>
      <c r="C34" s="93">
        <v>6496</v>
      </c>
      <c r="D34" s="348"/>
      <c r="E34" s="351"/>
      <c r="F34" s="353"/>
      <c r="G34" s="329"/>
      <c r="H34" s="342"/>
      <c r="I34" s="334"/>
      <c r="L34" s="36"/>
    </row>
    <row r="35" spans="1:17" x14ac:dyDescent="0.2">
      <c r="A35" s="22">
        <f>40*8</f>
        <v>320</v>
      </c>
      <c r="B35" s="91">
        <f>C35-C34</f>
        <v>56</v>
      </c>
      <c r="C35" s="93">
        <v>6552</v>
      </c>
      <c r="G35" s="64">
        <f>G5*G4</f>
        <v>487.26000000000005</v>
      </c>
      <c r="H35" s="111">
        <f>H5*H4</f>
        <v>1055.45</v>
      </c>
      <c r="I35" s="112">
        <f>I5*I4</f>
        <v>3555.0468000000005</v>
      </c>
      <c r="L35" s="36"/>
      <c r="N35"/>
      <c r="O35"/>
      <c r="P35"/>
    </row>
    <row r="36" spans="1:17" x14ac:dyDescent="0.2">
      <c r="A36" s="110"/>
      <c r="B36" s="91">
        <f>C36-C35</f>
        <v>110</v>
      </c>
      <c r="C36" s="93">
        <v>6662</v>
      </c>
      <c r="F36" s="65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C37-C5</f>
        <v>1204</v>
      </c>
      <c r="C37" s="109">
        <v>6575</v>
      </c>
      <c r="F37" s="65" t="s">
        <v>11</v>
      </c>
      <c r="H37" s="359">
        <f>H36+G35+H35+I35</f>
        <v>5135.9768000000004</v>
      </c>
      <c r="I37" s="359"/>
      <c r="L37" s="36"/>
      <c r="N37"/>
      <c r="O37"/>
      <c r="P37"/>
    </row>
    <row r="38" spans="1:17" x14ac:dyDescent="0.2">
      <c r="F38" s="65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65" t="s">
        <v>10</v>
      </c>
      <c r="H39" s="360">
        <f>(H37-H38)*I38</f>
        <v>351.95837600000004</v>
      </c>
      <c r="I39" s="360"/>
      <c r="N39"/>
      <c r="O39"/>
      <c r="P39"/>
    </row>
    <row r="40" spans="1:17" x14ac:dyDescent="0.2">
      <c r="F40" s="65" t="s">
        <v>13</v>
      </c>
      <c r="H40" s="355">
        <f>H37+H39-H38</f>
        <v>5379.9351760000009</v>
      </c>
      <c r="I40" s="355"/>
      <c r="N40"/>
      <c r="O40"/>
      <c r="P40"/>
    </row>
    <row r="41" spans="1:17" x14ac:dyDescent="0.2">
      <c r="F41" s="116" t="s">
        <v>120</v>
      </c>
      <c r="G41" s="116"/>
      <c r="H41" s="355">
        <v>3854.87</v>
      </c>
      <c r="I41" s="355"/>
      <c r="J41" s="65"/>
      <c r="K41" s="2"/>
      <c r="N41"/>
      <c r="O41"/>
      <c r="P41"/>
    </row>
    <row r="44" spans="1:17" x14ac:dyDescent="0.2">
      <c r="M44" s="6"/>
      <c r="P44" s="65"/>
      <c r="Q44" s="14"/>
    </row>
  </sheetData>
  <mergeCells count="13">
    <mergeCell ref="D2:I2"/>
    <mergeCell ref="H41:I41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C6D3-C5E7-452D-A8A0-F8377F45E690}">
  <dimension ref="A1:Q44"/>
  <sheetViews>
    <sheetView topLeftCell="A16" workbookViewId="0">
      <selection activeCell="F49" sqref="F49"/>
    </sheetView>
  </sheetViews>
  <sheetFormatPr defaultRowHeight="14.25" x14ac:dyDescent="0.2"/>
  <cols>
    <col min="1" max="1" width="20.125" style="22" customWidth="1"/>
    <col min="2" max="2" width="6" style="90" bestFit="1" customWidth="1"/>
    <col min="3" max="3" width="11" style="115" customWidth="1"/>
    <col min="4" max="4" width="9" style="119"/>
    <col min="5" max="6" width="13" style="119" customWidth="1"/>
    <col min="7" max="7" width="12.5" style="119" customWidth="1"/>
    <col min="8" max="9" width="12.375" style="119" customWidth="1"/>
    <col min="10" max="10" width="50.25" style="2" bestFit="1" customWidth="1"/>
    <col min="11" max="11" width="7.25" style="119" bestFit="1" customWidth="1"/>
    <col min="12" max="12" width="16.25" style="119" customWidth="1"/>
    <col min="13" max="15" width="9" style="119"/>
    <col min="16" max="16" width="9" style="14"/>
  </cols>
  <sheetData>
    <row r="1" spans="1:17" ht="15" thickBot="1" x14ac:dyDescent="0.25"/>
    <row r="2" spans="1:17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7" ht="15" thickTop="1" x14ac:dyDescent="0.2">
      <c r="E3" s="37"/>
      <c r="F3" s="37"/>
      <c r="G3" s="119" t="s">
        <v>67</v>
      </c>
      <c r="H3" s="119" t="s">
        <v>68</v>
      </c>
      <c r="I3" s="119" t="s">
        <v>69</v>
      </c>
    </row>
    <row r="4" spans="1:17" x14ac:dyDescent="0.2">
      <c r="A4" s="22" t="s">
        <v>17</v>
      </c>
      <c r="B4" s="90" t="s">
        <v>8</v>
      </c>
      <c r="C4" s="115" t="s">
        <v>16</v>
      </c>
      <c r="D4" s="119" t="s">
        <v>6</v>
      </c>
      <c r="E4" s="119" t="s">
        <v>7</v>
      </c>
      <c r="F4" s="119" t="s">
        <v>14</v>
      </c>
      <c r="G4" s="119">
        <f>L5</f>
        <v>3.2484000000000002</v>
      </c>
      <c r="H4" s="119">
        <f>L6</f>
        <v>4.2218</v>
      </c>
      <c r="I4" s="119">
        <v>4.4217000000000004</v>
      </c>
      <c r="L4" s="119" t="s">
        <v>4</v>
      </c>
      <c r="O4" s="351" t="s">
        <v>18</v>
      </c>
      <c r="P4" s="351"/>
      <c r="Q4" s="351"/>
    </row>
    <row r="5" spans="1:17" x14ac:dyDescent="0.2">
      <c r="C5" s="93">
        <v>6575</v>
      </c>
      <c r="D5" s="361">
        <f>C5</f>
        <v>6575</v>
      </c>
      <c r="E5" s="356">
        <f>C37-D5</f>
        <v>1709</v>
      </c>
      <c r="F5" s="353">
        <v>90</v>
      </c>
      <c r="G5" s="329">
        <v>150</v>
      </c>
      <c r="H5" s="342">
        <v>250</v>
      </c>
      <c r="I5" s="357">
        <f>E5-G5-H5</f>
        <v>1309</v>
      </c>
      <c r="J5" s="2" t="s">
        <v>0</v>
      </c>
      <c r="K5" s="119" t="s">
        <v>1</v>
      </c>
      <c r="L5" s="119">
        <v>3.2484000000000002</v>
      </c>
      <c r="O5" s="116">
        <v>650</v>
      </c>
      <c r="P5" s="118">
        <v>650</v>
      </c>
      <c r="Q5" s="117">
        <v>750</v>
      </c>
    </row>
    <row r="6" spans="1:17" x14ac:dyDescent="0.2">
      <c r="C6" s="93"/>
      <c r="D6" s="348"/>
      <c r="E6" s="351"/>
      <c r="F6" s="353"/>
      <c r="G6" s="329"/>
      <c r="H6" s="342"/>
      <c r="I6" s="333"/>
      <c r="J6" s="2" t="s">
        <v>2</v>
      </c>
      <c r="K6" s="119" t="s">
        <v>1</v>
      </c>
      <c r="L6" s="119">
        <v>4.2218</v>
      </c>
      <c r="N6" s="119" t="s">
        <v>19</v>
      </c>
      <c r="O6" s="119">
        <v>65</v>
      </c>
      <c r="P6"/>
    </row>
    <row r="7" spans="1:17" x14ac:dyDescent="0.2">
      <c r="B7" s="91">
        <f>C7-C5</f>
        <v>134</v>
      </c>
      <c r="C7" s="93">
        <v>6709</v>
      </c>
      <c r="D7" s="348"/>
      <c r="E7" s="351"/>
      <c r="F7" s="353"/>
      <c r="G7" s="329"/>
      <c r="H7" s="342"/>
      <c r="I7" s="333"/>
      <c r="J7" s="2" t="s">
        <v>3</v>
      </c>
      <c r="K7" s="119" t="s">
        <v>1</v>
      </c>
      <c r="L7" s="119">
        <v>4.4217000000000004</v>
      </c>
      <c r="N7" s="119" t="s">
        <v>21</v>
      </c>
      <c r="O7" s="119">
        <v>200</v>
      </c>
      <c r="P7"/>
    </row>
    <row r="8" spans="1:17" x14ac:dyDescent="0.2">
      <c r="B8" s="91">
        <f t="shared" ref="B8:B14" si="0">C8-C7</f>
        <v>58</v>
      </c>
      <c r="C8" s="93">
        <v>6767</v>
      </c>
      <c r="D8" s="348"/>
      <c r="E8" s="351"/>
      <c r="F8" s="353"/>
      <c r="G8" s="329"/>
      <c r="H8" s="342"/>
      <c r="I8" s="333"/>
      <c r="J8" s="2" t="s">
        <v>5</v>
      </c>
      <c r="L8" s="119">
        <v>38.22</v>
      </c>
      <c r="M8" s="119" t="s">
        <v>72</v>
      </c>
      <c r="N8" s="119">
        <v>2070</v>
      </c>
      <c r="Q8" s="14">
        <v>215</v>
      </c>
    </row>
    <row r="9" spans="1:17" x14ac:dyDescent="0.2">
      <c r="A9" s="89"/>
      <c r="B9" s="91">
        <f t="shared" si="0"/>
        <v>51</v>
      </c>
      <c r="C9" s="93">
        <v>6818</v>
      </c>
      <c r="D9" s="348"/>
      <c r="E9" s="351"/>
      <c r="F9" s="353"/>
      <c r="G9" s="329"/>
      <c r="H9" s="342"/>
      <c r="I9" s="333"/>
      <c r="M9" s="119" t="s">
        <v>74</v>
      </c>
      <c r="N9" s="119" t="s">
        <v>15</v>
      </c>
      <c r="P9" s="14">
        <v>90</v>
      </c>
      <c r="Q9" s="14"/>
    </row>
    <row r="10" spans="1:17" x14ac:dyDescent="0.2">
      <c r="A10" s="89"/>
      <c r="B10" s="91">
        <f t="shared" si="0"/>
        <v>56</v>
      </c>
      <c r="C10" s="93">
        <v>6874</v>
      </c>
      <c r="D10" s="348"/>
      <c r="E10" s="351"/>
      <c r="F10" s="353"/>
      <c r="G10" s="329"/>
      <c r="H10" s="342"/>
      <c r="I10" s="333"/>
      <c r="M10" s="119" t="s">
        <v>74</v>
      </c>
      <c r="N10" s="119" t="s">
        <v>15</v>
      </c>
      <c r="P10" s="14">
        <v>90</v>
      </c>
      <c r="Q10" s="14"/>
    </row>
    <row r="11" spans="1:17" x14ac:dyDescent="0.2">
      <c r="A11" s="94"/>
      <c r="B11" s="91">
        <f t="shared" si="0"/>
        <v>57</v>
      </c>
      <c r="C11" s="93">
        <v>6931</v>
      </c>
      <c r="D11" s="348"/>
      <c r="E11" s="351"/>
      <c r="F11" s="353"/>
      <c r="G11" s="329"/>
      <c r="H11" s="342"/>
      <c r="I11" s="333"/>
      <c r="M11" s="119" t="s">
        <v>77</v>
      </c>
      <c r="N11" s="119" t="s">
        <v>15</v>
      </c>
      <c r="O11" s="119">
        <v>90</v>
      </c>
      <c r="Q11" s="14"/>
    </row>
    <row r="12" spans="1:17" x14ac:dyDescent="0.2">
      <c r="B12" s="91">
        <f t="shared" si="0"/>
        <v>64</v>
      </c>
      <c r="C12" s="93">
        <v>6995</v>
      </c>
      <c r="D12" s="348"/>
      <c r="E12" s="351"/>
      <c r="F12" s="353"/>
      <c r="G12" s="329"/>
      <c r="H12" s="342"/>
      <c r="I12" s="333"/>
      <c r="M12" s="119" t="s">
        <v>77</v>
      </c>
      <c r="N12" s="119" t="s">
        <v>15</v>
      </c>
      <c r="O12" s="119">
        <v>90</v>
      </c>
      <c r="Q12" s="14"/>
    </row>
    <row r="13" spans="1:17" x14ac:dyDescent="0.2">
      <c r="B13" s="91">
        <f t="shared" si="0"/>
        <v>55</v>
      </c>
      <c r="C13" s="115">
        <v>7050</v>
      </c>
      <c r="D13" s="348"/>
      <c r="E13" s="351"/>
      <c r="F13" s="353"/>
      <c r="G13" s="329"/>
      <c r="H13" s="342"/>
      <c r="I13" s="333"/>
      <c r="M13" s="119" t="s">
        <v>72</v>
      </c>
      <c r="N13" s="119" t="s">
        <v>15</v>
      </c>
      <c r="P13" s="14">
        <v>90</v>
      </c>
      <c r="Q13" s="14"/>
    </row>
    <row r="14" spans="1:17" x14ac:dyDescent="0.2">
      <c r="B14" s="91">
        <f t="shared" si="0"/>
        <v>53</v>
      </c>
      <c r="C14" s="93">
        <v>7103</v>
      </c>
      <c r="D14" s="348"/>
      <c r="E14" s="351"/>
      <c r="F14" s="353"/>
      <c r="G14" s="329"/>
      <c r="H14" s="342"/>
      <c r="I14" s="333"/>
      <c r="L14" s="36"/>
      <c r="M14" s="119" t="s">
        <v>75</v>
      </c>
      <c r="N14" s="119" t="s">
        <v>15</v>
      </c>
      <c r="P14" s="14">
        <v>90</v>
      </c>
    </row>
    <row r="15" spans="1:17" x14ac:dyDescent="0.2">
      <c r="B15" s="91">
        <f>114/2</f>
        <v>57</v>
      </c>
      <c r="C15" s="93">
        <f>7217-57</f>
        <v>7160</v>
      </c>
      <c r="D15" s="348"/>
      <c r="E15" s="351"/>
      <c r="F15" s="353"/>
      <c r="G15" s="329"/>
      <c r="H15" s="342"/>
      <c r="I15" s="333"/>
      <c r="J15" s="2" t="s">
        <v>22</v>
      </c>
      <c r="L15" s="36"/>
      <c r="M15" s="119" t="s">
        <v>73</v>
      </c>
      <c r="N15" s="119" t="s">
        <v>70</v>
      </c>
      <c r="P15" s="14">
        <v>90</v>
      </c>
      <c r="Q15" s="14"/>
    </row>
    <row r="16" spans="1:17" x14ac:dyDescent="0.2">
      <c r="B16" s="91">
        <f>C16-C15</f>
        <v>57</v>
      </c>
      <c r="C16" s="93">
        <v>7217</v>
      </c>
      <c r="D16" s="348"/>
      <c r="E16" s="351"/>
      <c r="F16" s="353"/>
      <c r="G16" s="329"/>
      <c r="H16" s="342"/>
      <c r="I16" s="333"/>
      <c r="J16" s="2" t="s">
        <v>23</v>
      </c>
      <c r="L16" s="36"/>
      <c r="M16" s="119" t="s">
        <v>75</v>
      </c>
      <c r="N16" s="119">
        <v>1070</v>
      </c>
      <c r="Q16" s="14">
        <v>150</v>
      </c>
    </row>
    <row r="17" spans="2:17" x14ac:dyDescent="0.2">
      <c r="B17" s="91">
        <f>C17-C16</f>
        <v>55</v>
      </c>
      <c r="C17" s="93">
        <v>7272</v>
      </c>
      <c r="D17" s="348"/>
      <c r="E17" s="351"/>
      <c r="F17" s="353"/>
      <c r="G17" s="329"/>
      <c r="H17" s="342"/>
      <c r="I17" s="333"/>
      <c r="J17" s="2" t="s">
        <v>24</v>
      </c>
      <c r="L17" s="36"/>
      <c r="M17" s="119" t="s">
        <v>76</v>
      </c>
      <c r="N17" s="119" t="s">
        <v>20</v>
      </c>
      <c r="O17" s="119">
        <v>60</v>
      </c>
      <c r="Q17" s="14"/>
    </row>
    <row r="18" spans="2:17" x14ac:dyDescent="0.2">
      <c r="B18" s="91">
        <f>C18-C17</f>
        <v>64</v>
      </c>
      <c r="C18" s="93">
        <v>7336</v>
      </c>
      <c r="D18" s="348"/>
      <c r="E18" s="351"/>
      <c r="F18" s="353"/>
      <c r="G18" s="329"/>
      <c r="H18" s="342"/>
      <c r="I18" s="333"/>
      <c r="J18" s="2" t="s">
        <v>25</v>
      </c>
      <c r="L18" s="36"/>
      <c r="O18" s="119">
        <v>100</v>
      </c>
    </row>
    <row r="19" spans="2:17" x14ac:dyDescent="0.2">
      <c r="B19" s="91">
        <f>C19-C18</f>
        <v>52</v>
      </c>
      <c r="C19" s="93">
        <v>7388</v>
      </c>
      <c r="D19" s="348"/>
      <c r="E19" s="351"/>
      <c r="F19" s="353"/>
      <c r="G19" s="329"/>
      <c r="H19" s="342"/>
      <c r="I19" s="333"/>
      <c r="J19" s="2" t="s">
        <v>26</v>
      </c>
      <c r="L19" s="36"/>
      <c r="Q19" s="14"/>
    </row>
    <row r="20" spans="2:17" x14ac:dyDescent="0.2">
      <c r="B20" s="91"/>
      <c r="C20" s="93"/>
      <c r="D20" s="348"/>
      <c r="E20" s="351"/>
      <c r="F20" s="353"/>
      <c r="G20" s="329"/>
      <c r="H20" s="342"/>
      <c r="I20" s="333"/>
      <c r="J20" s="2" t="s">
        <v>27</v>
      </c>
      <c r="L20" s="36"/>
    </row>
    <row r="21" spans="2:17" x14ac:dyDescent="0.2">
      <c r="B21" s="91">
        <f>C21-C19</f>
        <v>115</v>
      </c>
      <c r="C21" s="93">
        <v>7503</v>
      </c>
      <c r="D21" s="348"/>
      <c r="E21" s="351"/>
      <c r="F21" s="353"/>
      <c r="G21" s="329"/>
      <c r="H21" s="342"/>
      <c r="I21" s="333"/>
      <c r="J21" s="2" t="s">
        <v>28</v>
      </c>
      <c r="L21" s="36"/>
      <c r="Q21" s="14"/>
    </row>
    <row r="22" spans="2:17" x14ac:dyDescent="0.2">
      <c r="B22" s="91">
        <f>C22-C21</f>
        <v>59</v>
      </c>
      <c r="C22" s="93">
        <v>7562</v>
      </c>
      <c r="D22" s="348"/>
      <c r="E22" s="351"/>
      <c r="F22" s="353"/>
      <c r="G22" s="329"/>
      <c r="H22" s="342"/>
      <c r="I22" s="333"/>
      <c r="L22" s="36"/>
    </row>
    <row r="23" spans="2:17" x14ac:dyDescent="0.2">
      <c r="B23" s="91">
        <f>C23-C22</f>
        <v>56</v>
      </c>
      <c r="C23" s="93">
        <v>7618</v>
      </c>
      <c r="D23" s="348"/>
      <c r="E23" s="351"/>
      <c r="F23" s="353"/>
      <c r="G23" s="329"/>
      <c r="H23" s="342"/>
      <c r="I23" s="333"/>
      <c r="L23" s="36"/>
      <c r="Q23" s="14"/>
    </row>
    <row r="24" spans="2:17" x14ac:dyDescent="0.2">
      <c r="B24" s="91">
        <v>57</v>
      </c>
      <c r="C24" s="93">
        <f>7732-57</f>
        <v>7675</v>
      </c>
      <c r="D24" s="348"/>
      <c r="E24" s="351"/>
      <c r="F24" s="353"/>
      <c r="G24" s="329"/>
      <c r="H24" s="342"/>
      <c r="I24" s="333"/>
      <c r="L24" s="36"/>
      <c r="Q24" s="14"/>
    </row>
    <row r="25" spans="2:17" x14ac:dyDescent="0.2">
      <c r="B25" s="91">
        <f>114/2</f>
        <v>57</v>
      </c>
      <c r="C25" s="93">
        <v>7732</v>
      </c>
      <c r="D25" s="348"/>
      <c r="E25" s="351"/>
      <c r="F25" s="353"/>
      <c r="G25" s="329"/>
      <c r="H25" s="342"/>
      <c r="I25" s="333"/>
      <c r="L25" s="36"/>
      <c r="Q25" s="14"/>
    </row>
    <row r="26" spans="2:17" x14ac:dyDescent="0.2">
      <c r="B26" s="91">
        <f>C26-C25</f>
        <v>56</v>
      </c>
      <c r="C26" s="93">
        <v>7788</v>
      </c>
      <c r="D26" s="348"/>
      <c r="E26" s="351"/>
      <c r="F26" s="353"/>
      <c r="G26" s="329"/>
      <c r="H26" s="342"/>
      <c r="I26" s="333"/>
      <c r="L26" s="36"/>
      <c r="N26" s="119" t="s">
        <v>78</v>
      </c>
      <c r="O26" s="116">
        <f>SUM(O8:O25)</f>
        <v>340</v>
      </c>
      <c r="P26" s="15">
        <f>SUM(P8:P25)</f>
        <v>450</v>
      </c>
      <c r="Q26" s="38">
        <f>SUM(Q8:Q25)</f>
        <v>365</v>
      </c>
    </row>
    <row r="27" spans="2:17" x14ac:dyDescent="0.2">
      <c r="B27" s="91">
        <f>C27-C26</f>
        <v>56</v>
      </c>
      <c r="C27" s="93">
        <v>7844</v>
      </c>
      <c r="D27" s="348"/>
      <c r="E27" s="351"/>
      <c r="F27" s="353"/>
      <c r="G27" s="329"/>
      <c r="H27" s="342"/>
      <c r="I27" s="333"/>
      <c r="L27" s="36"/>
      <c r="N27" s="119" t="s">
        <v>79</v>
      </c>
      <c r="O27" s="119">
        <f>O5-O26</f>
        <v>310</v>
      </c>
      <c r="P27" s="14">
        <f>P5-P26</f>
        <v>200</v>
      </c>
      <c r="Q27" s="14">
        <f>Q5-Q26</f>
        <v>385</v>
      </c>
    </row>
    <row r="28" spans="2:17" x14ac:dyDescent="0.2">
      <c r="B28" s="91">
        <f>C28-C27</f>
        <v>61</v>
      </c>
      <c r="C28" s="93">
        <v>7905</v>
      </c>
      <c r="D28" s="348"/>
      <c r="E28" s="351"/>
      <c r="F28" s="353"/>
      <c r="G28" s="329"/>
      <c r="H28" s="342"/>
      <c r="I28" s="333"/>
      <c r="L28" s="36"/>
      <c r="Q28" s="14"/>
    </row>
    <row r="29" spans="2:17" x14ac:dyDescent="0.2">
      <c r="B29" s="91">
        <f>C29-C28</f>
        <v>57</v>
      </c>
      <c r="C29" s="93">
        <v>7962</v>
      </c>
      <c r="D29" s="348"/>
      <c r="E29" s="351"/>
      <c r="F29" s="353"/>
      <c r="G29" s="329"/>
      <c r="H29" s="342"/>
      <c r="I29" s="333"/>
      <c r="L29" s="36"/>
      <c r="Q29" s="14"/>
    </row>
    <row r="30" spans="2:17" x14ac:dyDescent="0.2">
      <c r="B30" s="91">
        <f>114/2</f>
        <v>57</v>
      </c>
      <c r="C30" s="93">
        <f>C31-57</f>
        <v>8019</v>
      </c>
      <c r="D30" s="348"/>
      <c r="E30" s="351"/>
      <c r="F30" s="353"/>
      <c r="G30" s="329"/>
      <c r="H30" s="342"/>
      <c r="I30" s="333"/>
      <c r="L30" s="36"/>
    </row>
    <row r="31" spans="2:17" x14ac:dyDescent="0.2">
      <c r="B31" s="91">
        <v>57</v>
      </c>
      <c r="C31" s="93">
        <v>8076</v>
      </c>
      <c r="D31" s="348"/>
      <c r="E31" s="351"/>
      <c r="F31" s="353"/>
      <c r="G31" s="329"/>
      <c r="H31" s="342"/>
      <c r="I31" s="333"/>
      <c r="L31" s="36"/>
    </row>
    <row r="32" spans="2:17" x14ac:dyDescent="0.2">
      <c r="B32" s="91">
        <f>C32-C31</f>
        <v>61</v>
      </c>
      <c r="C32" s="93">
        <v>8137</v>
      </c>
      <c r="D32" s="348"/>
      <c r="E32" s="351"/>
      <c r="F32" s="353"/>
      <c r="G32" s="329"/>
      <c r="H32" s="342"/>
      <c r="I32" s="333"/>
      <c r="L32" s="36"/>
    </row>
    <row r="33" spans="1:17" x14ac:dyDescent="0.2">
      <c r="B33" s="91">
        <f>C33-C32</f>
        <v>64</v>
      </c>
      <c r="C33" s="93">
        <v>8201</v>
      </c>
      <c r="D33" s="348"/>
      <c r="E33" s="351"/>
      <c r="F33" s="353"/>
      <c r="G33" s="329"/>
      <c r="H33" s="342"/>
      <c r="I33" s="333"/>
      <c r="L33" s="36"/>
    </row>
    <row r="34" spans="1:17" x14ac:dyDescent="0.2">
      <c r="B34" s="91">
        <f>C34-C33</f>
        <v>60</v>
      </c>
      <c r="C34" s="93">
        <v>8261</v>
      </c>
      <c r="D34" s="348"/>
      <c r="E34" s="351"/>
      <c r="F34" s="353"/>
      <c r="G34" s="329"/>
      <c r="H34" s="342"/>
      <c r="I34" s="334"/>
      <c r="L34" s="36"/>
    </row>
    <row r="35" spans="1:17" x14ac:dyDescent="0.2">
      <c r="B35" s="91">
        <f>C35-C34</f>
        <v>23</v>
      </c>
      <c r="C35" s="93">
        <v>8284</v>
      </c>
      <c r="G35" s="116">
        <f>G5*G4</f>
        <v>487.26000000000005</v>
      </c>
      <c r="H35" s="111">
        <f>H5*H4</f>
        <v>1055.45</v>
      </c>
      <c r="I35" s="120">
        <f>I5*I4</f>
        <v>5788.0053000000007</v>
      </c>
      <c r="L35" s="36"/>
      <c r="N35"/>
      <c r="O35"/>
      <c r="P35"/>
    </row>
    <row r="36" spans="1:17" x14ac:dyDescent="0.2">
      <c r="A36" s="110"/>
      <c r="B36" s="91"/>
      <c r="C36" s="93"/>
      <c r="F36" s="119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SUM(B5:B36)</f>
        <v>1709</v>
      </c>
      <c r="C37" s="121">
        <f>C5+B37</f>
        <v>8284</v>
      </c>
      <c r="F37" s="119" t="s">
        <v>11</v>
      </c>
      <c r="H37" s="359">
        <f>H36+G35+H35+I35</f>
        <v>7368.935300000001</v>
      </c>
      <c r="I37" s="359"/>
      <c r="L37" s="36"/>
      <c r="N37"/>
      <c r="O37"/>
      <c r="P37"/>
    </row>
    <row r="38" spans="1:17" x14ac:dyDescent="0.2">
      <c r="F38" s="119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19" t="s">
        <v>10</v>
      </c>
      <c r="H39" s="360">
        <f>(H37-H38)*I38</f>
        <v>508.2654710000001</v>
      </c>
      <c r="I39" s="360"/>
      <c r="N39"/>
      <c r="O39"/>
      <c r="P39"/>
    </row>
    <row r="40" spans="1:17" x14ac:dyDescent="0.2">
      <c r="F40" s="119" t="s">
        <v>13</v>
      </c>
      <c r="H40" s="355">
        <f>H37+H39-H38</f>
        <v>7769.2007710000007</v>
      </c>
      <c r="I40" s="355"/>
      <c r="N40"/>
      <c r="O40"/>
      <c r="P40"/>
    </row>
    <row r="41" spans="1:17" x14ac:dyDescent="0.2">
      <c r="F41" s="116" t="s">
        <v>120</v>
      </c>
      <c r="G41" s="116"/>
      <c r="H41" s="355">
        <v>0</v>
      </c>
      <c r="I41" s="355"/>
      <c r="J41" s="119"/>
      <c r="K41" s="2"/>
      <c r="N41"/>
      <c r="O41"/>
      <c r="P41"/>
    </row>
    <row r="44" spans="1:17" x14ac:dyDescent="0.2">
      <c r="M44" s="6"/>
      <c r="P44" s="119"/>
      <c r="Q44" s="14"/>
    </row>
  </sheetData>
  <mergeCells count="13">
    <mergeCell ref="H36:I36"/>
    <mergeCell ref="H37:I37"/>
    <mergeCell ref="H39:I39"/>
    <mergeCell ref="H40:I40"/>
    <mergeCell ref="H41:I41"/>
    <mergeCell ref="D2:I2"/>
    <mergeCell ref="O4:Q4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75BA-E4B9-494E-BBF9-61EAF41B021E}">
  <dimension ref="A1:Q44"/>
  <sheetViews>
    <sheetView topLeftCell="A4" workbookViewId="0">
      <selection activeCell="H39" sqref="H39:I39"/>
    </sheetView>
  </sheetViews>
  <sheetFormatPr defaultRowHeight="14.25" x14ac:dyDescent="0.2"/>
  <cols>
    <col min="1" max="1" width="20.125" style="22" customWidth="1"/>
    <col min="2" max="2" width="6" style="90" bestFit="1" customWidth="1"/>
    <col min="3" max="3" width="11" style="124" customWidth="1"/>
    <col min="4" max="4" width="9" style="128"/>
    <col min="5" max="6" width="13" style="128" customWidth="1"/>
    <col min="7" max="7" width="12.5" style="128" customWidth="1"/>
    <col min="8" max="9" width="12.375" style="128" customWidth="1"/>
    <col min="10" max="10" width="50.25" style="2" bestFit="1" customWidth="1"/>
    <col min="11" max="11" width="7.25" style="128" bestFit="1" customWidth="1"/>
    <col min="12" max="12" width="16.25" style="128" customWidth="1"/>
    <col min="13" max="15" width="9" style="128"/>
    <col min="16" max="16" width="9" style="14"/>
  </cols>
  <sheetData>
    <row r="1" spans="1:17" ht="15" thickBot="1" x14ac:dyDescent="0.25"/>
    <row r="2" spans="1:17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7" ht="15" thickTop="1" x14ac:dyDescent="0.2">
      <c r="E3" s="37"/>
      <c r="F3" s="37"/>
      <c r="G3" s="128" t="s">
        <v>67</v>
      </c>
      <c r="H3" s="128" t="s">
        <v>68</v>
      </c>
      <c r="I3" s="128" t="s">
        <v>69</v>
      </c>
    </row>
    <row r="4" spans="1:17" x14ac:dyDescent="0.2">
      <c r="A4" s="22" t="s">
        <v>17</v>
      </c>
      <c r="B4" s="90" t="s">
        <v>8</v>
      </c>
      <c r="C4" s="124" t="s">
        <v>16</v>
      </c>
      <c r="D4" s="128" t="s">
        <v>6</v>
      </c>
      <c r="E4" s="128" t="s">
        <v>7</v>
      </c>
      <c r="F4" s="128" t="s">
        <v>14</v>
      </c>
      <c r="G4" s="128">
        <f>L5</f>
        <v>3.2484000000000002</v>
      </c>
      <c r="H4" s="128">
        <f>L6</f>
        <v>4.2218</v>
      </c>
      <c r="I4" s="128">
        <v>4.4217000000000004</v>
      </c>
      <c r="L4" s="128" t="s">
        <v>4</v>
      </c>
      <c r="O4" s="351" t="s">
        <v>18</v>
      </c>
      <c r="P4" s="351"/>
      <c r="Q4" s="351"/>
    </row>
    <row r="5" spans="1:17" x14ac:dyDescent="0.2">
      <c r="C5" s="93">
        <v>8284</v>
      </c>
      <c r="D5" s="361">
        <f>C5</f>
        <v>8284</v>
      </c>
      <c r="E5" s="356">
        <f>C37-D5</f>
        <v>1923</v>
      </c>
      <c r="F5" s="353">
        <v>90</v>
      </c>
      <c r="G5" s="329">
        <v>150</v>
      </c>
      <c r="H5" s="342">
        <v>250</v>
      </c>
      <c r="I5" s="357">
        <f>E5-G5-H5</f>
        <v>1523</v>
      </c>
      <c r="J5" s="2" t="s">
        <v>0</v>
      </c>
      <c r="K5" s="128" t="s">
        <v>1</v>
      </c>
      <c r="L5" s="128">
        <v>3.2484000000000002</v>
      </c>
      <c r="O5" s="125">
        <v>650</v>
      </c>
      <c r="P5" s="127">
        <v>650</v>
      </c>
      <c r="Q5" s="126">
        <v>750</v>
      </c>
    </row>
    <row r="6" spans="1:17" x14ac:dyDescent="0.2">
      <c r="B6" s="91">
        <f t="shared" ref="B6:B11" si="0">C6-C5</f>
        <v>97</v>
      </c>
      <c r="C6" s="93">
        <v>8381</v>
      </c>
      <c r="D6" s="348"/>
      <c r="E6" s="351"/>
      <c r="F6" s="353"/>
      <c r="G6" s="329"/>
      <c r="H6" s="342"/>
      <c r="I6" s="333"/>
      <c r="J6" s="2" t="s">
        <v>2</v>
      </c>
      <c r="K6" s="128" t="s">
        <v>1</v>
      </c>
      <c r="L6" s="128">
        <v>4.2218</v>
      </c>
      <c r="N6" s="128" t="s">
        <v>19</v>
      </c>
      <c r="O6" s="128">
        <v>65</v>
      </c>
      <c r="P6"/>
    </row>
    <row r="7" spans="1:17" x14ac:dyDescent="0.2">
      <c r="B7" s="91">
        <f t="shared" si="0"/>
        <v>58</v>
      </c>
      <c r="C7" s="93">
        <v>8439</v>
      </c>
      <c r="D7" s="348"/>
      <c r="E7" s="351"/>
      <c r="F7" s="353"/>
      <c r="G7" s="329"/>
      <c r="H7" s="342"/>
      <c r="I7" s="333"/>
      <c r="J7" s="2" t="s">
        <v>3</v>
      </c>
      <c r="K7" s="128" t="s">
        <v>1</v>
      </c>
      <c r="L7" s="128">
        <v>4.4217000000000004</v>
      </c>
      <c r="N7" s="128" t="s">
        <v>21</v>
      </c>
      <c r="O7" s="128">
        <v>200</v>
      </c>
      <c r="P7"/>
    </row>
    <row r="8" spans="1:17" x14ac:dyDescent="0.2">
      <c r="B8" s="91">
        <f t="shared" si="0"/>
        <v>68</v>
      </c>
      <c r="C8" s="93">
        <v>8507</v>
      </c>
      <c r="D8" s="348"/>
      <c r="E8" s="351"/>
      <c r="F8" s="353"/>
      <c r="G8" s="329"/>
      <c r="H8" s="342"/>
      <c r="I8" s="333"/>
      <c r="J8" s="2" t="s">
        <v>5</v>
      </c>
      <c r="L8" s="128">
        <v>38.22</v>
      </c>
      <c r="M8" s="128" t="s">
        <v>72</v>
      </c>
      <c r="N8" s="128">
        <v>2070</v>
      </c>
      <c r="Q8" s="14">
        <v>215</v>
      </c>
    </row>
    <row r="9" spans="1:17" x14ac:dyDescent="0.2">
      <c r="A9" s="89"/>
      <c r="B9" s="91">
        <f t="shared" si="0"/>
        <v>50</v>
      </c>
      <c r="C9" s="93">
        <v>8557</v>
      </c>
      <c r="D9" s="348"/>
      <c r="E9" s="351"/>
      <c r="F9" s="353"/>
      <c r="G9" s="329"/>
      <c r="H9" s="342"/>
      <c r="I9" s="333"/>
      <c r="M9" s="128" t="s">
        <v>74</v>
      </c>
      <c r="N9" s="128" t="s">
        <v>15</v>
      </c>
      <c r="P9" s="14">
        <v>90</v>
      </c>
      <c r="Q9" s="14"/>
    </row>
    <row r="10" spans="1:17" x14ac:dyDescent="0.2">
      <c r="A10" s="89"/>
      <c r="B10" s="91">
        <f t="shared" si="0"/>
        <v>65</v>
      </c>
      <c r="C10" s="93">
        <v>8622</v>
      </c>
      <c r="D10" s="348"/>
      <c r="E10" s="351"/>
      <c r="F10" s="353"/>
      <c r="G10" s="329"/>
      <c r="H10" s="342"/>
      <c r="I10" s="333"/>
      <c r="M10" s="128" t="s">
        <v>74</v>
      </c>
      <c r="N10" s="128" t="s">
        <v>15</v>
      </c>
      <c r="P10" s="14">
        <v>90</v>
      </c>
      <c r="Q10" s="14"/>
    </row>
    <row r="11" spans="1:17" x14ac:dyDescent="0.2">
      <c r="A11" s="94"/>
      <c r="B11" s="91">
        <f t="shared" si="0"/>
        <v>61</v>
      </c>
      <c r="C11" s="93">
        <v>8683</v>
      </c>
      <c r="D11" s="348"/>
      <c r="E11" s="351"/>
      <c r="F11" s="353"/>
      <c r="G11" s="329"/>
      <c r="H11" s="342"/>
      <c r="I11" s="333"/>
      <c r="M11" s="128" t="s">
        <v>77</v>
      </c>
      <c r="N11" s="128" t="s">
        <v>15</v>
      </c>
      <c r="O11" s="128">
        <v>90</v>
      </c>
      <c r="Q11" s="14"/>
    </row>
    <row r="12" spans="1:17" x14ac:dyDescent="0.2">
      <c r="B12" s="91">
        <f t="shared" ref="B12:B17" si="1">C12-C11</f>
        <v>61</v>
      </c>
      <c r="C12" s="93">
        <v>8744</v>
      </c>
      <c r="D12" s="348"/>
      <c r="E12" s="351"/>
      <c r="F12" s="353"/>
      <c r="G12" s="329"/>
      <c r="H12" s="342"/>
      <c r="I12" s="333"/>
      <c r="M12" s="128" t="s">
        <v>77</v>
      </c>
      <c r="N12" s="128" t="s">
        <v>15</v>
      </c>
      <c r="O12" s="128">
        <v>90</v>
      </c>
      <c r="Q12" s="14"/>
    </row>
    <row r="13" spans="1:17" x14ac:dyDescent="0.2">
      <c r="B13" s="91">
        <f t="shared" si="1"/>
        <v>61</v>
      </c>
      <c r="C13" s="124">
        <v>8805</v>
      </c>
      <c r="D13" s="348"/>
      <c r="E13" s="351"/>
      <c r="F13" s="353"/>
      <c r="G13" s="329"/>
      <c r="H13" s="342"/>
      <c r="I13" s="333"/>
      <c r="M13" s="128" t="s">
        <v>72</v>
      </c>
      <c r="N13" s="128" t="s">
        <v>15</v>
      </c>
      <c r="P13" s="14">
        <v>90</v>
      </c>
      <c r="Q13" s="14"/>
    </row>
    <row r="14" spans="1:17" x14ac:dyDescent="0.2">
      <c r="B14" s="91">
        <f t="shared" si="1"/>
        <v>62</v>
      </c>
      <c r="C14" s="93">
        <v>8867</v>
      </c>
      <c r="D14" s="348"/>
      <c r="E14" s="351"/>
      <c r="F14" s="353"/>
      <c r="G14" s="329"/>
      <c r="H14" s="342"/>
      <c r="I14" s="333"/>
      <c r="L14" s="36"/>
      <c r="M14" s="128" t="s">
        <v>75</v>
      </c>
      <c r="N14" s="128" t="s">
        <v>15</v>
      </c>
      <c r="P14" s="14">
        <v>90</v>
      </c>
    </row>
    <row r="15" spans="1:17" x14ac:dyDescent="0.2">
      <c r="B15" s="91">
        <f t="shared" si="1"/>
        <v>63</v>
      </c>
      <c r="C15" s="93">
        <v>8930</v>
      </c>
      <c r="D15" s="348"/>
      <c r="E15" s="351"/>
      <c r="F15" s="353"/>
      <c r="G15" s="329"/>
      <c r="H15" s="342"/>
      <c r="I15" s="333"/>
      <c r="J15" s="2" t="s">
        <v>22</v>
      </c>
      <c r="L15" s="36"/>
      <c r="M15" s="128" t="s">
        <v>73</v>
      </c>
      <c r="N15" s="128" t="s">
        <v>70</v>
      </c>
      <c r="P15" s="14">
        <v>90</v>
      </c>
      <c r="Q15" s="14"/>
    </row>
    <row r="16" spans="1:17" x14ac:dyDescent="0.2">
      <c r="B16" s="91">
        <f t="shared" si="1"/>
        <v>66</v>
      </c>
      <c r="C16" s="93">
        <v>8996</v>
      </c>
      <c r="D16" s="348"/>
      <c r="E16" s="351"/>
      <c r="F16" s="353"/>
      <c r="G16" s="329"/>
      <c r="H16" s="342"/>
      <c r="I16" s="333"/>
      <c r="J16" s="2" t="s">
        <v>23</v>
      </c>
      <c r="L16" s="36"/>
      <c r="M16" s="128" t="s">
        <v>75</v>
      </c>
      <c r="N16" s="128">
        <v>1070</v>
      </c>
      <c r="Q16" s="14">
        <v>150</v>
      </c>
    </row>
    <row r="17" spans="2:17" x14ac:dyDescent="0.2">
      <c r="B17" s="91">
        <f t="shared" si="1"/>
        <v>63</v>
      </c>
      <c r="C17" s="93">
        <v>9059</v>
      </c>
      <c r="D17" s="348"/>
      <c r="E17" s="351"/>
      <c r="F17" s="353"/>
      <c r="G17" s="329"/>
      <c r="H17" s="342"/>
      <c r="I17" s="333"/>
      <c r="J17" s="2" t="s">
        <v>24</v>
      </c>
      <c r="L17" s="36"/>
      <c r="M17" s="128" t="s">
        <v>76</v>
      </c>
      <c r="N17" s="128" t="s">
        <v>20</v>
      </c>
      <c r="O17" s="128">
        <v>60</v>
      </c>
      <c r="Q17" s="14"/>
    </row>
    <row r="18" spans="2:17" x14ac:dyDescent="0.2">
      <c r="B18" s="91">
        <f t="shared" ref="B18:B23" si="2">C18-C17</f>
        <v>59</v>
      </c>
      <c r="C18" s="93">
        <v>9118</v>
      </c>
      <c r="D18" s="348"/>
      <c r="E18" s="351"/>
      <c r="F18" s="353"/>
      <c r="G18" s="329"/>
      <c r="H18" s="342"/>
      <c r="I18" s="333"/>
      <c r="J18" s="2" t="s">
        <v>25</v>
      </c>
      <c r="L18" s="36"/>
      <c r="O18" s="128">
        <v>100</v>
      </c>
    </row>
    <row r="19" spans="2:17" x14ac:dyDescent="0.2">
      <c r="B19" s="91">
        <f t="shared" si="2"/>
        <v>65</v>
      </c>
      <c r="C19" s="93">
        <v>9183</v>
      </c>
      <c r="D19" s="348"/>
      <c r="E19" s="351"/>
      <c r="F19" s="353"/>
      <c r="G19" s="329"/>
      <c r="H19" s="342"/>
      <c r="I19" s="333"/>
      <c r="J19" s="2" t="s">
        <v>26</v>
      </c>
      <c r="L19" s="36"/>
      <c r="Q19" s="14"/>
    </row>
    <row r="20" spans="2:17" x14ac:dyDescent="0.2">
      <c r="B20" s="91">
        <f t="shared" si="2"/>
        <v>62</v>
      </c>
      <c r="C20" s="93">
        <v>9245</v>
      </c>
      <c r="D20" s="348"/>
      <c r="E20" s="351"/>
      <c r="F20" s="353"/>
      <c r="G20" s="329"/>
      <c r="H20" s="342"/>
      <c r="I20" s="333"/>
      <c r="J20" s="2" t="s">
        <v>27</v>
      </c>
      <c r="L20" s="36"/>
    </row>
    <row r="21" spans="2:17" x14ac:dyDescent="0.2">
      <c r="B21" s="91">
        <f t="shared" si="2"/>
        <v>63</v>
      </c>
      <c r="C21" s="93">
        <v>9308</v>
      </c>
      <c r="D21" s="348"/>
      <c r="E21" s="351"/>
      <c r="F21" s="353"/>
      <c r="G21" s="329"/>
      <c r="H21" s="342"/>
      <c r="I21" s="333"/>
      <c r="J21" s="2" t="s">
        <v>28</v>
      </c>
      <c r="L21" s="36"/>
      <c r="Q21" s="14"/>
    </row>
    <row r="22" spans="2:17" x14ac:dyDescent="0.2">
      <c r="B22" s="91">
        <f t="shared" si="2"/>
        <v>61</v>
      </c>
      <c r="C22" s="93">
        <v>9369</v>
      </c>
      <c r="D22" s="348"/>
      <c r="E22" s="351"/>
      <c r="F22" s="353"/>
      <c r="G22" s="329"/>
      <c r="H22" s="342"/>
      <c r="I22" s="333"/>
      <c r="L22" s="36"/>
    </row>
    <row r="23" spans="2:17" x14ac:dyDescent="0.2">
      <c r="B23" s="91">
        <f t="shared" si="2"/>
        <v>67</v>
      </c>
      <c r="C23" s="93">
        <v>9436</v>
      </c>
      <c r="D23" s="348"/>
      <c r="E23" s="351"/>
      <c r="F23" s="353"/>
      <c r="G23" s="329"/>
      <c r="H23" s="342"/>
      <c r="I23" s="333"/>
      <c r="L23" s="36"/>
      <c r="Q23" s="14"/>
    </row>
    <row r="24" spans="2:17" x14ac:dyDescent="0.2">
      <c r="B24" s="91">
        <f t="shared" ref="B24:B29" si="3">C24-C23</f>
        <v>54</v>
      </c>
      <c r="C24" s="93">
        <v>9490</v>
      </c>
      <c r="D24" s="348"/>
      <c r="E24" s="351"/>
      <c r="F24" s="353"/>
      <c r="G24" s="329"/>
      <c r="H24" s="342"/>
      <c r="I24" s="333"/>
      <c r="L24" s="36"/>
      <c r="Q24" s="14"/>
    </row>
    <row r="25" spans="2:17" x14ac:dyDescent="0.2">
      <c r="B25" s="91">
        <f t="shared" si="3"/>
        <v>64</v>
      </c>
      <c r="C25" s="93">
        <v>9554</v>
      </c>
      <c r="D25" s="348"/>
      <c r="E25" s="351"/>
      <c r="F25" s="353"/>
      <c r="G25" s="329"/>
      <c r="H25" s="342"/>
      <c r="I25" s="333"/>
      <c r="L25" s="36"/>
      <c r="Q25" s="14"/>
    </row>
    <row r="26" spans="2:17" x14ac:dyDescent="0.2">
      <c r="B26" s="91">
        <f t="shared" si="3"/>
        <v>59</v>
      </c>
      <c r="C26" s="93">
        <v>9613</v>
      </c>
      <c r="D26" s="348"/>
      <c r="E26" s="351"/>
      <c r="F26" s="353"/>
      <c r="G26" s="329"/>
      <c r="H26" s="342"/>
      <c r="I26" s="333"/>
      <c r="L26" s="36"/>
      <c r="N26" s="128" t="s">
        <v>78</v>
      </c>
      <c r="O26" s="125">
        <f>SUM(O8:O25)</f>
        <v>340</v>
      </c>
      <c r="P26" s="15">
        <f>SUM(P8:P25)</f>
        <v>450</v>
      </c>
      <c r="Q26" s="38">
        <f>SUM(Q8:Q25)</f>
        <v>365</v>
      </c>
    </row>
    <row r="27" spans="2:17" x14ac:dyDescent="0.2">
      <c r="B27" s="91">
        <f t="shared" si="3"/>
        <v>64</v>
      </c>
      <c r="C27" s="93">
        <v>9677</v>
      </c>
      <c r="D27" s="348"/>
      <c r="E27" s="351"/>
      <c r="F27" s="353"/>
      <c r="G27" s="329"/>
      <c r="H27" s="342"/>
      <c r="I27" s="333"/>
      <c r="L27" s="36"/>
      <c r="N27" s="128" t="s">
        <v>79</v>
      </c>
      <c r="O27" s="128">
        <f>O5-O26</f>
        <v>310</v>
      </c>
      <c r="P27" s="14">
        <f>P5-P26</f>
        <v>200</v>
      </c>
      <c r="Q27" s="14">
        <f>Q5-Q26</f>
        <v>385</v>
      </c>
    </row>
    <row r="28" spans="2:17" x14ac:dyDescent="0.2">
      <c r="B28" s="91">
        <f t="shared" si="3"/>
        <v>67</v>
      </c>
      <c r="C28" s="93">
        <v>9744</v>
      </c>
      <c r="D28" s="348"/>
      <c r="E28" s="351"/>
      <c r="F28" s="353"/>
      <c r="G28" s="329"/>
      <c r="H28" s="342"/>
      <c r="I28" s="333"/>
      <c r="L28" s="36"/>
      <c r="Q28" s="14"/>
    </row>
    <row r="29" spans="2:17" x14ac:dyDescent="0.2">
      <c r="B29" s="91">
        <f t="shared" si="3"/>
        <v>59</v>
      </c>
      <c r="C29" s="93">
        <v>9803</v>
      </c>
      <c r="D29" s="348"/>
      <c r="E29" s="351"/>
      <c r="F29" s="353"/>
      <c r="G29" s="329"/>
      <c r="H29" s="342"/>
      <c r="I29" s="333"/>
      <c r="L29" s="36"/>
      <c r="Q29" s="14"/>
    </row>
    <row r="30" spans="2:17" x14ac:dyDescent="0.2">
      <c r="B30" s="91">
        <f>C30-C29</f>
        <v>61</v>
      </c>
      <c r="C30" s="93">
        <v>9864</v>
      </c>
      <c r="D30" s="348"/>
      <c r="E30" s="351"/>
      <c r="F30" s="353"/>
      <c r="G30" s="329"/>
      <c r="H30" s="342"/>
      <c r="I30" s="333"/>
      <c r="L30" s="36"/>
    </row>
    <row r="31" spans="2:17" x14ac:dyDescent="0.2">
      <c r="B31" s="91">
        <f>C31-C30</f>
        <v>65</v>
      </c>
      <c r="C31" s="93">
        <v>9929</v>
      </c>
      <c r="D31" s="348"/>
      <c r="E31" s="351"/>
      <c r="F31" s="353"/>
      <c r="G31" s="329"/>
      <c r="H31" s="342"/>
      <c r="I31" s="333"/>
      <c r="L31" s="36"/>
    </row>
    <row r="32" spans="2:17" x14ac:dyDescent="0.2">
      <c r="B32" s="91">
        <f>C32-C31</f>
        <v>58</v>
      </c>
      <c r="C32" s="93">
        <v>9987</v>
      </c>
      <c r="D32" s="348"/>
      <c r="E32" s="351"/>
      <c r="F32" s="353"/>
      <c r="G32" s="329"/>
      <c r="H32" s="342"/>
      <c r="I32" s="333"/>
      <c r="L32" s="36"/>
    </row>
    <row r="33" spans="1:17" x14ac:dyDescent="0.2">
      <c r="B33" s="91">
        <f>13+C33</f>
        <v>65</v>
      </c>
      <c r="C33" s="93">
        <v>52</v>
      </c>
      <c r="D33" s="348"/>
      <c r="E33" s="351"/>
      <c r="F33" s="353"/>
      <c r="G33" s="329"/>
      <c r="H33" s="342"/>
      <c r="I33" s="333"/>
      <c r="L33" s="36"/>
    </row>
    <row r="34" spans="1:17" x14ac:dyDescent="0.2">
      <c r="B34" s="91">
        <f>C34-C33</f>
        <v>64</v>
      </c>
      <c r="C34" s="93">
        <v>116</v>
      </c>
      <c r="D34" s="348"/>
      <c r="E34" s="351"/>
      <c r="F34" s="353"/>
      <c r="G34" s="329"/>
      <c r="H34" s="342"/>
      <c r="I34" s="334"/>
      <c r="L34" s="36"/>
    </row>
    <row r="35" spans="1:17" x14ac:dyDescent="0.2">
      <c r="B35" s="91">
        <f>123/2</f>
        <v>61.5</v>
      </c>
      <c r="C35" s="93">
        <f>C34+B35</f>
        <v>177.5</v>
      </c>
      <c r="G35" s="125">
        <f>G5*G4</f>
        <v>487.26000000000005</v>
      </c>
      <c r="H35" s="111">
        <f>H5*H4</f>
        <v>1055.45</v>
      </c>
      <c r="I35" s="129">
        <f>I5*I4</f>
        <v>6734.2491000000009</v>
      </c>
      <c r="L35" s="36"/>
      <c r="N35"/>
      <c r="O35"/>
      <c r="P35"/>
    </row>
    <row r="36" spans="1:17" x14ac:dyDescent="0.2">
      <c r="A36" s="110"/>
      <c r="B36" s="91">
        <f>C36-C35</f>
        <v>29.5</v>
      </c>
      <c r="C36" s="93">
        <v>207</v>
      </c>
      <c r="F36" s="128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SUM(B5:B36)</f>
        <v>1923</v>
      </c>
      <c r="C37" s="121">
        <f>C5+B37</f>
        <v>10207</v>
      </c>
      <c r="F37" s="128" t="s">
        <v>11</v>
      </c>
      <c r="H37" s="359">
        <f>H36+G35+H35+I35</f>
        <v>8315.1791000000012</v>
      </c>
      <c r="I37" s="359"/>
      <c r="L37" s="36"/>
      <c r="N37"/>
      <c r="O37"/>
      <c r="P37"/>
    </row>
    <row r="38" spans="1:17" x14ac:dyDescent="0.2">
      <c r="F38" s="128" t="s">
        <v>12</v>
      </c>
      <c r="H38" s="111">
        <f>294.6+273.19</f>
        <v>567.79</v>
      </c>
      <c r="I38" s="113">
        <f>7/100</f>
        <v>7.0000000000000007E-2</v>
      </c>
      <c r="N38"/>
      <c r="O38"/>
      <c r="P38"/>
    </row>
    <row r="39" spans="1:17" x14ac:dyDescent="0.2">
      <c r="F39" s="128" t="s">
        <v>10</v>
      </c>
      <c r="H39" s="360">
        <f>(H37-H38)*I38</f>
        <v>542.31723700000009</v>
      </c>
      <c r="I39" s="360"/>
      <c r="N39"/>
      <c r="O39"/>
      <c r="P39"/>
    </row>
    <row r="40" spans="1:17" x14ac:dyDescent="0.2">
      <c r="F40" s="128" t="s">
        <v>13</v>
      </c>
      <c r="H40" s="355">
        <f>H37+H39-H38</f>
        <v>8289.7063369999996</v>
      </c>
      <c r="I40" s="355"/>
      <c r="N40"/>
      <c r="O40"/>
      <c r="P40"/>
    </row>
    <row r="41" spans="1:17" x14ac:dyDescent="0.2">
      <c r="F41" s="125" t="s">
        <v>120</v>
      </c>
      <c r="G41" s="125"/>
      <c r="H41" s="355">
        <v>0</v>
      </c>
      <c r="I41" s="355"/>
      <c r="J41" s="128"/>
      <c r="K41" s="2"/>
      <c r="N41"/>
      <c r="O41"/>
      <c r="P41"/>
    </row>
    <row r="44" spans="1:17" x14ac:dyDescent="0.2">
      <c r="M44" s="6"/>
      <c r="P44" s="128"/>
      <c r="Q44" s="14"/>
    </row>
  </sheetData>
  <mergeCells count="13">
    <mergeCell ref="H36:I36"/>
    <mergeCell ref="H37:I37"/>
    <mergeCell ref="H39:I39"/>
    <mergeCell ref="H40:I40"/>
    <mergeCell ref="H41:I41"/>
    <mergeCell ref="D2:I2"/>
    <mergeCell ref="O4:Q4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4088-1129-4044-9C29-E66E70B2A300}">
  <dimension ref="A1:Q44"/>
  <sheetViews>
    <sheetView workbookViewId="0">
      <selection activeCell="E43" sqref="A1:XFD1048576"/>
    </sheetView>
  </sheetViews>
  <sheetFormatPr defaultRowHeight="14.25" x14ac:dyDescent="0.2"/>
  <cols>
    <col min="1" max="1" width="20.125" style="22" customWidth="1"/>
    <col min="2" max="2" width="6" style="90" bestFit="1" customWidth="1"/>
    <col min="3" max="3" width="11" style="133" customWidth="1"/>
    <col min="4" max="4" width="9" style="137"/>
    <col min="5" max="6" width="13" style="137" customWidth="1"/>
    <col min="7" max="7" width="12.5" style="137" customWidth="1"/>
    <col min="8" max="9" width="12.375" style="137" customWidth="1"/>
    <col min="10" max="10" width="50.25" style="2" bestFit="1" customWidth="1"/>
    <col min="11" max="11" width="7.25" style="137" bestFit="1" customWidth="1"/>
    <col min="12" max="12" width="16.25" style="137" customWidth="1"/>
    <col min="13" max="15" width="9" style="137"/>
    <col min="16" max="16" width="9" style="14"/>
  </cols>
  <sheetData>
    <row r="1" spans="1:17" ht="15" thickBot="1" x14ac:dyDescent="0.25"/>
    <row r="2" spans="1:17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7" ht="15" thickTop="1" x14ac:dyDescent="0.2">
      <c r="E3" s="37"/>
      <c r="F3" s="37"/>
      <c r="G3" s="137" t="s">
        <v>67</v>
      </c>
      <c r="H3" s="137" t="s">
        <v>68</v>
      </c>
      <c r="I3" s="137" t="s">
        <v>69</v>
      </c>
    </row>
    <row r="4" spans="1:17" x14ac:dyDescent="0.2">
      <c r="A4" s="22" t="s">
        <v>17</v>
      </c>
      <c r="B4" s="90" t="s">
        <v>8</v>
      </c>
      <c r="C4" s="133" t="s">
        <v>16</v>
      </c>
      <c r="D4" s="137" t="s">
        <v>6</v>
      </c>
      <c r="E4" s="137" t="s">
        <v>7</v>
      </c>
      <c r="F4" s="137" t="s">
        <v>14</v>
      </c>
      <c r="G4" s="137">
        <f>L5</f>
        <v>3.2484000000000002</v>
      </c>
      <c r="H4" s="137">
        <f>L6</f>
        <v>4.2218</v>
      </c>
      <c r="I4" s="137">
        <v>4.4217000000000004</v>
      </c>
      <c r="L4" s="137" t="s">
        <v>4</v>
      </c>
      <c r="O4" s="351" t="s">
        <v>18</v>
      </c>
      <c r="P4" s="351"/>
      <c r="Q4" s="351"/>
    </row>
    <row r="5" spans="1:17" x14ac:dyDescent="0.2">
      <c r="C5" s="93">
        <v>207</v>
      </c>
      <c r="D5" s="361">
        <f>C5</f>
        <v>207</v>
      </c>
      <c r="E5" s="356">
        <f>C37-D5</f>
        <v>1886</v>
      </c>
      <c r="F5" s="353">
        <v>90</v>
      </c>
      <c r="G5" s="329">
        <v>150</v>
      </c>
      <c r="H5" s="342">
        <v>250</v>
      </c>
      <c r="I5" s="357">
        <f>E5-G5-H5</f>
        <v>1486</v>
      </c>
      <c r="J5" s="2" t="s">
        <v>0</v>
      </c>
      <c r="K5" s="137" t="s">
        <v>1</v>
      </c>
      <c r="L5" s="137">
        <v>3.2484000000000002</v>
      </c>
      <c r="O5" s="135">
        <v>650</v>
      </c>
      <c r="P5" s="136">
        <v>650</v>
      </c>
      <c r="Q5" s="134">
        <v>750</v>
      </c>
    </row>
    <row r="6" spans="1:17" x14ac:dyDescent="0.2">
      <c r="A6" s="22">
        <v>23.26</v>
      </c>
      <c r="B6" s="91">
        <f t="shared" ref="B6:B11" si="0">C6-C5</f>
        <v>95</v>
      </c>
      <c r="C6" s="93">
        <v>302</v>
      </c>
      <c r="D6" s="348"/>
      <c r="E6" s="351"/>
      <c r="F6" s="353"/>
      <c r="G6" s="329"/>
      <c r="H6" s="342"/>
      <c r="I6" s="333"/>
      <c r="J6" s="2" t="s">
        <v>2</v>
      </c>
      <c r="K6" s="137" t="s">
        <v>1</v>
      </c>
      <c r="L6" s="137">
        <v>4.2218</v>
      </c>
      <c r="N6" s="137" t="s">
        <v>19</v>
      </c>
      <c r="O6" s="137">
        <v>65</v>
      </c>
      <c r="P6"/>
    </row>
    <row r="7" spans="1:17" x14ac:dyDescent="0.2">
      <c r="A7" s="22">
        <v>1.08</v>
      </c>
      <c r="B7" s="91">
        <f t="shared" si="0"/>
        <v>69</v>
      </c>
      <c r="C7" s="93">
        <v>371</v>
      </c>
      <c r="D7" s="348"/>
      <c r="E7" s="351"/>
      <c r="F7" s="353"/>
      <c r="G7" s="329"/>
      <c r="H7" s="342"/>
      <c r="I7" s="333"/>
      <c r="J7" s="2" t="s">
        <v>3</v>
      </c>
      <c r="K7" s="137" t="s">
        <v>1</v>
      </c>
      <c r="L7" s="137">
        <v>4.4217000000000004</v>
      </c>
      <c r="N7" s="137" t="s">
        <v>21</v>
      </c>
      <c r="O7" s="137">
        <v>200</v>
      </c>
      <c r="P7"/>
    </row>
    <row r="8" spans="1:17" x14ac:dyDescent="0.2">
      <c r="B8" s="91">
        <f t="shared" si="0"/>
        <v>60</v>
      </c>
      <c r="C8" s="93">
        <v>431</v>
      </c>
      <c r="D8" s="348"/>
      <c r="E8" s="351"/>
      <c r="F8" s="353"/>
      <c r="G8" s="329"/>
      <c r="H8" s="342"/>
      <c r="I8" s="333"/>
      <c r="J8" s="2" t="s">
        <v>5</v>
      </c>
      <c r="L8" s="137">
        <v>38.22</v>
      </c>
      <c r="M8" s="137" t="s">
        <v>72</v>
      </c>
      <c r="N8" s="137">
        <v>2070</v>
      </c>
      <c r="Q8" s="14">
        <v>215</v>
      </c>
    </row>
    <row r="9" spans="1:17" x14ac:dyDescent="0.2">
      <c r="A9" s="89"/>
      <c r="B9" s="91">
        <f t="shared" si="0"/>
        <v>65</v>
      </c>
      <c r="C9" s="93">
        <v>496</v>
      </c>
      <c r="D9" s="348"/>
      <c r="E9" s="351"/>
      <c r="F9" s="353"/>
      <c r="G9" s="329"/>
      <c r="H9" s="342"/>
      <c r="I9" s="333"/>
      <c r="M9" s="137" t="s">
        <v>74</v>
      </c>
      <c r="N9" s="137" t="s">
        <v>15</v>
      </c>
      <c r="P9" s="14">
        <v>90</v>
      </c>
      <c r="Q9" s="14"/>
    </row>
    <row r="10" spans="1:17" x14ac:dyDescent="0.2">
      <c r="A10" s="89" t="s">
        <v>125</v>
      </c>
      <c r="B10" s="91">
        <f t="shared" si="0"/>
        <v>65</v>
      </c>
      <c r="C10" s="93">
        <v>561</v>
      </c>
      <c r="D10" s="348"/>
      <c r="E10" s="351"/>
      <c r="F10" s="353"/>
      <c r="G10" s="329"/>
      <c r="H10" s="342"/>
      <c r="I10" s="333"/>
      <c r="M10" s="137" t="s">
        <v>74</v>
      </c>
      <c r="N10" s="137" t="s">
        <v>15</v>
      </c>
      <c r="P10" s="14">
        <v>90</v>
      </c>
      <c r="Q10" s="14"/>
    </row>
    <row r="11" spans="1:17" x14ac:dyDescent="0.2">
      <c r="A11" s="94"/>
      <c r="B11" s="91">
        <f t="shared" si="0"/>
        <v>63</v>
      </c>
      <c r="C11" s="93">
        <v>624</v>
      </c>
      <c r="D11" s="348"/>
      <c r="E11" s="351"/>
      <c r="F11" s="353"/>
      <c r="G11" s="329"/>
      <c r="H11" s="342"/>
      <c r="I11" s="333"/>
      <c r="M11" s="137" t="s">
        <v>77</v>
      </c>
      <c r="N11" s="137" t="s">
        <v>15</v>
      </c>
      <c r="O11" s="137">
        <v>90</v>
      </c>
      <c r="Q11" s="14"/>
    </row>
    <row r="12" spans="1:17" x14ac:dyDescent="0.2">
      <c r="B12" s="91">
        <f t="shared" ref="B12:B17" si="1">C12-C11</f>
        <v>72</v>
      </c>
      <c r="C12" s="93">
        <v>696</v>
      </c>
      <c r="D12" s="348"/>
      <c r="E12" s="351"/>
      <c r="F12" s="353"/>
      <c r="G12" s="329"/>
      <c r="H12" s="342"/>
      <c r="I12" s="333"/>
      <c r="M12" s="137" t="s">
        <v>77</v>
      </c>
      <c r="N12" s="137" t="s">
        <v>15</v>
      </c>
      <c r="O12" s="137">
        <v>90</v>
      </c>
      <c r="Q12" s="14"/>
    </row>
    <row r="13" spans="1:17" x14ac:dyDescent="0.2">
      <c r="B13" s="91">
        <f t="shared" si="1"/>
        <v>58</v>
      </c>
      <c r="C13" s="133">
        <v>754</v>
      </c>
      <c r="D13" s="348"/>
      <c r="E13" s="351"/>
      <c r="F13" s="353"/>
      <c r="G13" s="329"/>
      <c r="H13" s="342"/>
      <c r="I13" s="333"/>
      <c r="M13" s="137" t="s">
        <v>72</v>
      </c>
      <c r="N13" s="137" t="s">
        <v>15</v>
      </c>
      <c r="P13" s="14">
        <v>90</v>
      </c>
      <c r="Q13" s="14"/>
    </row>
    <row r="14" spans="1:17" x14ac:dyDescent="0.2">
      <c r="B14" s="91">
        <f t="shared" si="1"/>
        <v>67</v>
      </c>
      <c r="C14" s="93">
        <v>821</v>
      </c>
      <c r="D14" s="348"/>
      <c r="E14" s="351"/>
      <c r="F14" s="353"/>
      <c r="G14" s="329"/>
      <c r="H14" s="342"/>
      <c r="I14" s="333"/>
      <c r="L14" s="36"/>
      <c r="M14" s="137" t="s">
        <v>75</v>
      </c>
      <c r="N14" s="137" t="s">
        <v>15</v>
      </c>
      <c r="P14" s="14">
        <v>90</v>
      </c>
    </row>
    <row r="15" spans="1:17" x14ac:dyDescent="0.2">
      <c r="B15" s="91">
        <f t="shared" si="1"/>
        <v>65</v>
      </c>
      <c r="C15" s="93">
        <v>886</v>
      </c>
      <c r="D15" s="348"/>
      <c r="E15" s="351"/>
      <c r="F15" s="353"/>
      <c r="G15" s="329"/>
      <c r="H15" s="342"/>
      <c r="I15" s="333"/>
      <c r="J15" s="2" t="s">
        <v>22</v>
      </c>
      <c r="L15" s="36"/>
      <c r="M15" s="137" t="s">
        <v>73</v>
      </c>
      <c r="N15" s="137" t="s">
        <v>70</v>
      </c>
      <c r="P15" s="14">
        <v>90</v>
      </c>
      <c r="Q15" s="14"/>
    </row>
    <row r="16" spans="1:17" x14ac:dyDescent="0.2">
      <c r="B16" s="91">
        <f t="shared" si="1"/>
        <v>64</v>
      </c>
      <c r="C16" s="93">
        <v>950</v>
      </c>
      <c r="D16" s="348"/>
      <c r="E16" s="351"/>
      <c r="F16" s="353"/>
      <c r="G16" s="329"/>
      <c r="H16" s="342"/>
      <c r="I16" s="333"/>
      <c r="J16" s="2" t="s">
        <v>23</v>
      </c>
      <c r="L16" s="36"/>
      <c r="M16" s="137" t="s">
        <v>75</v>
      </c>
      <c r="N16" s="137">
        <v>1070</v>
      </c>
      <c r="Q16" s="14">
        <v>150</v>
      </c>
    </row>
    <row r="17" spans="1:17" x14ac:dyDescent="0.2">
      <c r="B17" s="91">
        <f t="shared" si="1"/>
        <v>63</v>
      </c>
      <c r="C17" s="93">
        <v>1013</v>
      </c>
      <c r="D17" s="348"/>
      <c r="E17" s="351"/>
      <c r="F17" s="353"/>
      <c r="G17" s="329"/>
      <c r="H17" s="342"/>
      <c r="I17" s="333"/>
      <c r="J17" s="2" t="s">
        <v>24</v>
      </c>
      <c r="L17" s="36"/>
      <c r="M17" s="137" t="s">
        <v>76</v>
      </c>
      <c r="N17" s="137" t="s">
        <v>20</v>
      </c>
      <c r="O17" s="137">
        <v>60</v>
      </c>
      <c r="Q17" s="14"/>
    </row>
    <row r="18" spans="1:17" x14ac:dyDescent="0.2">
      <c r="B18" s="91">
        <f t="shared" ref="B18:B23" si="2">C18-C17</f>
        <v>62</v>
      </c>
      <c r="C18" s="93">
        <v>1075</v>
      </c>
      <c r="D18" s="348"/>
      <c r="E18" s="351"/>
      <c r="F18" s="353"/>
      <c r="G18" s="329"/>
      <c r="H18" s="342"/>
      <c r="I18" s="333"/>
      <c r="J18" s="2" t="s">
        <v>25</v>
      </c>
      <c r="L18" s="36"/>
      <c r="O18" s="137">
        <v>100</v>
      </c>
    </row>
    <row r="19" spans="1:17" x14ac:dyDescent="0.2">
      <c r="A19" s="22">
        <v>0.59</v>
      </c>
      <c r="B19" s="91">
        <f t="shared" si="2"/>
        <v>69</v>
      </c>
      <c r="C19" s="93">
        <v>1144</v>
      </c>
      <c r="D19" s="348"/>
      <c r="E19" s="351"/>
      <c r="F19" s="353"/>
      <c r="G19" s="329"/>
      <c r="H19" s="342"/>
      <c r="I19" s="333"/>
      <c r="J19" s="2" t="s">
        <v>26</v>
      </c>
      <c r="L19" s="36"/>
      <c r="Q19" s="14"/>
    </row>
    <row r="20" spans="1:17" x14ac:dyDescent="0.2">
      <c r="A20" s="22">
        <v>22.07</v>
      </c>
      <c r="B20" s="91">
        <f t="shared" si="2"/>
        <v>47</v>
      </c>
      <c r="C20" s="93">
        <v>1191</v>
      </c>
      <c r="D20" s="348"/>
      <c r="E20" s="351"/>
      <c r="F20" s="353"/>
      <c r="G20" s="329"/>
      <c r="H20" s="342"/>
      <c r="I20" s="333"/>
      <c r="J20" s="2" t="s">
        <v>27</v>
      </c>
      <c r="L20" s="36"/>
    </row>
    <row r="21" spans="1:17" x14ac:dyDescent="0.2">
      <c r="A21" s="22">
        <v>22.56</v>
      </c>
      <c r="B21" s="91">
        <f t="shared" si="2"/>
        <v>55</v>
      </c>
      <c r="C21" s="93">
        <v>1246</v>
      </c>
      <c r="D21" s="348"/>
      <c r="E21" s="351"/>
      <c r="F21" s="353"/>
      <c r="G21" s="329"/>
      <c r="H21" s="342"/>
      <c r="I21" s="333"/>
      <c r="J21" s="2" t="s">
        <v>28</v>
      </c>
      <c r="L21" s="36"/>
      <c r="Q21" s="14"/>
    </row>
    <row r="22" spans="1:17" x14ac:dyDescent="0.2">
      <c r="A22" s="22">
        <v>23.43</v>
      </c>
      <c r="B22" s="91">
        <f t="shared" si="2"/>
        <v>56</v>
      </c>
      <c r="C22" s="93">
        <v>1302</v>
      </c>
      <c r="D22" s="348"/>
      <c r="E22" s="351"/>
      <c r="F22" s="353"/>
      <c r="G22" s="329"/>
      <c r="H22" s="342"/>
      <c r="I22" s="333"/>
      <c r="L22" s="36"/>
    </row>
    <row r="23" spans="1:17" x14ac:dyDescent="0.2">
      <c r="A23" s="22">
        <v>23.07</v>
      </c>
      <c r="B23" s="91">
        <f t="shared" si="2"/>
        <v>63</v>
      </c>
      <c r="C23" s="93">
        <v>1365</v>
      </c>
      <c r="D23" s="348"/>
      <c r="E23" s="351"/>
      <c r="F23" s="353"/>
      <c r="G23" s="329"/>
      <c r="H23" s="342"/>
      <c r="I23" s="333"/>
      <c r="L23" s="36"/>
      <c r="Q23" s="14"/>
    </row>
    <row r="24" spans="1:17" x14ac:dyDescent="0.2">
      <c r="A24" s="22">
        <v>23.28</v>
      </c>
      <c r="B24" s="91">
        <f t="shared" ref="B24:B29" si="3">C24-C23</f>
        <v>64</v>
      </c>
      <c r="C24" s="93">
        <v>1429</v>
      </c>
      <c r="D24" s="348"/>
      <c r="E24" s="351"/>
      <c r="F24" s="353"/>
      <c r="G24" s="329"/>
      <c r="H24" s="342"/>
      <c r="I24" s="333"/>
      <c r="L24" s="36"/>
      <c r="Q24" s="14"/>
    </row>
    <row r="25" spans="1:17" x14ac:dyDescent="0.2">
      <c r="A25" s="22">
        <v>23.27</v>
      </c>
      <c r="B25" s="91">
        <f t="shared" si="3"/>
        <v>65</v>
      </c>
      <c r="C25" s="93">
        <v>1494</v>
      </c>
      <c r="D25" s="348"/>
      <c r="E25" s="351"/>
      <c r="F25" s="353"/>
      <c r="G25" s="329"/>
      <c r="H25" s="342"/>
      <c r="I25" s="333"/>
      <c r="L25" s="36"/>
      <c r="Q25" s="14"/>
    </row>
    <row r="26" spans="1:17" x14ac:dyDescent="0.2">
      <c r="A26" s="22">
        <v>22.24</v>
      </c>
      <c r="B26" s="91">
        <f t="shared" si="3"/>
        <v>61</v>
      </c>
      <c r="C26" s="93">
        <v>1555</v>
      </c>
      <c r="D26" s="348"/>
      <c r="E26" s="351"/>
      <c r="F26" s="353"/>
      <c r="G26" s="329"/>
      <c r="H26" s="342"/>
      <c r="I26" s="333"/>
      <c r="L26" s="36"/>
      <c r="N26" s="137" t="s">
        <v>78</v>
      </c>
      <c r="O26" s="135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A27" s="22">
        <v>23.57</v>
      </c>
      <c r="B27" s="91">
        <f t="shared" si="3"/>
        <v>71</v>
      </c>
      <c r="C27" s="93">
        <v>1626</v>
      </c>
      <c r="D27" s="348"/>
      <c r="E27" s="351"/>
      <c r="F27" s="353"/>
      <c r="G27" s="329"/>
      <c r="H27" s="342"/>
      <c r="I27" s="333"/>
      <c r="L27" s="36"/>
      <c r="N27" s="137" t="s">
        <v>79</v>
      </c>
      <c r="O27" s="137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A28" s="22">
        <v>23.4</v>
      </c>
      <c r="B28" s="91">
        <f t="shared" si="3"/>
        <v>55</v>
      </c>
      <c r="C28" s="93">
        <v>1681</v>
      </c>
      <c r="D28" s="348"/>
      <c r="E28" s="351"/>
      <c r="F28" s="353"/>
      <c r="G28" s="329"/>
      <c r="H28" s="342"/>
      <c r="I28" s="333"/>
      <c r="L28" s="36"/>
      <c r="Q28" s="14"/>
    </row>
    <row r="29" spans="1:17" x14ac:dyDescent="0.2">
      <c r="A29" s="22">
        <v>23.18</v>
      </c>
      <c r="B29" s="91">
        <f t="shared" si="3"/>
        <v>61</v>
      </c>
      <c r="C29" s="93">
        <v>1742</v>
      </c>
      <c r="D29" s="348"/>
      <c r="E29" s="351"/>
      <c r="F29" s="353"/>
      <c r="G29" s="329"/>
      <c r="H29" s="342"/>
      <c r="I29" s="333"/>
      <c r="L29" s="36"/>
      <c r="Q29" s="14"/>
    </row>
    <row r="30" spans="1:17" x14ac:dyDescent="0.2">
      <c r="A30" s="22">
        <v>23.21</v>
      </c>
      <c r="B30" s="91">
        <f t="shared" ref="B30:B35" si="4">C30-C29</f>
        <v>62</v>
      </c>
      <c r="C30" s="93">
        <v>1804</v>
      </c>
      <c r="D30" s="348"/>
      <c r="E30" s="351"/>
      <c r="F30" s="353"/>
      <c r="G30" s="329"/>
      <c r="H30" s="342"/>
      <c r="I30" s="333"/>
      <c r="L30" s="36"/>
    </row>
    <row r="31" spans="1:17" x14ac:dyDescent="0.2">
      <c r="A31" s="22">
        <v>23.04</v>
      </c>
      <c r="B31" s="91">
        <f t="shared" si="4"/>
        <v>61</v>
      </c>
      <c r="C31" s="93">
        <v>1865</v>
      </c>
      <c r="D31" s="348"/>
      <c r="E31" s="351"/>
      <c r="F31" s="353"/>
      <c r="G31" s="329"/>
      <c r="H31" s="342"/>
      <c r="I31" s="333"/>
      <c r="L31" s="36"/>
    </row>
    <row r="32" spans="1:17" x14ac:dyDescent="0.2">
      <c r="A32" s="22">
        <v>23.31</v>
      </c>
      <c r="B32" s="91">
        <f t="shared" si="4"/>
        <v>66</v>
      </c>
      <c r="C32" s="93">
        <v>1931</v>
      </c>
      <c r="D32" s="348"/>
      <c r="E32" s="351"/>
      <c r="F32" s="353"/>
      <c r="G32" s="329"/>
      <c r="H32" s="342"/>
      <c r="I32" s="333"/>
      <c r="L32" s="36"/>
    </row>
    <row r="33" spans="1:17" x14ac:dyDescent="0.2">
      <c r="A33" s="22">
        <v>0.16</v>
      </c>
      <c r="B33" s="91">
        <f t="shared" si="4"/>
        <v>66</v>
      </c>
      <c r="C33" s="93">
        <v>1997</v>
      </c>
      <c r="D33" s="348"/>
      <c r="E33" s="351"/>
      <c r="F33" s="353"/>
      <c r="G33" s="329"/>
      <c r="H33" s="342"/>
      <c r="I33" s="333"/>
      <c r="L33" s="36"/>
    </row>
    <row r="34" spans="1:17" x14ac:dyDescent="0.2">
      <c r="A34" s="22">
        <v>22.35</v>
      </c>
      <c r="B34" s="91">
        <f t="shared" si="4"/>
        <v>61</v>
      </c>
      <c r="C34" s="93">
        <v>2058</v>
      </c>
      <c r="D34" s="348"/>
      <c r="E34" s="351"/>
      <c r="F34" s="353"/>
      <c r="G34" s="329"/>
      <c r="H34" s="342"/>
      <c r="I34" s="334"/>
      <c r="L34" s="36"/>
    </row>
    <row r="35" spans="1:17" x14ac:dyDescent="0.2">
      <c r="A35" s="22">
        <v>11.06</v>
      </c>
      <c r="B35" s="91">
        <f t="shared" si="4"/>
        <v>35</v>
      </c>
      <c r="C35" s="93">
        <v>2093</v>
      </c>
      <c r="G35" s="135">
        <f>G5*G4</f>
        <v>487.26000000000005</v>
      </c>
      <c r="H35" s="111">
        <f>H5*H4</f>
        <v>1055.45</v>
      </c>
      <c r="I35" s="138">
        <f>I5*I4</f>
        <v>6570.646200000001</v>
      </c>
      <c r="L35" s="36"/>
      <c r="N35"/>
      <c r="O35"/>
      <c r="P35"/>
    </row>
    <row r="36" spans="1:17" x14ac:dyDescent="0.2">
      <c r="A36" s="110"/>
      <c r="B36" s="91"/>
      <c r="C36" s="93"/>
      <c r="F36" s="137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SUM(B5:B36)</f>
        <v>1886</v>
      </c>
      <c r="C37" s="121">
        <f>C5+B37</f>
        <v>2093</v>
      </c>
      <c r="F37" s="137" t="s">
        <v>11</v>
      </c>
      <c r="H37" s="359">
        <f>H36+G35+H35+I35</f>
        <v>8151.5762000000013</v>
      </c>
      <c r="I37" s="359"/>
      <c r="L37" s="36"/>
      <c r="N37"/>
      <c r="O37"/>
      <c r="P37"/>
    </row>
    <row r="38" spans="1:17" x14ac:dyDescent="0.2">
      <c r="F38" s="137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37" t="s">
        <v>10</v>
      </c>
      <c r="H39" s="360">
        <f>(H37-H38)*I38</f>
        <v>563.05033400000013</v>
      </c>
      <c r="I39" s="360"/>
      <c r="N39"/>
      <c r="O39"/>
      <c r="P39"/>
    </row>
    <row r="40" spans="1:17" x14ac:dyDescent="0.2">
      <c r="F40" s="137" t="s">
        <v>13</v>
      </c>
      <c r="H40" s="355">
        <f>H37+H39-H38</f>
        <v>8606.6265340000009</v>
      </c>
      <c r="I40" s="355"/>
      <c r="N40"/>
      <c r="O40"/>
      <c r="P40"/>
    </row>
    <row r="41" spans="1:17" x14ac:dyDescent="0.2">
      <c r="F41" s="135" t="s">
        <v>120</v>
      </c>
      <c r="G41" s="135"/>
      <c r="H41" s="355">
        <v>0</v>
      </c>
      <c r="I41" s="355"/>
      <c r="J41" s="137"/>
      <c r="K41" s="2"/>
      <c r="N41"/>
      <c r="O41"/>
      <c r="P41"/>
    </row>
    <row r="44" spans="1:17" x14ac:dyDescent="0.2">
      <c r="M44" s="6"/>
      <c r="P44" s="137"/>
      <c r="Q44" s="14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714C-3249-4992-95FA-4C5A3FA8BCA3}">
  <dimension ref="A1:Q44"/>
  <sheetViews>
    <sheetView topLeftCell="A11" workbookViewId="0">
      <selection activeCell="E44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41" customWidth="1"/>
    <col min="4" max="4" width="9" style="145"/>
    <col min="5" max="6" width="13" style="145" customWidth="1"/>
    <col min="7" max="7" width="12.5" style="145" customWidth="1"/>
    <col min="8" max="9" width="12.375" style="145" customWidth="1"/>
    <col min="10" max="10" width="50.25" style="2" bestFit="1" customWidth="1"/>
    <col min="11" max="11" width="7.25" style="145" bestFit="1" customWidth="1"/>
    <col min="12" max="12" width="16.25" style="145" customWidth="1"/>
    <col min="13" max="15" width="9" style="145"/>
    <col min="16" max="16" width="9" style="14"/>
  </cols>
  <sheetData>
    <row r="1" spans="1:17" ht="15" thickBot="1" x14ac:dyDescent="0.25"/>
    <row r="2" spans="1:17" ht="15.75" thickTop="1" thickBot="1" x14ac:dyDescent="0.25">
      <c r="D2" s="352" t="s">
        <v>8</v>
      </c>
      <c r="E2" s="352"/>
      <c r="F2" s="352"/>
      <c r="G2" s="352"/>
      <c r="H2" s="352"/>
      <c r="I2" s="352"/>
    </row>
    <row r="3" spans="1:17" ht="15" thickTop="1" x14ac:dyDescent="0.2">
      <c r="E3" s="37"/>
      <c r="F3" s="37"/>
      <c r="G3" s="145" t="s">
        <v>67</v>
      </c>
      <c r="H3" s="145" t="s">
        <v>68</v>
      </c>
      <c r="I3" s="145" t="s">
        <v>69</v>
      </c>
    </row>
    <row r="4" spans="1:17" x14ac:dyDescent="0.2">
      <c r="A4" s="22" t="s">
        <v>17</v>
      </c>
      <c r="B4" s="90" t="s">
        <v>8</v>
      </c>
      <c r="C4" s="141" t="s">
        <v>16</v>
      </c>
      <c r="D4" s="145" t="s">
        <v>6</v>
      </c>
      <c r="E4" s="145" t="s">
        <v>7</v>
      </c>
      <c r="F4" s="145" t="s">
        <v>14</v>
      </c>
      <c r="G4" s="145">
        <f>L5</f>
        <v>3.2484000000000002</v>
      </c>
      <c r="H4" s="145">
        <f>L6</f>
        <v>4.2218</v>
      </c>
      <c r="I4" s="145">
        <v>4.4217000000000004</v>
      </c>
      <c r="L4" s="145" t="s">
        <v>4</v>
      </c>
      <c r="O4" s="351" t="s">
        <v>18</v>
      </c>
      <c r="P4" s="351"/>
      <c r="Q4" s="351"/>
    </row>
    <row r="5" spans="1:17" x14ac:dyDescent="0.2">
      <c r="C5" s="93">
        <v>2093</v>
      </c>
      <c r="D5" s="361">
        <f>C5</f>
        <v>2093</v>
      </c>
      <c r="E5" s="356">
        <f>C37-D5</f>
        <v>1961</v>
      </c>
      <c r="F5" s="353">
        <v>90</v>
      </c>
      <c r="G5" s="329">
        <v>150</v>
      </c>
      <c r="H5" s="342">
        <v>250</v>
      </c>
      <c r="I5" s="357">
        <f>E5-G5-H5</f>
        <v>1561</v>
      </c>
      <c r="J5" s="2" t="s">
        <v>0</v>
      </c>
      <c r="K5" s="145" t="s">
        <v>1</v>
      </c>
      <c r="L5" s="145">
        <v>3.2484000000000002</v>
      </c>
      <c r="O5" s="142">
        <v>650</v>
      </c>
      <c r="P5" s="144">
        <v>650</v>
      </c>
      <c r="Q5" s="143">
        <v>750</v>
      </c>
    </row>
    <row r="6" spans="1:17" x14ac:dyDescent="0.2">
      <c r="A6" s="22">
        <v>0.32</v>
      </c>
      <c r="B6" s="91">
        <f t="shared" ref="B6:B11" si="0">C6-C5</f>
        <v>10</v>
      </c>
      <c r="C6" s="93">
        <v>2103</v>
      </c>
      <c r="D6" s="348"/>
      <c r="E6" s="351"/>
      <c r="F6" s="353"/>
      <c r="G6" s="329"/>
      <c r="H6" s="342"/>
      <c r="I6" s="333"/>
      <c r="J6" s="2" t="s">
        <v>2</v>
      </c>
      <c r="K6" s="145" t="s">
        <v>1</v>
      </c>
      <c r="L6" s="145">
        <v>4.2218</v>
      </c>
      <c r="N6" s="145" t="s">
        <v>19</v>
      </c>
      <c r="O6" s="145">
        <v>65</v>
      </c>
      <c r="P6"/>
    </row>
    <row r="7" spans="1:17" x14ac:dyDescent="0.2">
      <c r="A7" s="22">
        <v>1.53</v>
      </c>
      <c r="B7" s="91">
        <f t="shared" si="0"/>
        <v>152</v>
      </c>
      <c r="C7" s="93">
        <v>2255</v>
      </c>
      <c r="D7" s="348"/>
      <c r="E7" s="351"/>
      <c r="F7" s="353"/>
      <c r="G7" s="329"/>
      <c r="H7" s="342"/>
      <c r="I7" s="333"/>
      <c r="J7" s="2" t="s">
        <v>3</v>
      </c>
      <c r="K7" s="145" t="s">
        <v>1</v>
      </c>
      <c r="L7" s="145">
        <v>4.4217000000000004</v>
      </c>
      <c r="N7" s="145" t="s">
        <v>21</v>
      </c>
      <c r="O7" s="145">
        <v>200</v>
      </c>
      <c r="P7"/>
    </row>
    <row r="8" spans="1:17" x14ac:dyDescent="0.2">
      <c r="A8" s="22">
        <v>0.44</v>
      </c>
      <c r="B8" s="91">
        <f t="shared" si="0"/>
        <v>59</v>
      </c>
      <c r="C8" s="93">
        <v>2314</v>
      </c>
      <c r="D8" s="348"/>
      <c r="E8" s="351"/>
      <c r="F8" s="353"/>
      <c r="G8" s="329"/>
      <c r="H8" s="342"/>
      <c r="I8" s="333"/>
      <c r="J8" s="2" t="s">
        <v>5</v>
      </c>
      <c r="L8" s="145">
        <v>38.22</v>
      </c>
      <c r="M8" s="145" t="s">
        <v>72</v>
      </c>
      <c r="N8" s="145">
        <v>2070</v>
      </c>
      <c r="Q8" s="14">
        <v>215</v>
      </c>
    </row>
    <row r="9" spans="1:17" x14ac:dyDescent="0.2">
      <c r="A9" s="89">
        <v>23.39</v>
      </c>
      <c r="B9" s="91">
        <f t="shared" si="0"/>
        <v>60</v>
      </c>
      <c r="C9" s="93">
        <v>2374</v>
      </c>
      <c r="D9" s="348"/>
      <c r="E9" s="351"/>
      <c r="F9" s="353"/>
      <c r="G9" s="329"/>
      <c r="H9" s="342"/>
      <c r="I9" s="333"/>
      <c r="M9" s="145" t="s">
        <v>74</v>
      </c>
      <c r="N9" s="145" t="s">
        <v>15</v>
      </c>
      <c r="P9" s="14">
        <v>90</v>
      </c>
      <c r="Q9" s="14"/>
    </row>
    <row r="10" spans="1:17" x14ac:dyDescent="0.2">
      <c r="A10" s="89">
        <v>23.42</v>
      </c>
      <c r="B10" s="91">
        <f t="shared" si="0"/>
        <v>65</v>
      </c>
      <c r="C10" s="93">
        <v>2439</v>
      </c>
      <c r="D10" s="348"/>
      <c r="E10" s="351"/>
      <c r="F10" s="353"/>
      <c r="G10" s="329"/>
      <c r="H10" s="342"/>
      <c r="I10" s="333"/>
      <c r="M10" s="145" t="s">
        <v>74</v>
      </c>
      <c r="N10" s="145" t="s">
        <v>15</v>
      </c>
      <c r="P10" s="14">
        <v>90</v>
      </c>
      <c r="Q10" s="14"/>
    </row>
    <row r="11" spans="1:17" x14ac:dyDescent="0.2">
      <c r="A11" s="94">
        <v>0.04</v>
      </c>
      <c r="B11" s="91">
        <f t="shared" si="0"/>
        <v>64</v>
      </c>
      <c r="C11" s="93">
        <v>2503</v>
      </c>
      <c r="D11" s="348"/>
      <c r="E11" s="351"/>
      <c r="F11" s="353"/>
      <c r="G11" s="329"/>
      <c r="H11" s="342"/>
      <c r="I11" s="333"/>
      <c r="M11" s="145" t="s">
        <v>77</v>
      </c>
      <c r="N11" s="145" t="s">
        <v>15</v>
      </c>
      <c r="O11" s="145">
        <v>90</v>
      </c>
      <c r="Q11" s="14"/>
    </row>
    <row r="12" spans="1:17" x14ac:dyDescent="0.2">
      <c r="A12" s="22">
        <v>23.27</v>
      </c>
      <c r="B12" s="91">
        <f t="shared" ref="B12:B17" si="1">C12-C11</f>
        <v>61</v>
      </c>
      <c r="C12" s="93">
        <v>2564</v>
      </c>
      <c r="D12" s="348"/>
      <c r="E12" s="351"/>
      <c r="F12" s="353"/>
      <c r="G12" s="329"/>
      <c r="H12" s="342"/>
      <c r="I12" s="333"/>
      <c r="M12" s="145" t="s">
        <v>77</v>
      </c>
      <c r="N12" s="145" t="s">
        <v>15</v>
      </c>
      <c r="O12" s="145">
        <v>90</v>
      </c>
      <c r="Q12" s="14"/>
    </row>
    <row r="13" spans="1:17" x14ac:dyDescent="0.2">
      <c r="A13" s="22">
        <v>23.47</v>
      </c>
      <c r="B13" s="91">
        <f t="shared" si="1"/>
        <v>63</v>
      </c>
      <c r="C13" s="141">
        <v>2627</v>
      </c>
      <c r="D13" s="348"/>
      <c r="E13" s="351"/>
      <c r="F13" s="353"/>
      <c r="G13" s="329"/>
      <c r="H13" s="342"/>
      <c r="I13" s="333"/>
      <c r="M13" s="145" t="s">
        <v>72</v>
      </c>
      <c r="N13" s="145" t="s">
        <v>15</v>
      </c>
      <c r="P13" s="14">
        <v>90</v>
      </c>
      <c r="Q13" s="14"/>
    </row>
    <row r="14" spans="1:17" x14ac:dyDescent="0.2">
      <c r="A14" s="22">
        <v>22.23</v>
      </c>
      <c r="B14" s="91">
        <f t="shared" si="1"/>
        <v>58</v>
      </c>
      <c r="C14" s="93">
        <v>2685</v>
      </c>
      <c r="D14" s="348"/>
      <c r="E14" s="351"/>
      <c r="F14" s="353"/>
      <c r="G14" s="329"/>
      <c r="H14" s="342"/>
      <c r="I14" s="333"/>
      <c r="L14" s="36"/>
      <c r="M14" s="145" t="s">
        <v>75</v>
      </c>
      <c r="N14" s="145" t="s">
        <v>15</v>
      </c>
      <c r="P14" s="14">
        <v>90</v>
      </c>
    </row>
    <row r="15" spans="1:17" x14ac:dyDescent="0.2">
      <c r="A15" s="22">
        <v>23.27</v>
      </c>
      <c r="B15" s="91">
        <f t="shared" si="1"/>
        <v>67</v>
      </c>
      <c r="C15" s="93">
        <v>2752</v>
      </c>
      <c r="D15" s="348"/>
      <c r="E15" s="351"/>
      <c r="F15" s="353"/>
      <c r="G15" s="329"/>
      <c r="H15" s="342"/>
      <c r="I15" s="333"/>
      <c r="J15" s="2" t="s">
        <v>22</v>
      </c>
      <c r="L15" s="36"/>
      <c r="M15" s="145" t="s">
        <v>73</v>
      </c>
      <c r="N15" s="145" t="s">
        <v>70</v>
      </c>
      <c r="P15" s="14">
        <v>90</v>
      </c>
      <c r="Q15" s="14"/>
    </row>
    <row r="16" spans="1:17" x14ac:dyDescent="0.2">
      <c r="A16" s="22">
        <v>23.02</v>
      </c>
      <c r="B16" s="91">
        <f t="shared" si="1"/>
        <v>60</v>
      </c>
      <c r="C16" s="93">
        <v>2812</v>
      </c>
      <c r="D16" s="348"/>
      <c r="E16" s="351"/>
      <c r="F16" s="353"/>
      <c r="G16" s="329"/>
      <c r="H16" s="342"/>
      <c r="I16" s="333"/>
      <c r="J16" s="2" t="s">
        <v>23</v>
      </c>
      <c r="L16" s="36"/>
      <c r="M16" s="145" t="s">
        <v>75</v>
      </c>
      <c r="N16" s="145">
        <v>1070</v>
      </c>
      <c r="Q16" s="14">
        <v>150</v>
      </c>
    </row>
    <row r="17" spans="1:17" x14ac:dyDescent="0.2">
      <c r="A17" s="22">
        <v>23.33</v>
      </c>
      <c r="B17" s="91">
        <f t="shared" si="1"/>
        <v>64</v>
      </c>
      <c r="C17" s="93">
        <v>2876</v>
      </c>
      <c r="D17" s="348"/>
      <c r="E17" s="351"/>
      <c r="F17" s="353"/>
      <c r="G17" s="329"/>
      <c r="H17" s="342"/>
      <c r="I17" s="333"/>
      <c r="J17" s="2" t="s">
        <v>24</v>
      </c>
      <c r="L17" s="36"/>
      <c r="M17" s="145" t="s">
        <v>76</v>
      </c>
      <c r="N17" s="145" t="s">
        <v>20</v>
      </c>
      <c r="O17" s="145">
        <v>60</v>
      </c>
      <c r="Q17" s="14"/>
    </row>
    <row r="18" spans="1:17" x14ac:dyDescent="0.2">
      <c r="A18" s="22">
        <v>23.42</v>
      </c>
      <c r="B18" s="91">
        <f t="shared" ref="B18:B23" si="2">C18-C17</f>
        <v>63</v>
      </c>
      <c r="C18" s="93">
        <v>2939</v>
      </c>
      <c r="D18" s="348"/>
      <c r="E18" s="351"/>
      <c r="F18" s="353"/>
      <c r="G18" s="329"/>
      <c r="H18" s="342"/>
      <c r="I18" s="333"/>
      <c r="J18" s="2" t="s">
        <v>25</v>
      </c>
      <c r="L18" s="36"/>
      <c r="O18" s="145">
        <v>100</v>
      </c>
    </row>
    <row r="19" spans="1:17" x14ac:dyDescent="0.2">
      <c r="A19" s="22">
        <v>23.21</v>
      </c>
      <c r="B19" s="91">
        <f t="shared" si="2"/>
        <v>61</v>
      </c>
      <c r="C19" s="93">
        <v>3000</v>
      </c>
      <c r="D19" s="348"/>
      <c r="E19" s="351"/>
      <c r="F19" s="353"/>
      <c r="G19" s="329"/>
      <c r="H19" s="342"/>
      <c r="I19" s="333"/>
      <c r="J19" s="2" t="s">
        <v>26</v>
      </c>
      <c r="L19" s="36"/>
      <c r="Q19" s="14"/>
    </row>
    <row r="20" spans="1:17" x14ac:dyDescent="0.2">
      <c r="A20" s="22">
        <v>1.49</v>
      </c>
      <c r="B20" s="91">
        <f t="shared" si="2"/>
        <v>68</v>
      </c>
      <c r="C20" s="93">
        <v>3068</v>
      </c>
      <c r="D20" s="348"/>
      <c r="E20" s="351"/>
      <c r="F20" s="353"/>
      <c r="G20" s="329"/>
      <c r="H20" s="342"/>
      <c r="I20" s="333"/>
      <c r="J20" s="2" t="s">
        <v>27</v>
      </c>
      <c r="L20" s="36"/>
    </row>
    <row r="21" spans="1:17" x14ac:dyDescent="0.2">
      <c r="A21" s="22">
        <v>23.08</v>
      </c>
      <c r="B21" s="91">
        <f t="shared" si="2"/>
        <v>54</v>
      </c>
      <c r="C21" s="93">
        <v>3122</v>
      </c>
      <c r="D21" s="348"/>
      <c r="E21" s="351"/>
      <c r="F21" s="353"/>
      <c r="G21" s="329"/>
      <c r="H21" s="342"/>
      <c r="I21" s="333"/>
      <c r="J21" s="2" t="s">
        <v>28</v>
      </c>
      <c r="L21" s="36"/>
      <c r="Q21" s="14"/>
    </row>
    <row r="22" spans="1:17" x14ac:dyDescent="0.2">
      <c r="A22" s="22">
        <v>23.51</v>
      </c>
      <c r="B22" s="91">
        <f t="shared" si="2"/>
        <v>65</v>
      </c>
      <c r="C22" s="93">
        <v>3187</v>
      </c>
      <c r="D22" s="348"/>
      <c r="E22" s="351"/>
      <c r="F22" s="353"/>
      <c r="G22" s="329"/>
      <c r="H22" s="342"/>
      <c r="I22" s="333"/>
      <c r="L22" s="36"/>
    </row>
    <row r="23" spans="1:17" x14ac:dyDescent="0.2">
      <c r="A23" s="22">
        <v>0.56999999999999995</v>
      </c>
      <c r="B23" s="91">
        <f t="shared" si="2"/>
        <v>65</v>
      </c>
      <c r="C23" s="93">
        <v>3252</v>
      </c>
      <c r="D23" s="348"/>
      <c r="E23" s="351"/>
      <c r="F23" s="353"/>
      <c r="G23" s="329"/>
      <c r="H23" s="342"/>
      <c r="I23" s="333"/>
      <c r="L23" s="36"/>
      <c r="Q23" s="14"/>
    </row>
    <row r="24" spans="1:17" x14ac:dyDescent="0.2">
      <c r="A24" s="22">
        <v>0.09</v>
      </c>
      <c r="B24" s="91">
        <f>C24-C23</f>
        <v>64</v>
      </c>
      <c r="C24" s="93">
        <v>3316</v>
      </c>
      <c r="D24" s="348"/>
      <c r="E24" s="351"/>
      <c r="F24" s="353"/>
      <c r="G24" s="329"/>
      <c r="H24" s="342"/>
      <c r="I24" s="333"/>
      <c r="L24" s="36"/>
      <c r="Q24" s="14"/>
    </row>
    <row r="25" spans="1:17" x14ac:dyDescent="0.2">
      <c r="D25" s="348"/>
      <c r="E25" s="351"/>
      <c r="F25" s="353"/>
      <c r="G25" s="329"/>
      <c r="H25" s="342"/>
      <c r="I25" s="333"/>
      <c r="L25" s="36"/>
      <c r="Q25" s="14"/>
    </row>
    <row r="26" spans="1:17" x14ac:dyDescent="0.2">
      <c r="A26" s="22">
        <v>0.48</v>
      </c>
      <c r="B26" s="91">
        <f>C26-C24</f>
        <v>133</v>
      </c>
      <c r="C26" s="93">
        <v>3449</v>
      </c>
      <c r="D26" s="348"/>
      <c r="E26" s="351"/>
      <c r="F26" s="353"/>
      <c r="G26" s="329"/>
      <c r="H26" s="342"/>
      <c r="I26" s="333"/>
      <c r="L26" s="36"/>
      <c r="N26" s="145" t="s">
        <v>78</v>
      </c>
      <c r="O26" s="142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A27" s="22">
        <v>0.06</v>
      </c>
      <c r="B27" s="91">
        <f t="shared" ref="B27:B32" si="3">C27-C26</f>
        <v>60</v>
      </c>
      <c r="C27" s="93">
        <v>3509</v>
      </c>
      <c r="D27" s="348"/>
      <c r="E27" s="351"/>
      <c r="F27" s="353"/>
      <c r="G27" s="329"/>
      <c r="H27" s="342"/>
      <c r="I27" s="333"/>
      <c r="L27" s="36"/>
      <c r="N27" s="145" t="s">
        <v>79</v>
      </c>
      <c r="O27" s="145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A28" s="22">
        <v>23.48</v>
      </c>
      <c r="B28" s="91">
        <f t="shared" si="3"/>
        <v>64</v>
      </c>
      <c r="C28" s="93">
        <v>3573</v>
      </c>
      <c r="D28" s="348"/>
      <c r="E28" s="351"/>
      <c r="F28" s="353"/>
      <c r="G28" s="329"/>
      <c r="H28" s="342"/>
      <c r="I28" s="333"/>
      <c r="L28" s="36"/>
      <c r="Q28" s="14"/>
    </row>
    <row r="29" spans="1:17" x14ac:dyDescent="0.2">
      <c r="A29" s="22">
        <v>23.07</v>
      </c>
      <c r="B29" s="91">
        <f t="shared" si="3"/>
        <v>63</v>
      </c>
      <c r="C29" s="93">
        <v>3636</v>
      </c>
      <c r="D29" s="348"/>
      <c r="E29" s="351"/>
      <c r="F29" s="353"/>
      <c r="G29" s="329"/>
      <c r="H29" s="342"/>
      <c r="I29" s="333"/>
      <c r="L29" s="36"/>
      <c r="Q29" s="14"/>
    </row>
    <row r="30" spans="1:17" x14ac:dyDescent="0.2">
      <c r="A30" s="22">
        <v>0.05</v>
      </c>
      <c r="B30" s="91">
        <f t="shared" si="3"/>
        <v>69</v>
      </c>
      <c r="C30" s="93">
        <v>3705</v>
      </c>
      <c r="D30" s="348"/>
      <c r="E30" s="351"/>
      <c r="F30" s="353"/>
      <c r="G30" s="329"/>
      <c r="H30" s="342"/>
      <c r="I30" s="333"/>
      <c r="L30" s="36"/>
    </row>
    <row r="31" spans="1:17" x14ac:dyDescent="0.2">
      <c r="A31" s="22">
        <v>23.45</v>
      </c>
      <c r="B31" s="91">
        <f t="shared" si="3"/>
        <v>62</v>
      </c>
      <c r="C31" s="93">
        <v>3767</v>
      </c>
      <c r="D31" s="348"/>
      <c r="E31" s="351"/>
      <c r="F31" s="353"/>
      <c r="G31" s="329"/>
      <c r="H31" s="342"/>
      <c r="I31" s="333"/>
      <c r="L31" s="36"/>
    </row>
    <row r="32" spans="1:17" x14ac:dyDescent="0.2">
      <c r="A32" s="22">
        <v>23.47</v>
      </c>
      <c r="B32" s="91">
        <f t="shared" si="3"/>
        <v>65</v>
      </c>
      <c r="C32" s="141">
        <v>3832</v>
      </c>
      <c r="D32" s="348"/>
      <c r="E32" s="351"/>
      <c r="F32" s="353"/>
      <c r="G32" s="329"/>
      <c r="H32" s="342"/>
      <c r="I32" s="333"/>
      <c r="L32" s="36"/>
    </row>
    <row r="33" spans="1:17" x14ac:dyDescent="0.2">
      <c r="B33" s="91">
        <f>C33-C32</f>
        <v>126</v>
      </c>
      <c r="C33" s="93">
        <v>3958</v>
      </c>
      <c r="D33" s="348"/>
      <c r="E33" s="351"/>
      <c r="F33" s="353"/>
      <c r="G33" s="329"/>
      <c r="H33" s="342"/>
      <c r="I33" s="333"/>
      <c r="L33" s="36"/>
    </row>
    <row r="34" spans="1:17" x14ac:dyDescent="0.2">
      <c r="B34" s="91"/>
      <c r="C34" s="93"/>
      <c r="D34" s="348"/>
      <c r="E34" s="351"/>
      <c r="F34" s="353"/>
      <c r="G34" s="329"/>
      <c r="H34" s="342"/>
      <c r="I34" s="334"/>
      <c r="L34" s="36"/>
    </row>
    <row r="35" spans="1:17" x14ac:dyDescent="0.2">
      <c r="B35" s="91">
        <f>C35-C33</f>
        <v>96</v>
      </c>
      <c r="C35" s="93">
        <v>4054</v>
      </c>
      <c r="G35" s="142">
        <f>G5*G4</f>
        <v>487.26000000000005</v>
      </c>
      <c r="H35" s="111">
        <f>H5*H4</f>
        <v>1055.45</v>
      </c>
      <c r="I35" s="146">
        <f>I5*I4</f>
        <v>6902.2737000000006</v>
      </c>
      <c r="L35" s="36"/>
      <c r="N35"/>
      <c r="O35"/>
      <c r="P35"/>
    </row>
    <row r="36" spans="1:17" x14ac:dyDescent="0.2">
      <c r="A36" s="110"/>
      <c r="B36" s="91"/>
      <c r="C36" s="93"/>
      <c r="F36" s="145" t="s">
        <v>9</v>
      </c>
      <c r="H36" s="358">
        <f>L8</f>
        <v>38.22</v>
      </c>
      <c r="I36" s="358"/>
      <c r="L36" s="36"/>
      <c r="N36"/>
      <c r="O36"/>
      <c r="P36"/>
    </row>
    <row r="37" spans="1:17" x14ac:dyDescent="0.2">
      <c r="A37" s="110" t="s">
        <v>13</v>
      </c>
      <c r="B37" s="114">
        <f>SUM(B5:B36)</f>
        <v>1961</v>
      </c>
      <c r="C37" s="121">
        <f>C5+B37</f>
        <v>4054</v>
      </c>
      <c r="F37" s="145" t="s">
        <v>11</v>
      </c>
      <c r="H37" s="359">
        <f>H36+G35+H35+I35</f>
        <v>8483.2037</v>
      </c>
      <c r="I37" s="359"/>
      <c r="L37" s="36"/>
      <c r="N37"/>
      <c r="O37"/>
      <c r="P37"/>
    </row>
    <row r="38" spans="1:17" x14ac:dyDescent="0.2">
      <c r="F38" s="145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45" t="s">
        <v>10</v>
      </c>
      <c r="H39" s="360">
        <f>(H37-H38)*I38</f>
        <v>586.26425900000004</v>
      </c>
      <c r="I39" s="360"/>
      <c r="N39"/>
      <c r="O39"/>
      <c r="P39"/>
    </row>
    <row r="40" spans="1:17" x14ac:dyDescent="0.2">
      <c r="F40" s="145" t="s">
        <v>13</v>
      </c>
      <c r="H40" s="355">
        <f>H37+H39-H38</f>
        <v>8961.4679589999996</v>
      </c>
      <c r="I40" s="355"/>
      <c r="N40"/>
      <c r="O40"/>
      <c r="P40"/>
    </row>
    <row r="41" spans="1:17" x14ac:dyDescent="0.2">
      <c r="F41" s="142" t="s">
        <v>120</v>
      </c>
      <c r="G41" s="142"/>
      <c r="H41" s="355">
        <v>0</v>
      </c>
      <c r="I41" s="355"/>
      <c r="J41" s="145"/>
      <c r="K41" s="2"/>
      <c r="N41"/>
      <c r="O41"/>
      <c r="P41"/>
    </row>
    <row r="44" spans="1:17" x14ac:dyDescent="0.2">
      <c r="M44" s="6"/>
      <c r="P44" s="145"/>
      <c r="Q44" s="14"/>
    </row>
  </sheetData>
  <mergeCells count="13">
    <mergeCell ref="H36:I36"/>
    <mergeCell ref="H37:I37"/>
    <mergeCell ref="H39:I39"/>
    <mergeCell ref="H40:I40"/>
    <mergeCell ref="H41:I41"/>
    <mergeCell ref="D2:I2"/>
    <mergeCell ref="O4:Q4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Solar cell</vt:lpstr>
      <vt:lpstr>New Solar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01-65</vt:lpstr>
      <vt:lpstr>02-65</vt:lpstr>
      <vt:lpstr>03-65</vt:lpstr>
      <vt:lpstr>04-65</vt:lpstr>
      <vt:lpstr>05-65</vt:lpstr>
      <vt:lpstr>06-65</vt:lpstr>
      <vt:lpstr>07-65</vt:lpstr>
      <vt:lpstr>08-65</vt:lpstr>
      <vt:lpstr>09-65</vt:lpstr>
      <vt:lpstr>10-65</vt:lpstr>
      <vt:lpstr>11-65</vt:lpstr>
      <vt:lpstr>12-65</vt:lpstr>
      <vt:lpstr>01-66</vt:lpstr>
      <vt:lpstr>02-66</vt:lpstr>
      <vt:lpstr>03-66</vt:lpstr>
      <vt:lpstr>04-66</vt:lpstr>
      <vt:lpstr>05-66</vt:lpstr>
      <vt:lpstr>06-66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i5-10400F</cp:lastModifiedBy>
  <dcterms:created xsi:type="dcterms:W3CDTF">2021-01-19T15:08:14Z</dcterms:created>
  <dcterms:modified xsi:type="dcterms:W3CDTF">2023-07-15T05:11:27Z</dcterms:modified>
</cp:coreProperties>
</file>