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48" documentId="13_ncr:1_{DCDD8C00-A932-479E-9740-1B73251F9FEF}" xr6:coauthVersionLast="47" xr6:coauthVersionMax="47" xr10:uidLastSave="{EA75C6B9-E484-4EE0-9623-1E8378323A80}"/>
  <bookViews>
    <workbookView xWindow="-120" yWindow="-120" windowWidth="29040" windowHeight="15720" activeTab="7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07" sheetId="8" r:id="rId7"/>
    <sheet name="08" sheetId="10" r:id="rId8"/>
    <sheet name="Sheet1" sheetId="4" r:id="rId9"/>
    <sheet name="Sheet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0" l="1"/>
  <c r="K27" i="10"/>
  <c r="C81" i="10"/>
  <c r="C61" i="10" s="1"/>
  <c r="C63" i="10" s="1"/>
  <c r="E63" i="10"/>
  <c r="D62" i="10"/>
  <c r="Y49" i="10"/>
  <c r="X49" i="10"/>
  <c r="W49" i="10"/>
  <c r="V49" i="10"/>
  <c r="U49" i="10"/>
  <c r="T49" i="10"/>
  <c r="T51" i="10" s="1"/>
  <c r="K45" i="10"/>
  <c r="G45" i="10"/>
  <c r="F45" i="10"/>
  <c r="D45" i="10"/>
  <c r="C40" i="10"/>
  <c r="O38" i="10"/>
  <c r="P35" i="10"/>
  <c r="C39" i="10" s="1"/>
  <c r="O30" i="10"/>
  <c r="O29" i="10"/>
  <c r="N27" i="10"/>
  <c r="O27" i="10"/>
  <c r="K26" i="10"/>
  <c r="P26" i="10" s="1"/>
  <c r="R25" i="10"/>
  <c r="Q23" i="10"/>
  <c r="R23" i="10" s="1"/>
  <c r="R18" i="10"/>
  <c r="Q17" i="10"/>
  <c r="R17" i="10" s="1"/>
  <c r="X14" i="10"/>
  <c r="W14" i="10"/>
  <c r="V14" i="10"/>
  <c r="U14" i="10"/>
  <c r="T14" i="10"/>
  <c r="Q14" i="10"/>
  <c r="R14" i="10" s="1"/>
  <c r="X13" i="10"/>
  <c r="W13" i="10"/>
  <c r="V13" i="10"/>
  <c r="U13" i="10"/>
  <c r="T13" i="10"/>
  <c r="X12" i="10"/>
  <c r="W12" i="10"/>
  <c r="V12" i="10"/>
  <c r="U12" i="10"/>
  <c r="T12" i="10"/>
  <c r="X11" i="10"/>
  <c r="W11" i="10"/>
  <c r="V11" i="10"/>
  <c r="U11" i="10"/>
  <c r="T11" i="10"/>
  <c r="P11" i="10"/>
  <c r="O11" i="10"/>
  <c r="C11" i="10"/>
  <c r="C35" i="10" s="1"/>
  <c r="X10" i="10"/>
  <c r="W10" i="10"/>
  <c r="U10" i="10"/>
  <c r="T10" i="10"/>
  <c r="X9" i="10"/>
  <c r="W9" i="10"/>
  <c r="U9" i="10"/>
  <c r="T9" i="10"/>
  <c r="X8" i="10"/>
  <c r="W8" i="10"/>
  <c r="U8" i="10"/>
  <c r="T8" i="10"/>
  <c r="X7" i="10"/>
  <c r="W7" i="10"/>
  <c r="U7" i="10"/>
  <c r="T7" i="10"/>
  <c r="X6" i="10"/>
  <c r="W6" i="10"/>
  <c r="U6" i="10"/>
  <c r="T6" i="10"/>
  <c r="Y5" i="10"/>
  <c r="X5" i="10"/>
  <c r="W5" i="10"/>
  <c r="U5" i="10"/>
  <c r="T5" i="10"/>
  <c r="Y4" i="10"/>
  <c r="X4" i="10"/>
  <c r="W4" i="10"/>
  <c r="V4" i="10"/>
  <c r="U4" i="10"/>
  <c r="T4" i="10"/>
  <c r="Y3" i="10"/>
  <c r="Y15" i="10" s="1"/>
  <c r="X3" i="10"/>
  <c r="X15" i="10" s="1"/>
  <c r="W3" i="10"/>
  <c r="W15" i="10" s="1"/>
  <c r="V3" i="10"/>
  <c r="V15" i="10" s="1"/>
  <c r="U3" i="10"/>
  <c r="U15" i="10" s="1"/>
  <c r="T3" i="10"/>
  <c r="T15" i="10" s="1"/>
  <c r="T17" i="10" s="1"/>
  <c r="K45" i="8"/>
  <c r="C41" i="10" l="1"/>
  <c r="Y52" i="10"/>
  <c r="Y54" i="10" s="1"/>
  <c r="C64" i="10"/>
  <c r="K16" i="10"/>
  <c r="K35" i="10" s="1"/>
  <c r="C37" i="10" s="1"/>
  <c r="O26" i="10"/>
  <c r="K24" i="8"/>
  <c r="K27" i="8"/>
  <c r="O27" i="8" s="1"/>
  <c r="O30" i="8"/>
  <c r="O29" i="8"/>
  <c r="C11" i="8" l="1"/>
  <c r="I43" i="9"/>
  <c r="H37" i="9"/>
  <c r="K12" i="7"/>
  <c r="K40" i="7"/>
  <c r="K41" i="7" s="1"/>
  <c r="O73" i="7"/>
  <c r="L80" i="7"/>
  <c r="K80" i="7"/>
  <c r="L81" i="7" l="1"/>
  <c r="H38" i="9"/>
  <c r="C35" i="8"/>
  <c r="C81" i="8"/>
  <c r="C61" i="8" s="1"/>
  <c r="C63" i="8" s="1"/>
  <c r="E63" i="8"/>
  <c r="D62" i="8"/>
  <c r="Y49" i="8"/>
  <c r="X49" i="8"/>
  <c r="W49" i="8"/>
  <c r="V49" i="8"/>
  <c r="U49" i="8"/>
  <c r="T49" i="8"/>
  <c r="G45" i="8"/>
  <c r="F45" i="8"/>
  <c r="D45" i="8"/>
  <c r="C40" i="8"/>
  <c r="O38" i="8"/>
  <c r="P35" i="8"/>
  <c r="C39" i="8" s="1"/>
  <c r="C41" i="8" s="1"/>
  <c r="N27" i="8"/>
  <c r="K26" i="8"/>
  <c r="R25" i="8"/>
  <c r="Q23" i="8"/>
  <c r="R23" i="8" s="1"/>
  <c r="R18" i="8"/>
  <c r="Q17" i="8"/>
  <c r="R17" i="8" s="1"/>
  <c r="X14" i="8"/>
  <c r="W14" i="8"/>
  <c r="V14" i="8"/>
  <c r="U14" i="8"/>
  <c r="T14" i="8"/>
  <c r="Q14" i="8"/>
  <c r="R14" i="8" s="1"/>
  <c r="X13" i="8"/>
  <c r="W13" i="8"/>
  <c r="V13" i="8"/>
  <c r="U13" i="8"/>
  <c r="T13" i="8"/>
  <c r="X12" i="8"/>
  <c r="W12" i="8"/>
  <c r="V12" i="8"/>
  <c r="U12" i="8"/>
  <c r="T12" i="8"/>
  <c r="X11" i="8"/>
  <c r="W11" i="8"/>
  <c r="V11" i="8"/>
  <c r="U11" i="8"/>
  <c r="T11" i="8"/>
  <c r="P11" i="8"/>
  <c r="O11" i="8"/>
  <c r="X10" i="8"/>
  <c r="W10" i="8"/>
  <c r="U10" i="8"/>
  <c r="T10" i="8"/>
  <c r="X9" i="8"/>
  <c r="W9" i="8"/>
  <c r="U9" i="8"/>
  <c r="T9" i="8"/>
  <c r="X8" i="8"/>
  <c r="W8" i="8"/>
  <c r="U8" i="8"/>
  <c r="T8" i="8"/>
  <c r="X7" i="8"/>
  <c r="W7" i="8"/>
  <c r="U7" i="8"/>
  <c r="T7" i="8"/>
  <c r="X6" i="8"/>
  <c r="W6" i="8"/>
  <c r="U6" i="8"/>
  <c r="T6" i="8"/>
  <c r="Y5" i="8"/>
  <c r="X5" i="8"/>
  <c r="W5" i="8"/>
  <c r="U5" i="8"/>
  <c r="T5" i="8"/>
  <c r="Y4" i="8"/>
  <c r="X4" i="8"/>
  <c r="W4" i="8"/>
  <c r="V4" i="8"/>
  <c r="U4" i="8"/>
  <c r="T4" i="8"/>
  <c r="Y3" i="8"/>
  <c r="Y15" i="8" s="1"/>
  <c r="X3" i="8"/>
  <c r="W3" i="8"/>
  <c r="V3" i="8"/>
  <c r="U3" i="8"/>
  <c r="T3" i="8"/>
  <c r="O26" i="8" l="1"/>
  <c r="P26" i="8"/>
  <c r="T15" i="8"/>
  <c r="X15" i="8"/>
  <c r="T51" i="8"/>
  <c r="W15" i="8"/>
  <c r="U15" i="8"/>
  <c r="V15" i="8"/>
  <c r="C64" i="8"/>
  <c r="K16" i="8"/>
  <c r="K35" i="8" s="1"/>
  <c r="C37" i="8" s="1"/>
  <c r="C11" i="7"/>
  <c r="T17" i="8" l="1"/>
  <c r="Y52" i="8"/>
  <c r="Y54" i="8" s="1"/>
  <c r="N27" i="7"/>
  <c r="C80" i="4"/>
  <c r="E62" i="4"/>
  <c r="D61" i="4"/>
  <c r="C60" i="4"/>
  <c r="C62" i="4" s="1"/>
  <c r="Y49" i="4"/>
  <c r="X49" i="4"/>
  <c r="W49" i="4"/>
  <c r="V49" i="4"/>
  <c r="U49" i="4"/>
  <c r="T49" i="4"/>
  <c r="T51" i="4" s="1"/>
  <c r="G45" i="4"/>
  <c r="F45" i="4"/>
  <c r="D45" i="4"/>
  <c r="C40" i="4"/>
  <c r="O38" i="4"/>
  <c r="P35" i="4"/>
  <c r="C39" i="4" s="1"/>
  <c r="N27" i="4"/>
  <c r="K26" i="4"/>
  <c r="R25" i="4"/>
  <c r="K24" i="4"/>
  <c r="Q23" i="4"/>
  <c r="R23" i="4" s="1"/>
  <c r="R18" i="4"/>
  <c r="Q17" i="4"/>
  <c r="R17" i="4" s="1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P11" i="4"/>
  <c r="O11" i="4"/>
  <c r="C11" i="4"/>
  <c r="C35" i="4" s="1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U5" i="4"/>
  <c r="T5" i="4"/>
  <c r="Y4" i="4"/>
  <c r="X4" i="4"/>
  <c r="W4" i="4"/>
  <c r="V4" i="4"/>
  <c r="U4" i="4"/>
  <c r="T4" i="4"/>
  <c r="Y3" i="4"/>
  <c r="X3" i="4"/>
  <c r="W3" i="4"/>
  <c r="V3" i="4"/>
  <c r="U3" i="4"/>
  <c r="T3" i="4"/>
  <c r="C80" i="7"/>
  <c r="C60" i="7" s="1"/>
  <c r="C11" i="6"/>
  <c r="C41" i="4" l="1"/>
  <c r="X15" i="4"/>
  <c r="V15" i="4"/>
  <c r="W15" i="4"/>
  <c r="T15" i="4"/>
  <c r="U15" i="4"/>
  <c r="Y15" i="4"/>
  <c r="C63" i="4"/>
  <c r="K16" i="4"/>
  <c r="K35" i="4" s="1"/>
  <c r="C37" i="4" s="1"/>
  <c r="D45" i="7"/>
  <c r="F45" i="7"/>
  <c r="D45" i="6"/>
  <c r="D59" i="6"/>
  <c r="F59" i="6"/>
  <c r="D58" i="6"/>
  <c r="F58" i="6"/>
  <c r="C74" i="6"/>
  <c r="C61" i="6" s="1"/>
  <c r="C62" i="6" s="1"/>
  <c r="T17" i="4" l="1"/>
  <c r="Y52" i="4" s="1"/>
  <c r="E62" i="7"/>
  <c r="D61" i="7"/>
  <c r="C62" i="7"/>
  <c r="Y49" i="7"/>
  <c r="X49" i="7"/>
  <c r="W49" i="7"/>
  <c r="V49" i="7"/>
  <c r="U49" i="7"/>
  <c r="T49" i="7"/>
  <c r="G45" i="7"/>
  <c r="C40" i="7"/>
  <c r="O38" i="7"/>
  <c r="P35" i="7"/>
  <c r="C39" i="7" s="1"/>
  <c r="C35" i="7"/>
  <c r="K26" i="7"/>
  <c r="G20" i="7" s="1"/>
  <c r="G21" i="7" s="1"/>
  <c r="R25" i="7"/>
  <c r="K24" i="7"/>
  <c r="O24" i="7" s="1"/>
  <c r="Q23" i="7"/>
  <c r="R23" i="7" s="1"/>
  <c r="R18" i="7"/>
  <c r="Q17" i="7"/>
  <c r="R17" i="7" s="1"/>
  <c r="X14" i="7"/>
  <c r="W14" i="7"/>
  <c r="V14" i="7"/>
  <c r="U14" i="7"/>
  <c r="T14" i="7"/>
  <c r="Q14" i="7"/>
  <c r="R14" i="7" s="1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T4" i="7"/>
  <c r="Y3" i="7"/>
  <c r="X3" i="7"/>
  <c r="W3" i="7"/>
  <c r="V3" i="7"/>
  <c r="U3" i="7"/>
  <c r="T3" i="7"/>
  <c r="D57" i="6"/>
  <c r="F57" i="6"/>
  <c r="D56" i="6"/>
  <c r="F56" i="6"/>
  <c r="D55" i="6"/>
  <c r="F55" i="6"/>
  <c r="D54" i="6"/>
  <c r="F54" i="6"/>
  <c r="Y15" i="7" l="1"/>
  <c r="U15" i="7"/>
  <c r="C41" i="7"/>
  <c r="T51" i="7"/>
  <c r="T15" i="7"/>
  <c r="X15" i="7"/>
  <c r="V15" i="7"/>
  <c r="W15" i="7"/>
  <c r="C63" i="7"/>
  <c r="K16" i="7"/>
  <c r="K35" i="7" s="1"/>
  <c r="C37" i="7" s="1"/>
  <c r="J39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F49" i="6"/>
  <c r="D49" i="6"/>
  <c r="F48" i="6"/>
  <c r="D48" i="6"/>
  <c r="F47" i="6"/>
  <c r="D47" i="6"/>
  <c r="F46" i="6"/>
  <c r="D46" i="6"/>
  <c r="F45" i="6"/>
  <c r="C40" i="6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X3" i="6"/>
  <c r="W3" i="6"/>
  <c r="V3" i="6"/>
  <c r="U3" i="6"/>
  <c r="T3" i="6"/>
  <c r="T15" i="6" l="1"/>
  <c r="C41" i="6"/>
  <c r="U15" i="6"/>
  <c r="T51" i="6"/>
  <c r="X15" i="6"/>
  <c r="V15" i="6"/>
  <c r="W15" i="6"/>
  <c r="Y15" i="6"/>
  <c r="T17" i="7"/>
  <c r="Y52" i="7" s="1"/>
  <c r="K16" i="6"/>
  <c r="K35" i="6" s="1"/>
  <c r="C37" i="6" s="1"/>
  <c r="N27" i="5"/>
  <c r="T17" i="6" l="1"/>
  <c r="Y52" i="6" s="1"/>
  <c r="K62" i="5"/>
  <c r="C62" i="3"/>
  <c r="R18" i="3"/>
  <c r="K18" i="3" s="1"/>
  <c r="E62" i="5"/>
  <c r="C62" i="5"/>
  <c r="C63" i="5" s="1"/>
  <c r="F54" i="5"/>
  <c r="D54" i="5"/>
  <c r="F53" i="5"/>
  <c r="D53" i="5"/>
  <c r="F52" i="5"/>
  <c r="D52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P35" i="5"/>
  <c r="C39" i="5" s="1"/>
  <c r="C41" i="5" s="1"/>
  <c r="C35" i="5"/>
  <c r="K26" i="5"/>
  <c r="R25" i="5"/>
  <c r="K24" i="5"/>
  <c r="Q23" i="5"/>
  <c r="R23" i="5" s="1"/>
  <c r="R18" i="5"/>
  <c r="Q17" i="5"/>
  <c r="R17" i="5" s="1"/>
  <c r="X14" i="5"/>
  <c r="W14" i="5"/>
  <c r="V14" i="5"/>
  <c r="U14" i="5"/>
  <c r="T14" i="5"/>
  <c r="Q14" i="5"/>
  <c r="R14" i="5" s="1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X4" i="5"/>
  <c r="W4" i="5"/>
  <c r="V4" i="5"/>
  <c r="U4" i="5"/>
  <c r="T4" i="5"/>
  <c r="Y3" i="5"/>
  <c r="X3" i="5"/>
  <c r="W3" i="5"/>
  <c r="V3" i="5"/>
  <c r="U3" i="5"/>
  <c r="T3" i="5"/>
  <c r="Y15" i="5" l="1"/>
  <c r="T51" i="5"/>
  <c r="T15" i="5"/>
  <c r="V15" i="5"/>
  <c r="X15" i="5"/>
  <c r="U15" i="5"/>
  <c r="W15" i="5"/>
  <c r="O38" i="5"/>
  <c r="K16" i="5"/>
  <c r="K35" i="5" s="1"/>
  <c r="C37" i="5" s="1"/>
  <c r="T49" i="3"/>
  <c r="Y49" i="3"/>
  <c r="X49" i="3"/>
  <c r="W49" i="3"/>
  <c r="V49" i="3"/>
  <c r="U49" i="3"/>
  <c r="T17" i="5" l="1"/>
  <c r="Y52" i="5" s="1"/>
  <c r="T51" i="3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0" i="3"/>
  <c r="P35" i="3"/>
  <c r="C39" i="3" s="1"/>
  <c r="C35" i="3"/>
  <c r="R25" i="3"/>
  <c r="Q23" i="3"/>
  <c r="R23" i="3" s="1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U3" i="3"/>
  <c r="T3" i="3"/>
  <c r="U15" i="3" l="1"/>
  <c r="C41" i="3"/>
  <c r="V15" i="3"/>
  <c r="C63" i="3"/>
  <c r="K16" i="3"/>
  <c r="K35" i="3" s="1"/>
  <c r="C37" i="3" s="1"/>
  <c r="X15" i="3"/>
  <c r="W15" i="3"/>
  <c r="T15" i="3"/>
  <c r="Y15" i="3"/>
  <c r="Y3" i="2"/>
  <c r="Y4" i="2"/>
  <c r="Y5" i="2"/>
  <c r="Y6" i="2"/>
  <c r="Y7" i="2"/>
  <c r="Y8" i="2"/>
  <c r="Y9" i="2"/>
  <c r="Y10" i="2"/>
  <c r="Y11" i="2"/>
  <c r="Y12" i="2"/>
  <c r="Y13" i="2"/>
  <c r="Y14" i="2"/>
  <c r="Y15" i="2" l="1"/>
  <c r="T17" i="3"/>
  <c r="Y52" i="3" s="1"/>
  <c r="Y55" i="3" s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P35" i="2"/>
  <c r="C39" i="2" s="1"/>
  <c r="C35" i="2"/>
  <c r="R25" i="2"/>
  <c r="K24" i="2"/>
  <c r="Q23" i="2"/>
  <c r="R23" i="2" s="1"/>
  <c r="Q18" i="2"/>
  <c r="R18" i="2" s="1"/>
  <c r="K18" i="2" s="1"/>
  <c r="O38" i="2" s="1"/>
  <c r="Q17" i="2"/>
  <c r="R17" i="2" s="1"/>
  <c r="K3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K8" i="2"/>
  <c r="L8" i="2" s="1"/>
  <c r="X7" i="2"/>
  <c r="W7" i="2"/>
  <c r="U7" i="2"/>
  <c r="T7" i="2"/>
  <c r="X6" i="2"/>
  <c r="W6" i="2"/>
  <c r="U6" i="2"/>
  <c r="T6" i="2"/>
  <c r="X5" i="2"/>
  <c r="W5" i="2"/>
  <c r="U5" i="2"/>
  <c r="T5" i="2"/>
  <c r="X4" i="2"/>
  <c r="W4" i="2"/>
  <c r="V4" i="2"/>
  <c r="U4" i="2"/>
  <c r="T4" i="2"/>
  <c r="X3" i="2"/>
  <c r="W3" i="2"/>
  <c r="V3" i="2"/>
  <c r="U3" i="2"/>
  <c r="T3" i="2"/>
  <c r="E65" i="1"/>
  <c r="C65" i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0" i="1"/>
  <c r="P35" i="1"/>
  <c r="C39" i="1" s="1"/>
  <c r="C35" i="1"/>
  <c r="R25" i="1"/>
  <c r="K24" i="1"/>
  <c r="Q23" i="1"/>
  <c r="R23" i="1" s="1"/>
  <c r="Q18" i="1"/>
  <c r="R18" i="1" s="1"/>
  <c r="K18" i="1" s="1"/>
  <c r="O38" i="1" s="1"/>
  <c r="Q17" i="1"/>
  <c r="R17" i="1" s="1"/>
  <c r="X14" i="1"/>
  <c r="W14" i="1"/>
  <c r="V14" i="1"/>
  <c r="U14" i="1"/>
  <c r="T14" i="1"/>
  <c r="Q14" i="1"/>
  <c r="R14" i="1" s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K8" i="1"/>
  <c r="L8" i="1" s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W3" i="1"/>
  <c r="V3" i="1"/>
  <c r="U3" i="1"/>
  <c r="T3" i="1"/>
  <c r="V15" i="1" l="1"/>
  <c r="T15" i="2"/>
  <c r="C41" i="1"/>
  <c r="X15" i="1"/>
  <c r="C41" i="2"/>
  <c r="V15" i="2"/>
  <c r="U15" i="1"/>
  <c r="W15" i="1"/>
  <c r="U15" i="2"/>
  <c r="T15" i="1"/>
  <c r="W15" i="2"/>
  <c r="X15" i="2"/>
  <c r="C66" i="1"/>
  <c r="C66" i="2"/>
  <c r="K16" i="1"/>
  <c r="K35" i="1"/>
  <c r="C37" i="1" s="1"/>
  <c r="C37" i="2"/>
  <c r="T17" i="1" l="1"/>
  <c r="T17" i="2"/>
</calcChain>
</file>

<file path=xl/sharedStrings.xml><?xml version="1.0" encoding="utf-8"?>
<sst xmlns="http://schemas.openxmlformats.org/spreadsheetml/2006/main" count="876" uniqueCount="89">
  <si>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</si>
  <si>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</si>
  <si>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</si>
  <si>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</si>
  <si>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</si>
  <si>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</si>
  <si>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</si>
  <si>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</si>
  <si>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</si>
  <si>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</si>
  <si>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</si>
  <si>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</si>
  <si>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</si>
  <si>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</si>
  <si>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</si>
  <si>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</si>
  <si>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</si>
  <si>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</si>
  <si>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</si>
  <si>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</si>
  <si>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</si>
  <si>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</si>
  <si>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</si>
  <si>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</si>
  <si>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</si>
  <si>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</si>
  <si>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</si>
  <si>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</si>
  <si>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</si>
  <si>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</si>
  <si>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</si>
  <si>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</si>
  <si>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</si>
  <si>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</si>
  <si>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</si>
  <si>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</si>
  <si>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</si>
  <si>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</si>
  <si>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</si>
  <si>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</si>
  <si>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</si>
  <si>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</si>
  <si>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</si>
  <si>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</si>
  <si>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</si>
  <si>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</si>
  <si>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</si>
  <si>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</si>
  <si>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</si>
  <si>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</si>
  <si>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</si>
  <si>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</si>
  <si>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</si>
  <si>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</si>
  <si>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</si>
  <si>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</si>
  <si>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</si>
  <si>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</si>
  <si>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</si>
  <si>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</si>
  <si>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</si>
  <si>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</si>
  <si>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</si>
  <si>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</si>
  <si>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</si>
  <si>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</si>
  <si>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</si>
  <si>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</si>
  <si>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</si>
  <si>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</si>
  <si>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</si>
  <si>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</si>
  <si>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</si>
  <si>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</si>
  <si>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</si>
  <si>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</si>
  <si>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</si>
  <si>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</si>
  <si>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</si>
  <si>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</si>
  <si>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</si>
  <si>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</si>
  <si>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</si>
  <si>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</si>
  <si>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</si>
  <si>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</si>
  <si>
    <t>NETFLIX</t>
  </si>
  <si>
    <t>หนี้พี่รบ</t>
  </si>
  <si>
    <t>5000-1500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</si>
</sst>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&quot;฿&quot;#,##0.00"/>
  </numFmts>
  <fonts count="2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6"/>
      <color theme="0"/>
      <name val="Calibri"/>
      <family val="2"/>
      <charset val="222"/>
      <scheme val="minor"/>
    </font>
    <font>
      <sz val="16"/>
      <color theme="0"/>
      <name val="Calibri"/>
      <family val="2"/>
      <charset val="222"/>
      <scheme val="minor"/>
    </font>
    <font>
      <sz val="16"/>
      <color theme="1"/>
      <name val="Calibri"/>
      <family val="2"/>
      <charset val="222"/>
      <scheme val="minor"/>
    </font>
    <font>
      <sz val="14"/>
      <color rgb="FF0061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4"/>
      <color rgb="FF80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6100"/>
      <name val="Calibri"/>
      <family val="2"/>
      <charset val="222"/>
      <scheme val="minor"/>
    </font>
    <font>
      <sz val="16"/>
      <color rgb="FF9C0006"/>
      <name val="Calibri"/>
      <family val="2"/>
      <charset val="222"/>
      <scheme val="minor"/>
    </font>
    <font>
      <b/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74747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35">
    <xf numFmtId="0" fontId="0" fillId="0" borderId="0" xfId="0"/>
    <xf numFmtId="164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64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ill="1" applyBorder="1" applyAlignment="1">
      <alignment horizontal="left"/>
    </xf>
    <xf numFmtId="44" fontId="0" fillId="17" borderId="4" xfId="0" applyNumberFormat="1" applyFill="1" applyBorder="1"/>
    <xf numFmtId="0" fontId="0" fillId="17" borderId="4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64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Border="1"/>
    <xf numFmtId="0" fontId="0" fillId="0" borderId="4" xfId="8" applyFont="1" applyFill="1" applyBorder="1" applyAlignment="1">
      <alignment horizontal="center"/>
    </xf>
    <xf numFmtId="0" fontId="0" fillId="18" borderId="4" xfId="0" applyFill="1" applyBorder="1" applyAlignment="1">
      <alignment horizontal="left"/>
    </xf>
    <xf numFmtId="44" fontId="0" fillId="18" borderId="4" xfId="0" applyNumberFormat="1" applyFill="1" applyBorder="1"/>
    <xf numFmtId="0" fontId="0" fillId="18" borderId="4" xfId="0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ill="1" applyBorder="1" applyAlignment="1">
      <alignment horizontal="left"/>
    </xf>
    <xf numFmtId="44" fontId="0" fillId="19" borderId="4" xfId="0" applyNumberFormat="1" applyFill="1" applyBorder="1"/>
    <xf numFmtId="0" fontId="0" fillId="19" borderId="4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5" fillId="5" borderId="4" xfId="5" applyNumberFormat="1" applyBorder="1" applyAlignment="1">
      <alignment horizontal="center"/>
    </xf>
    <xf numFmtId="0" fontId="0" fillId="20" borderId="4" xfId="0" applyFill="1" applyBorder="1" applyAlignment="1">
      <alignment horizontal="left"/>
    </xf>
    <xf numFmtId="44" fontId="0" fillId="20" borderId="4" xfId="0" applyNumberFormat="1" applyFill="1" applyBorder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64" fontId="0" fillId="0" borderId="7" xfId="0" applyNumberFormat="1" applyBorder="1"/>
    <xf numFmtId="164" fontId="0" fillId="0" borderId="4" xfId="0" applyNumberFormat="1" applyBorder="1"/>
    <xf numFmtId="0" fontId="6" fillId="0" borderId="1" xfId="6" applyFill="1" applyAlignment="1">
      <alignment horizontal="left"/>
    </xf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0" fillId="14" borderId="4" xfId="5" applyFont="1" applyFill="1" applyBorder="1" applyAlignment="1">
      <alignment horizontal="left"/>
    </xf>
    <xf numFmtId="164" fontId="0" fillId="14" borderId="4" xfId="5" applyNumberFormat="1" applyFont="1" applyFill="1" applyBorder="1"/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64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64" fontId="10" fillId="0" borderId="4" xfId="10" applyNumberFormat="1" applyBorder="1" applyAlignment="1">
      <alignment horizontal="center"/>
    </xf>
    <xf numFmtId="164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Border="1" applyAlignment="1">
      <alignment horizontal="left"/>
    </xf>
    <xf numFmtId="164" fontId="8" fillId="0" borderId="4" xfId="0" applyNumberFormat="1" applyFont="1" applyBorder="1"/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64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64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64" fontId="2" fillId="0" borderId="4" xfId="2" applyNumberFormat="1" applyFill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ill="1" applyBorder="1" applyAlignment="1">
      <alignment horizontal="left"/>
    </xf>
    <xf numFmtId="44" fontId="0" fillId="24" borderId="4" xfId="0" applyNumberFormat="1" applyFill="1" applyBorder="1"/>
    <xf numFmtId="0" fontId="0" fillId="24" borderId="4" xfId="0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" fontId="17" fillId="0" borderId="4" xfId="0" applyNumberFormat="1" applyFont="1" applyBorder="1" applyAlignment="1">
      <alignment horizontal="left"/>
    </xf>
    <xf numFmtId="44" fontId="0" fillId="0" borderId="0" xfId="1" applyFont="1"/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4" fillId="4" borderId="14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  <xf numFmtId="44" fontId="2" fillId="2" borderId="13" xfId="2" applyNumberFormat="1" applyBorder="1" applyAlignment="1">
      <alignment horizontal="center" vertical="center"/>
    </xf>
    <xf numFmtId="44" fontId="2" fillId="2" borderId="8" xfId="2" applyNumberFormat="1" applyBorder="1" applyAlignment="1">
      <alignment horizontal="center" vertical="center"/>
    </xf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16384" width="9" style="11"/>
  </cols>
  <sheetData>
    <row r="1" spans="1:24" s="3" customFormat="1" ht="21">
      <c r="A1" s="205">
        <v>243256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4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>
      <c r="A8" s="17">
        <v>5</v>
      </c>
      <c r="C8" s="16">
        <v>227.78</v>
      </c>
      <c r="D8" s="15"/>
      <c r="E8" s="17">
        <v>31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25</v>
      </c>
      <c r="N8" s="12">
        <v>35</v>
      </c>
      <c r="O8" s="39">
        <f>N8-M8</f>
        <v>10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>
      <c r="A9" s="17">
        <v>6</v>
      </c>
      <c r="C9" s="16"/>
      <c r="D9" s="15"/>
      <c r="E9" s="17"/>
      <c r="F9" s="24"/>
      <c r="I9" s="23">
        <v>6</v>
      </c>
      <c r="J9" s="29" t="s">
        <v>23</v>
      </c>
      <c r="K9" s="30">
        <v>400</v>
      </c>
      <c r="L9" s="31"/>
      <c r="M9" s="41">
        <v>6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8</v>
      </c>
      <c r="N11" s="57">
        <v>58</v>
      </c>
      <c r="O11" s="16">
        <f>((N11-M11)+1)*K11</f>
        <v>162792</v>
      </c>
      <c r="P11" s="16">
        <f>M11*K11</f>
        <v>25536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>
      <c r="A15" s="17">
        <v>12</v>
      </c>
      <c r="B15" s="63"/>
      <c r="C15" s="16"/>
      <c r="D15" s="15"/>
      <c r="I15" s="69">
        <v>12</v>
      </c>
      <c r="J15" s="64" t="s">
        <v>34</v>
      </c>
      <c r="K15" s="70">
        <v>0</v>
      </c>
      <c r="L15" s="51" t="s">
        <v>35</v>
      </c>
      <c r="O15" s="16"/>
      <c r="P15" s="71"/>
      <c r="Q15" s="16"/>
      <c r="R15" s="72"/>
      <c r="S15" s="73" t="s">
        <v>12</v>
      </c>
      <c r="T15" s="74">
        <f>SUM(T3:T14)</f>
        <v>54150</v>
      </c>
      <c r="U15" s="74">
        <f>SUM(U3:U14)</f>
        <v>54150</v>
      </c>
      <c r="V15" s="74">
        <f>SUM(V3:V14)</f>
        <v>27075</v>
      </c>
      <c r="W15" s="74">
        <f>SUM(W3:W14)</f>
        <v>36516</v>
      </c>
      <c r="X15" s="74">
        <f>SUM(X3:X14)</f>
        <v>36516</v>
      </c>
    </row>
    <row r="16" spans="1:24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C65</f>
        <v>916.90000000000009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</row>
    <row r="17" spans="1:24">
      <c r="A17" s="17">
        <v>14</v>
      </c>
      <c r="B17" s="63"/>
      <c r="C17" s="16"/>
      <c r="D17" s="15"/>
      <c r="I17" s="23">
        <v>14</v>
      </c>
      <c r="J17" s="182" t="s">
        <v>38</v>
      </c>
      <c r="K17" s="183">
        <v>2140</v>
      </c>
      <c r="L17" s="184" t="s">
        <v>39</v>
      </c>
      <c r="M17" s="185">
        <v>5</v>
      </c>
      <c r="N17" s="185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</f>
        <v>227207</v>
      </c>
      <c r="U17" s="214"/>
      <c r="V17" s="214"/>
      <c r="W17" s="214"/>
      <c r="X17" s="215"/>
    </row>
    <row r="18" spans="1:24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4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116</v>
      </c>
      <c r="L19" s="79"/>
      <c r="O19" s="16"/>
      <c r="P19" s="16"/>
      <c r="Q19" s="40"/>
      <c r="R19" s="40"/>
      <c r="S19" s="91"/>
      <c r="T19" s="92"/>
      <c r="U19" s="92"/>
    </row>
    <row r="20" spans="1:24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4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26</v>
      </c>
      <c r="O21" s="90"/>
      <c r="P21" s="75"/>
      <c r="Q21" s="16"/>
      <c r="R21" s="16"/>
      <c r="S21" s="91"/>
      <c r="T21" s="92"/>
      <c r="U21" s="92"/>
    </row>
    <row r="22" spans="1:24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4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1200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4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8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4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4">
      <c r="A26" s="17">
        <v>23</v>
      </c>
      <c r="C26" s="16"/>
      <c r="F26" s="16"/>
      <c r="G26" s="16"/>
      <c r="I26" s="69">
        <v>23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4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4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4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4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4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4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16">
        <f>C4+C5+C6+C7+C8+C9+C10+C11+C12+C13+C14+C15+C16+C17+C18+C19+C20+C21</f>
        <v>26497.78</v>
      </c>
      <c r="D35" s="216"/>
      <c r="J35" s="124" t="s">
        <v>52</v>
      </c>
      <c r="K35" s="217">
        <f>SUM(K4:K34)</f>
        <v>24874.481599999999</v>
      </c>
      <c r="L35" s="218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19">
        <f>C35-K35</f>
        <v>1623.2983999999997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9086.8616000000002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4</v>
      </c>
      <c r="B45" s="146">
        <v>12</v>
      </c>
      <c r="C45" s="136">
        <v>51.36</v>
      </c>
      <c r="D45" s="147">
        <f>(B45-A45)*C45</f>
        <v>410.88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>
        <v>6</v>
      </c>
      <c r="B46" s="148">
        <v>6</v>
      </c>
      <c r="C46" s="22">
        <v>117.33</v>
      </c>
      <c r="D46" s="149">
        <f>(B46-A46)*C46</f>
        <v>0</v>
      </c>
      <c r="E46" s="22"/>
      <c r="F46" s="22">
        <f>C46*B46</f>
        <v>703.98</v>
      </c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1</v>
      </c>
      <c r="B47" s="145">
        <v>12</v>
      </c>
      <c r="C47" s="136">
        <v>75</v>
      </c>
      <c r="D47" s="147">
        <f>(B47-A47)*C47</f>
        <v>825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8</v>
      </c>
      <c r="B48" s="145">
        <v>12</v>
      </c>
      <c r="C48" s="136">
        <v>68.69</v>
      </c>
      <c r="D48" s="147">
        <f>(B48-A48)*C48</f>
        <v>274.76</v>
      </c>
      <c r="E48" s="136"/>
      <c r="F48" s="136">
        <f t="shared" ref="F48:F58" si="2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>
        <v>96</v>
      </c>
      <c r="L50" s="167"/>
      <c r="M50" s="113"/>
      <c r="N50" s="113"/>
      <c r="Q50" s="167"/>
      <c r="R50" s="164"/>
    </row>
    <row r="51" spans="1:18">
      <c r="A51" s="15">
        <v>8</v>
      </c>
      <c r="B51" s="15">
        <v>12</v>
      </c>
      <c r="C51" s="136">
        <v>222.1</v>
      </c>
      <c r="D51" s="147">
        <f t="shared" ref="D51:D58" si="3">(B51-A51)*C51</f>
        <v>888.4</v>
      </c>
      <c r="E51" s="136"/>
      <c r="F51" s="136">
        <f t="shared" si="2"/>
        <v>2665.2</v>
      </c>
      <c r="K51" s="28">
        <v>185</v>
      </c>
      <c r="L51" s="125"/>
      <c r="M51" s="11"/>
      <c r="N51" s="11"/>
      <c r="Q51" s="11"/>
      <c r="R51" s="11"/>
    </row>
    <row r="52" spans="1:18">
      <c r="A52" s="15">
        <v>8</v>
      </c>
      <c r="B52" s="15">
        <v>12</v>
      </c>
      <c r="C52" s="136">
        <v>50.54</v>
      </c>
      <c r="D52" s="147">
        <f t="shared" si="3"/>
        <v>202.16</v>
      </c>
      <c r="E52" s="136"/>
      <c r="F52" s="136">
        <f t="shared" si="2"/>
        <v>606.48</v>
      </c>
      <c r="K52" s="28">
        <v>156</v>
      </c>
      <c r="L52" s="125"/>
      <c r="M52" s="11"/>
      <c r="N52" s="11"/>
      <c r="Q52" s="11"/>
      <c r="R52" s="11"/>
    </row>
    <row r="53" spans="1:18">
      <c r="A53" s="69">
        <v>8</v>
      </c>
      <c r="B53" s="69">
        <v>12</v>
      </c>
      <c r="C53" s="168">
        <v>63.09</v>
      </c>
      <c r="D53" s="147">
        <f t="shared" si="3"/>
        <v>252.36</v>
      </c>
      <c r="E53" s="136"/>
      <c r="F53" s="136">
        <f t="shared" si="2"/>
        <v>757.08</v>
      </c>
      <c r="K53" s="28">
        <v>226</v>
      </c>
      <c r="M53" s="11"/>
      <c r="N53" s="11"/>
      <c r="Q53" s="11"/>
      <c r="R53" s="11"/>
    </row>
    <row r="54" spans="1:18">
      <c r="A54" s="69">
        <v>8</v>
      </c>
      <c r="B54" s="69">
        <v>12</v>
      </c>
      <c r="C54" s="168">
        <v>76.900000000000006</v>
      </c>
      <c r="D54" s="147">
        <f t="shared" si="3"/>
        <v>307.60000000000002</v>
      </c>
      <c r="E54" s="136"/>
      <c r="F54" s="136">
        <f t="shared" si="2"/>
        <v>922.80000000000007</v>
      </c>
      <c r="J54" s="11"/>
      <c r="K54" s="11">
        <v>81</v>
      </c>
      <c r="L54" s="11"/>
      <c r="M54" s="11"/>
      <c r="N54" s="11"/>
      <c r="Q54" s="11"/>
      <c r="R54" s="11"/>
    </row>
    <row r="55" spans="1:18">
      <c r="A55" s="35">
        <v>9</v>
      </c>
      <c r="B55" s="35">
        <v>12</v>
      </c>
      <c r="C55" s="169">
        <v>46.84</v>
      </c>
      <c r="D55" s="147">
        <f t="shared" si="3"/>
        <v>140.52000000000001</v>
      </c>
      <c r="E55" s="136"/>
      <c r="F55" s="136">
        <f t="shared" si="2"/>
        <v>562.08000000000004</v>
      </c>
      <c r="I55" s="11"/>
      <c r="J55" s="11"/>
      <c r="K55" s="170">
        <v>130</v>
      </c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>
        <v>30</v>
      </c>
      <c r="L56" s="11"/>
      <c r="M56" s="11"/>
      <c r="N56" s="11"/>
      <c r="Q56" s="11"/>
      <c r="R56" s="11"/>
    </row>
    <row r="57" spans="1:18" s="173" customFormat="1">
      <c r="A57" s="171">
        <v>11</v>
      </c>
      <c r="B57" s="171">
        <v>12</v>
      </c>
      <c r="C57" s="106">
        <v>47.21</v>
      </c>
      <c r="D57" s="172">
        <f t="shared" si="3"/>
        <v>47.21</v>
      </c>
      <c r="E57" s="106"/>
      <c r="F57" s="106">
        <f t="shared" si="2"/>
        <v>566.52</v>
      </c>
      <c r="I57" s="171"/>
      <c r="K57" s="173">
        <v>139</v>
      </c>
    </row>
    <row r="58" spans="1:18" s="173" customFormat="1">
      <c r="A58" s="174">
        <v>11</v>
      </c>
      <c r="B58" s="174">
        <v>12</v>
      </c>
      <c r="C58" s="106">
        <v>97.84</v>
      </c>
      <c r="D58" s="172">
        <f t="shared" si="3"/>
        <v>97.84</v>
      </c>
      <c r="E58" s="106"/>
      <c r="F58" s="106">
        <f t="shared" si="2"/>
        <v>1174.08</v>
      </c>
      <c r="I58" s="171"/>
      <c r="K58" s="173">
        <v>88</v>
      </c>
    </row>
    <row r="59" spans="1:18">
      <c r="A59" s="154"/>
      <c r="B59" s="154"/>
      <c r="C59" s="169"/>
      <c r="D59" s="175"/>
      <c r="E59" s="169"/>
      <c r="F59" s="169"/>
      <c r="J59" s="11"/>
      <c r="K59" s="11">
        <v>74</v>
      </c>
      <c r="L59" s="11"/>
      <c r="M59" s="11"/>
      <c r="N59" s="11"/>
      <c r="Q59" s="11"/>
      <c r="R59" s="11"/>
    </row>
    <row r="60" spans="1:18">
      <c r="A60" s="154"/>
      <c r="B60" s="154"/>
      <c r="C60" s="169"/>
      <c r="D60" s="222">
        <f>C60+C61+C62</f>
        <v>0</v>
      </c>
      <c r="E60" s="169"/>
      <c r="F60" s="169"/>
      <c r="J60" s="11"/>
      <c r="K60" s="28">
        <f>SUM(K49:K59)</f>
        <v>1205</v>
      </c>
      <c r="L60" s="11"/>
      <c r="M60" s="11"/>
      <c r="N60" s="11"/>
      <c r="Q60" s="11"/>
      <c r="R60" s="11"/>
    </row>
    <row r="61" spans="1:18">
      <c r="A61" s="154"/>
      <c r="B61" s="154"/>
      <c r="C61" s="169"/>
      <c r="D61" s="222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23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916.90000000000009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03">
        <f>C65-E65</f>
        <v>916.90000000000009</v>
      </c>
      <c r="D66" s="204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8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72FB-1FCF-43EC-93C0-2DE6095BB213}">
  <dimension ref="H14:I43"/>
  <sheetViews>
    <sheetView topLeftCell="A11" workbookViewId="0">
      <selection activeCell="H30" sqref="H30"/>
    </sheetView>
  </sheetViews>
  <sheetFormatPr defaultRowHeight="15"/>
  <cols>
    <col min="8" max="8" width="24.7109375" style="202" customWidth="1"/>
    <col min="9" max="9" width="23" style="202" customWidth="1"/>
  </cols>
  <sheetData>
    <row r="14" spans="8:8">
      <c r="H14" s="202">
        <v>2140</v>
      </c>
    </row>
    <row r="15" spans="8:8">
      <c r="H15" s="202">
        <v>2310.1799999999998</v>
      </c>
    </row>
    <row r="16" spans="8:8">
      <c r="H16" s="202">
        <v>2000</v>
      </c>
    </row>
    <row r="17" spans="8:8">
      <c r="H17" s="202">
        <v>512</v>
      </c>
    </row>
    <row r="18" spans="8:8">
      <c r="H18" s="202">
        <v>2600</v>
      </c>
    </row>
    <row r="19" spans="8:8">
      <c r="H19" s="202">
        <v>4400</v>
      </c>
    </row>
    <row r="20" spans="8:8">
      <c r="H20" s="202">
        <v>3192</v>
      </c>
    </row>
    <row r="21" spans="8:8">
      <c r="H21" s="202">
        <v>1500</v>
      </c>
    </row>
    <row r="22" spans="8:8">
      <c r="H22" s="202">
        <v>1300</v>
      </c>
    </row>
    <row r="23" spans="8:8">
      <c r="H23" s="202">
        <v>2940</v>
      </c>
    </row>
    <row r="24" spans="8:8">
      <c r="H24" s="202">
        <v>4900</v>
      </c>
    </row>
    <row r="25" spans="8:8">
      <c r="H25" s="202">
        <v>400</v>
      </c>
    </row>
    <row r="26" spans="8:8">
      <c r="H26" s="202">
        <v>1175</v>
      </c>
    </row>
    <row r="27" spans="8:8">
      <c r="H27" s="202">
        <v>100</v>
      </c>
    </row>
    <row r="28" spans="8:8">
      <c r="H28" s="202">
        <v>1109</v>
      </c>
    </row>
    <row r="29" spans="8:8">
      <c r="H29" s="202">
        <v>220</v>
      </c>
    </row>
    <row r="37" spans="8:9">
      <c r="H37" s="202">
        <f>SUM(H14:H36)</f>
        <v>30798.18</v>
      </c>
    </row>
    <row r="38" spans="8:9">
      <c r="H38" s="202">
        <f>I43-H37</f>
        <v>7943.82</v>
      </c>
      <c r="I38" s="202">
        <v>35515</v>
      </c>
    </row>
    <row r="39" spans="8:9">
      <c r="I39" s="202">
        <v>3000</v>
      </c>
    </row>
    <row r="40" spans="8:9">
      <c r="I40" s="202">
        <v>227</v>
      </c>
    </row>
    <row r="43" spans="8:9">
      <c r="I43" s="202">
        <f>SUM(I38:I42)</f>
        <v>38742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5"/>
  <cols>
    <col min="1" max="1" width="5.140625" style="11" bestFit="1" customWidth="1"/>
    <col min="2" max="2" width="20" style="18" customWidth="1"/>
    <col min="3" max="3" width="17.140625" style="28" customWidth="1"/>
    <col min="4" max="4" width="17" style="11" customWidth="1"/>
    <col min="5" max="5" width="10.42578125" style="11" bestFit="1" customWidth="1"/>
    <col min="6" max="6" width="11.42578125" style="11" bestFit="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22.57031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4" style="11" bestFit="1" customWidth="1"/>
    <col min="26" max="16384" width="9" style="11"/>
  </cols>
  <sheetData>
    <row r="1" spans="1:25" s="3" customFormat="1" ht="21">
      <c r="A1" s="205">
        <v>243287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5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>
      <c r="A4" s="17">
        <v>1</v>
      </c>
      <c r="B4" s="18" t="s">
        <v>13</v>
      </c>
      <c r="C4" s="19">
        <v>25200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>
      <c r="A8" s="17">
        <v>5</v>
      </c>
      <c r="C8" s="16">
        <v>227.78</v>
      </c>
      <c r="D8" s="15"/>
      <c r="E8" s="17">
        <v>32</v>
      </c>
      <c r="F8" s="24" t="s">
        <v>21</v>
      </c>
      <c r="I8" s="23">
        <v>5</v>
      </c>
      <c r="J8" s="36" t="s">
        <v>22</v>
      </c>
      <c r="K8" s="37">
        <f>6086/2</f>
        <v>3043</v>
      </c>
      <c r="L8" s="38">
        <f>K8*2</f>
        <v>6086</v>
      </c>
      <c r="M8" s="12">
        <v>26</v>
      </c>
      <c r="N8" s="12">
        <v>35</v>
      </c>
      <c r="O8" s="39">
        <f>N8-M8</f>
        <v>9</v>
      </c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>
      <c r="A9" s="17">
        <v>6</v>
      </c>
      <c r="C9" s="16"/>
      <c r="D9" s="15"/>
      <c r="E9" s="17"/>
      <c r="F9" s="24"/>
      <c r="I9" s="35">
        <v>6</v>
      </c>
      <c r="J9" s="29" t="s">
        <v>23</v>
      </c>
      <c r="K9" s="30">
        <v>400</v>
      </c>
      <c r="L9" s="31"/>
      <c r="M9" s="41">
        <v>7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>
      <c r="A11" s="17">
        <v>8</v>
      </c>
      <c r="C11" s="52"/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9</v>
      </c>
      <c r="N11" s="57">
        <v>58</v>
      </c>
      <c r="O11" s="16">
        <f>((N11-M11)+1)*K11</f>
        <v>159600</v>
      </c>
      <c r="P11" s="16">
        <f>M11*K11</f>
        <v>28728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700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36516</v>
      </c>
    </row>
    <row r="16" spans="1:25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v>1050.3599999999999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6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263723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4746.8616000000002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f>O18+P18</f>
        <v>158228.72</v>
      </c>
      <c r="R18" s="68">
        <f>Q18*0.03</f>
        <v>4746.8616000000002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27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04">
        <v>1520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9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69">
        <v>23</v>
      </c>
      <c r="K26" s="28">
        <v>300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69">
        <v>24</v>
      </c>
      <c r="K27" s="16"/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0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0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0" ht="21">
      <c r="B35" s="123" t="s">
        <v>51</v>
      </c>
      <c r="C35" s="216">
        <f>C4+C5+C6+C7+C8+C9+C10+C11+C12+C13+C14+C15+C16+C17+C18+C19+C20+C21</f>
        <v>26497.78</v>
      </c>
      <c r="D35" s="216"/>
      <c r="J35" s="124" t="s">
        <v>52</v>
      </c>
      <c r="K35" s="217">
        <f>SUM(K4:K34)</f>
        <v>26318.941600000002</v>
      </c>
      <c r="L35" s="218"/>
      <c r="N35" s="24"/>
      <c r="O35" s="16"/>
      <c r="P35" s="30">
        <f>P23</f>
        <v>0</v>
      </c>
      <c r="Q35" s="40"/>
      <c r="R35" s="40"/>
    </row>
    <row r="36" spans="1:20">
      <c r="P36" s="28"/>
    </row>
    <row r="37" spans="1:20" ht="21">
      <c r="B37" s="126" t="s">
        <v>53</v>
      </c>
      <c r="C37" s="219">
        <f>C35-K35</f>
        <v>178.83839999999691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</row>
    <row r="38" spans="1:20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9406.8616000000002</v>
      </c>
      <c r="Q38" s="125" t="s">
        <v>55</v>
      </c>
    </row>
    <row r="39" spans="1:20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</row>
    <row r="40" spans="1:20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</row>
    <row r="41" spans="1:20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</row>
    <row r="42" spans="1:20">
      <c r="B42" s="144"/>
      <c r="C42" s="144"/>
      <c r="D42" s="92"/>
      <c r="E42" s="92"/>
      <c r="J42" s="143"/>
      <c r="K42" s="16"/>
      <c r="L42" s="40"/>
      <c r="N42" s="24"/>
      <c r="Q42" s="15"/>
    </row>
    <row r="43" spans="1:20">
      <c r="B43" s="92"/>
      <c r="C43" s="92"/>
      <c r="D43" s="92"/>
      <c r="E43" s="92"/>
      <c r="L43" s="125"/>
      <c r="Q43" s="15"/>
    </row>
    <row r="44" spans="1:20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</row>
    <row r="45" spans="1:20">
      <c r="A45" s="145">
        <v>5</v>
      </c>
      <c r="B45" s="146">
        <v>12</v>
      </c>
      <c r="C45" s="136">
        <v>51.36</v>
      </c>
      <c r="D45" s="147">
        <f>(B45-A45)*C45</f>
        <v>359.52</v>
      </c>
      <c r="E45" s="136"/>
      <c r="F45" s="136">
        <f>C45*B45</f>
        <v>616.31999999999994</v>
      </c>
      <c r="L45" s="125"/>
      <c r="Q45" s="15"/>
    </row>
    <row r="46" spans="1:20" s="150" customFormat="1">
      <c r="A46" s="148"/>
      <c r="B46" s="148"/>
      <c r="C46" s="22"/>
      <c r="D46" s="149"/>
      <c r="E46" s="22"/>
      <c r="F46" s="22"/>
      <c r="I46" s="23"/>
      <c r="J46" s="21"/>
      <c r="K46" s="151"/>
      <c r="L46" s="152"/>
      <c r="M46" s="153"/>
      <c r="N46" s="153"/>
      <c r="Q46" s="23"/>
      <c r="R46" s="23"/>
    </row>
    <row r="47" spans="1:20" s="156" customFormat="1">
      <c r="A47" s="145">
        <v>2</v>
      </c>
      <c r="B47" s="145">
        <v>12</v>
      </c>
      <c r="C47" s="136">
        <v>75</v>
      </c>
      <c r="D47" s="147">
        <f>(B47-A47)*C47</f>
        <v>750</v>
      </c>
      <c r="E47" s="155"/>
      <c r="F47" s="155"/>
      <c r="I47" s="35"/>
      <c r="J47" s="157"/>
      <c r="K47" s="158"/>
      <c r="L47" s="159"/>
      <c r="M47" s="160"/>
      <c r="N47" s="160"/>
      <c r="Q47" s="35"/>
      <c r="R47" s="35"/>
    </row>
    <row r="48" spans="1:20">
      <c r="A48" s="145">
        <v>9</v>
      </c>
      <c r="B48" s="145">
        <v>12</v>
      </c>
      <c r="C48" s="136">
        <v>68.69</v>
      </c>
      <c r="D48" s="147">
        <f>(B48-A48)*C48</f>
        <v>206.07</v>
      </c>
      <c r="E48" s="136"/>
      <c r="F48" s="136">
        <f t="shared" ref="F48:F58" si="3">C48*B48</f>
        <v>824.28</v>
      </c>
      <c r="L48" s="125"/>
      <c r="Q48" s="15"/>
    </row>
    <row r="49" spans="1:18" s="163" customFormat="1">
      <c r="A49" s="161"/>
      <c r="B49" s="161"/>
      <c r="C49" s="108"/>
      <c r="D49" s="162"/>
      <c r="E49" s="108"/>
      <c r="F49" s="108"/>
      <c r="I49" s="164"/>
      <c r="J49" s="165"/>
      <c r="K49" s="166"/>
      <c r="L49" s="167"/>
      <c r="M49" s="113"/>
      <c r="N49" s="113"/>
      <c r="Q49" s="167"/>
      <c r="R49" s="164"/>
    </row>
    <row r="50" spans="1:18" s="163" customFormat="1">
      <c r="A50" s="164"/>
      <c r="B50" s="164"/>
      <c r="C50" s="108"/>
      <c r="D50" s="162"/>
      <c r="E50" s="108"/>
      <c r="F50" s="108"/>
      <c r="I50" s="164"/>
      <c r="J50" s="165"/>
      <c r="K50" s="166"/>
      <c r="L50" s="167"/>
      <c r="M50" s="113"/>
      <c r="N50" s="113"/>
      <c r="Q50" s="167"/>
      <c r="R50" s="164"/>
    </row>
    <row r="51" spans="1:18">
      <c r="A51" s="15">
        <v>9</v>
      </c>
      <c r="B51" s="15">
        <v>12</v>
      </c>
      <c r="C51" s="136">
        <v>222.1</v>
      </c>
      <c r="D51" s="147">
        <f t="shared" ref="D51:D58" si="4">(B51-A51)*C51</f>
        <v>666.3</v>
      </c>
      <c r="E51" s="136"/>
      <c r="F51" s="136">
        <f t="shared" si="3"/>
        <v>2665.2</v>
      </c>
      <c r="L51" s="125"/>
      <c r="M51" s="11"/>
      <c r="N51" s="11"/>
      <c r="Q51" s="11"/>
      <c r="R51" s="11"/>
    </row>
    <row r="52" spans="1:18">
      <c r="A52" s="15">
        <v>9</v>
      </c>
      <c r="B52" s="15">
        <v>12</v>
      </c>
      <c r="C52" s="136">
        <v>50.54</v>
      </c>
      <c r="D52" s="147">
        <f t="shared" si="4"/>
        <v>151.62</v>
      </c>
      <c r="E52" s="136"/>
      <c r="F52" s="136">
        <f t="shared" si="3"/>
        <v>606.48</v>
      </c>
      <c r="L52" s="125"/>
      <c r="M52" s="11"/>
      <c r="N52" s="11"/>
      <c r="Q52" s="11"/>
      <c r="R52" s="11"/>
    </row>
    <row r="53" spans="1:18">
      <c r="A53" s="69">
        <v>9</v>
      </c>
      <c r="B53" s="69">
        <v>12</v>
      </c>
      <c r="C53" s="168">
        <v>63.09</v>
      </c>
      <c r="D53" s="147">
        <f t="shared" si="4"/>
        <v>189.27</v>
      </c>
      <c r="E53" s="136"/>
      <c r="F53" s="136">
        <f t="shared" si="3"/>
        <v>757.08</v>
      </c>
      <c r="M53" s="11"/>
      <c r="N53" s="11"/>
      <c r="Q53" s="11"/>
      <c r="R53" s="11"/>
    </row>
    <row r="54" spans="1:18">
      <c r="A54" s="69">
        <v>9</v>
      </c>
      <c r="B54" s="69">
        <v>12</v>
      </c>
      <c r="C54" s="168">
        <v>76.900000000000006</v>
      </c>
      <c r="D54" s="147">
        <f t="shared" si="4"/>
        <v>230.70000000000002</v>
      </c>
      <c r="E54" s="136"/>
      <c r="F54" s="136">
        <f t="shared" si="3"/>
        <v>922.80000000000007</v>
      </c>
      <c r="J54" s="11"/>
      <c r="K54" s="11"/>
      <c r="L54" s="11"/>
      <c r="M54" s="11"/>
      <c r="N54" s="11"/>
      <c r="Q54" s="11"/>
      <c r="R54" s="11"/>
    </row>
    <row r="55" spans="1:18">
      <c r="A55" s="35">
        <v>10</v>
      </c>
      <c r="B55" s="35">
        <v>12</v>
      </c>
      <c r="C55" s="169">
        <v>46.84</v>
      </c>
      <c r="D55" s="147">
        <f t="shared" si="4"/>
        <v>93.68</v>
      </c>
      <c r="E55" s="136"/>
      <c r="F55" s="136">
        <f t="shared" si="3"/>
        <v>562.08000000000004</v>
      </c>
      <c r="I55" s="11"/>
      <c r="J55" s="11"/>
      <c r="K55" s="170"/>
      <c r="L55" s="170"/>
      <c r="M55" s="11"/>
      <c r="N55" s="11"/>
      <c r="Q55" s="11"/>
      <c r="R55" s="11"/>
    </row>
    <row r="56" spans="1:18">
      <c r="A56" s="164"/>
      <c r="B56" s="164"/>
      <c r="C56" s="108"/>
      <c r="D56" s="162"/>
      <c r="E56" s="108"/>
      <c r="F56" s="108"/>
      <c r="I56" s="11"/>
      <c r="J56" s="11"/>
      <c r="K56" s="11"/>
      <c r="L56" s="11"/>
      <c r="M56" s="11"/>
      <c r="N56" s="11"/>
      <c r="Q56" s="11"/>
      <c r="R56" s="11"/>
    </row>
    <row r="57" spans="1:18" s="173" customFormat="1">
      <c r="A57" s="171">
        <v>12</v>
      </c>
      <c r="B57" s="171">
        <v>12</v>
      </c>
      <c r="C57" s="106">
        <v>47.21</v>
      </c>
      <c r="D57" s="172">
        <f t="shared" si="4"/>
        <v>0</v>
      </c>
      <c r="E57" s="106"/>
      <c r="F57" s="106">
        <f t="shared" si="3"/>
        <v>566.52</v>
      </c>
      <c r="I57" s="171"/>
    </row>
    <row r="58" spans="1:18" s="173" customFormat="1">
      <c r="A58" s="174">
        <v>12</v>
      </c>
      <c r="B58" s="174">
        <v>12</v>
      </c>
      <c r="C58" s="106">
        <v>97.84</v>
      </c>
      <c r="D58" s="172">
        <f t="shared" si="4"/>
        <v>0</v>
      </c>
      <c r="E58" s="106"/>
      <c r="F58" s="106">
        <f t="shared" si="3"/>
        <v>1174.08</v>
      </c>
      <c r="I58" s="171"/>
    </row>
    <row r="59" spans="1:18">
      <c r="A59" s="154"/>
      <c r="B59" s="154"/>
      <c r="C59" s="169"/>
      <c r="D59" s="175"/>
      <c r="E59" s="169"/>
      <c r="F59" s="169"/>
      <c r="J59" s="11"/>
      <c r="K59" s="11"/>
      <c r="L59" s="11"/>
      <c r="M59" s="11"/>
      <c r="N59" s="11"/>
      <c r="Q59" s="11"/>
      <c r="R59" s="11"/>
    </row>
    <row r="60" spans="1:18">
      <c r="A60" s="154"/>
      <c r="B60" s="154"/>
      <c r="C60" s="169"/>
      <c r="D60" s="222">
        <f>C60+C61+C62</f>
        <v>0</v>
      </c>
      <c r="E60" s="169"/>
      <c r="F60" s="169"/>
      <c r="J60" s="11"/>
      <c r="K60" s="11"/>
      <c r="L60" s="11"/>
      <c r="M60" s="11"/>
      <c r="N60" s="11"/>
      <c r="Q60" s="11"/>
      <c r="R60" s="11"/>
    </row>
    <row r="61" spans="1:18">
      <c r="A61" s="154"/>
      <c r="B61" s="154"/>
      <c r="C61" s="169"/>
      <c r="D61" s="222"/>
      <c r="E61" s="169"/>
      <c r="F61" s="169"/>
      <c r="J61" s="11"/>
      <c r="K61" s="11"/>
      <c r="L61" s="11"/>
      <c r="M61" s="11"/>
      <c r="N61" s="11"/>
      <c r="Q61" s="11"/>
      <c r="R61" s="11"/>
    </row>
    <row r="62" spans="1:18">
      <c r="A62" s="154"/>
      <c r="B62" s="154"/>
      <c r="C62" s="169"/>
      <c r="D62" s="223"/>
      <c r="E62" s="169"/>
      <c r="F62" s="169"/>
      <c r="J62" s="11"/>
      <c r="K62" s="11"/>
      <c r="L62" s="11"/>
      <c r="M62" s="11"/>
      <c r="N62" s="11"/>
      <c r="Q62" s="11"/>
      <c r="R62" s="11"/>
    </row>
    <row r="63" spans="1:18">
      <c r="A63" s="154"/>
      <c r="B63" s="154"/>
      <c r="C63" s="169"/>
      <c r="D63" s="176"/>
      <c r="E63" s="169"/>
      <c r="F63" s="169"/>
      <c r="J63" s="11"/>
      <c r="K63" s="11"/>
      <c r="L63" s="11"/>
      <c r="M63" s="11"/>
      <c r="N63" s="11"/>
      <c r="Q63" s="11"/>
      <c r="R63" s="11"/>
    </row>
    <row r="64" spans="1:18">
      <c r="A64" s="148"/>
      <c r="B64" s="148"/>
      <c r="C64" s="22"/>
      <c r="D64" s="149"/>
      <c r="E64" s="22"/>
      <c r="F64" s="22"/>
      <c r="J64" s="11"/>
      <c r="K64" s="11"/>
      <c r="L64" s="11"/>
      <c r="M64" s="11"/>
      <c r="N64" s="11"/>
      <c r="Q64" s="11"/>
      <c r="R64" s="11"/>
    </row>
    <row r="65" spans="1:18">
      <c r="A65" s="177"/>
      <c r="B65" s="178" t="s">
        <v>64</v>
      </c>
      <c r="C65" s="179">
        <f>SUM(C45:C64)</f>
        <v>799.57</v>
      </c>
      <c r="E65" s="74">
        <f>SUM(E47:E64)</f>
        <v>0</v>
      </c>
      <c r="M65" s="11"/>
      <c r="N65" s="11"/>
      <c r="Q65" s="11"/>
      <c r="R65" s="11"/>
    </row>
    <row r="66" spans="1:18">
      <c r="B66" s="180" t="s">
        <v>65</v>
      </c>
      <c r="C66" s="203">
        <f>C65-E65</f>
        <v>799.57</v>
      </c>
      <c r="D66" s="204"/>
      <c r="E66" s="181"/>
      <c r="M66" s="11"/>
      <c r="N66" s="11"/>
      <c r="Q66" s="11"/>
      <c r="R66" s="11"/>
    </row>
    <row r="67" spans="1:18">
      <c r="M67" s="11"/>
      <c r="N67" s="11"/>
      <c r="Q67" s="11"/>
      <c r="R67" s="11"/>
    </row>
    <row r="68" spans="1:18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7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topLeftCell="A4" workbookViewId="0">
      <selection activeCell="AA49" sqref="AA49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4" width="2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243315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33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1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8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1099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10</v>
      </c>
      <c r="N11" s="57">
        <v>58</v>
      </c>
      <c r="O11" s="16">
        <f>((N11-M11)+1)*K11</f>
        <v>156408</v>
      </c>
      <c r="P11" s="16">
        <f>M11*K11</f>
        <v>31920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v>751.14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800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3818.04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7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f>R18</f>
        <v>4491.338999999999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149711.29999999999</v>
      </c>
      <c r="R18" s="68">
        <f>Q18*0.03</f>
        <v>4491.338999999999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23">
        <v>18</v>
      </c>
      <c r="J21" s="49" t="s">
        <v>44</v>
      </c>
      <c r="K21" s="50">
        <v>200</v>
      </c>
      <c r="L21" s="97" t="s">
        <v>45</v>
      </c>
      <c r="M21" s="98">
        <v>28</v>
      </c>
      <c r="O21" s="90"/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300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1493.41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10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1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1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69">
        <v>25</v>
      </c>
      <c r="K28" s="16"/>
      <c r="N28" s="24"/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69">
        <v>26</v>
      </c>
      <c r="K29" s="16"/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37396.78</v>
      </c>
      <c r="D35" s="216"/>
      <c r="J35" s="124" t="s">
        <v>52</v>
      </c>
      <c r="K35" s="217">
        <f>SUM(K4:K34)</f>
        <v>31005.719000000001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6391.0609999999979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9124.7489999999998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2859</v>
      </c>
      <c r="L40" s="139"/>
      <c r="M40" s="113"/>
      <c r="N40" s="24"/>
      <c r="Q40" s="140" t="s">
        <v>59</v>
      </c>
      <c r="S40" s="27">
        <v>4</v>
      </c>
      <c r="T40" s="16"/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12</v>
      </c>
      <c r="C45" s="58">
        <v>54.88</v>
      </c>
      <c r="D45" s="58">
        <f t="shared" ref="D45:D50" si="3">(B45-A45)*C45</f>
        <v>548.80000000000007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12</v>
      </c>
      <c r="C46" s="58">
        <v>62.64</v>
      </c>
      <c r="D46" s="58">
        <f t="shared" si="3"/>
        <v>626.4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12</v>
      </c>
      <c r="C47" s="58">
        <v>75</v>
      </c>
      <c r="D47" s="58">
        <f t="shared" si="3"/>
        <v>675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6</v>
      </c>
      <c r="B48" s="34">
        <v>12</v>
      </c>
      <c r="C48" s="58">
        <v>51.36</v>
      </c>
      <c r="D48" s="58">
        <f t="shared" si="3"/>
        <v>308.15999999999997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10</v>
      </c>
      <c r="B49" s="34">
        <v>12</v>
      </c>
      <c r="C49" s="58">
        <v>68.69</v>
      </c>
      <c r="D49" s="58">
        <f t="shared" si="3"/>
        <v>137.38</v>
      </c>
      <c r="F49" s="58">
        <f t="shared" si="4"/>
        <v>824.28</v>
      </c>
      <c r="S49" s="73" t="s">
        <v>12</v>
      </c>
      <c r="T49" s="74">
        <f t="shared" ref="T49:Y49" si="5">SUM(T37:T48)</f>
        <v>3000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10</v>
      </c>
      <c r="B50" s="34">
        <v>12</v>
      </c>
      <c r="C50" s="58">
        <v>222.1</v>
      </c>
      <c r="D50" s="58">
        <f t="shared" si="3"/>
        <v>444.2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10</v>
      </c>
      <c r="B51" s="34">
        <v>12</v>
      </c>
      <c r="C51" s="58">
        <v>63.09</v>
      </c>
      <c r="D51" s="58">
        <f t="shared" ref="D51:D54" si="6">(B51-A51)*C51</f>
        <v>126.18</v>
      </c>
      <c r="F51" s="58">
        <f t="shared" ref="F51:F54" si="7">C51*B51</f>
        <v>757.08</v>
      </c>
      <c r="S51" s="73" t="s">
        <v>40</v>
      </c>
      <c r="T51" s="213">
        <f>T49+U49+V49+W49+X49+T50+U50+V50+W50+X50+Y49+Y50</f>
        <v>3000</v>
      </c>
      <c r="U51" s="214"/>
      <c r="V51" s="214"/>
      <c r="W51" s="214"/>
      <c r="X51" s="214"/>
      <c r="Y51" s="215"/>
    </row>
    <row r="52" spans="1:25" s="58" customFormat="1">
      <c r="A52" s="34">
        <v>10</v>
      </c>
      <c r="B52" s="34">
        <v>12</v>
      </c>
      <c r="C52" s="58">
        <v>50.54</v>
      </c>
      <c r="D52" s="58">
        <f t="shared" si="6"/>
        <v>101.08</v>
      </c>
      <c r="F52" s="58">
        <f t="shared" si="7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283359</v>
      </c>
    </row>
    <row r="53" spans="1:25" s="58" customFormat="1">
      <c r="A53" s="34">
        <v>10</v>
      </c>
      <c r="B53" s="34">
        <v>12</v>
      </c>
      <c r="C53" s="58">
        <v>76.900000000000006</v>
      </c>
      <c r="D53" s="58">
        <f t="shared" si="6"/>
        <v>153.80000000000001</v>
      </c>
      <c r="F53" s="58">
        <f t="shared" si="7"/>
        <v>922.80000000000007</v>
      </c>
      <c r="S53" s="224" t="s">
        <v>75</v>
      </c>
      <c r="T53" s="225"/>
      <c r="U53" s="225"/>
      <c r="V53" s="225"/>
      <c r="W53" s="225"/>
      <c r="X53" s="226"/>
      <c r="Y53" s="195">
        <v>15600</v>
      </c>
    </row>
    <row r="54" spans="1:25" s="58" customFormat="1">
      <c r="A54" s="34">
        <v>11</v>
      </c>
      <c r="B54" s="34">
        <v>12</v>
      </c>
      <c r="C54" s="58">
        <v>46.84</v>
      </c>
      <c r="D54" s="58">
        <f t="shared" si="6"/>
        <v>46.84</v>
      </c>
      <c r="F54" s="58">
        <f t="shared" si="7"/>
        <v>562.08000000000004</v>
      </c>
      <c r="S54" s="224" t="s">
        <v>76</v>
      </c>
      <c r="T54" s="225"/>
      <c r="U54" s="225"/>
      <c r="V54" s="225"/>
      <c r="W54" s="225"/>
      <c r="X54" s="226"/>
      <c r="Y54" s="195">
        <v>18925</v>
      </c>
    </row>
    <row r="55" spans="1:25" s="58" customFormat="1">
      <c r="A55" s="34"/>
      <c r="B55" s="34"/>
      <c r="C55" s="58">
        <v>215</v>
      </c>
      <c r="S55" s="227" t="s">
        <v>74</v>
      </c>
      <c r="T55" s="227"/>
      <c r="U55" s="227"/>
      <c r="V55" s="227"/>
      <c r="W55" s="227"/>
      <c r="X55" s="227"/>
      <c r="Y55" s="194">
        <f>Y52-(Y53+Y54)</f>
        <v>248834</v>
      </c>
    </row>
    <row r="56" spans="1:25" s="58" customFormat="1">
      <c r="A56" s="34"/>
      <c r="B56" s="34"/>
      <c r="C56" s="58">
        <v>71</v>
      </c>
    </row>
    <row r="57" spans="1:25" s="58" customFormat="1">
      <c r="A57" s="34"/>
      <c r="B57" s="34"/>
      <c r="C57" s="58">
        <v>116</v>
      </c>
    </row>
    <row r="58" spans="1:25" s="58" customFormat="1">
      <c r="A58" s="34"/>
      <c r="B58" s="34"/>
      <c r="C58" s="58">
        <v>478</v>
      </c>
    </row>
    <row r="59" spans="1:25" s="58" customFormat="1">
      <c r="A59" s="34"/>
      <c r="B59" s="34"/>
      <c r="C59" s="58">
        <v>2166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3818.04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3818.04</v>
      </c>
      <c r="D63" s="20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6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topLeftCell="A4" workbookViewId="0">
      <selection activeCell="D28" sqref="D28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243344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1070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34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2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9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v>1066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11</v>
      </c>
      <c r="N11" s="57">
        <v>58</v>
      </c>
      <c r="O11" s="16">
        <f>((N11-M11)+1)*K11</f>
        <v>153216</v>
      </c>
      <c r="P11" s="16">
        <f>M11*K11</f>
        <v>35112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C12" s="58"/>
      <c r="D12"/>
      <c r="I12" s="23">
        <v>9</v>
      </c>
      <c r="J12" s="59" t="s">
        <v>30</v>
      </c>
      <c r="K12" s="60">
        <f>(699*0.07)+699</f>
        <v>747.93000000000006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900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3674.25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8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41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400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11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2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1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1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15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15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37363.78</v>
      </c>
      <c r="D35" s="216"/>
      <c r="J35" s="124" t="s">
        <v>52</v>
      </c>
      <c r="K35" s="217">
        <f>SUM(K4:K34)</f>
        <v>33204.270000000004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4159.5099999999948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/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3</v>
      </c>
      <c r="B45" s="34">
        <v>12</v>
      </c>
      <c r="C45" s="58">
        <v>54.88</v>
      </c>
      <c r="D45" s="58">
        <f t="shared" ref="D45:D54" si="3">(B45-A45)*C45</f>
        <v>493.92</v>
      </c>
      <c r="F45" s="58">
        <f>C45*B45</f>
        <v>658.56000000000006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12</v>
      </c>
      <c r="C46" s="58">
        <v>62.64</v>
      </c>
      <c r="D46" s="58">
        <f t="shared" si="3"/>
        <v>563.76</v>
      </c>
      <c r="F46" s="58">
        <f>C46*B46</f>
        <v>751.68000000000006</v>
      </c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4</v>
      </c>
      <c r="B47" s="34">
        <v>12</v>
      </c>
      <c r="C47" s="58">
        <v>75</v>
      </c>
      <c r="D47" s="58">
        <f t="shared" si="3"/>
        <v>600</v>
      </c>
      <c r="F47" s="58">
        <f t="shared" ref="F47:F49" si="4">C47*B47</f>
        <v>900</v>
      </c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7</v>
      </c>
      <c r="B48" s="34">
        <v>12</v>
      </c>
      <c r="C48" s="58">
        <v>51.36</v>
      </c>
      <c r="D48" s="58">
        <f t="shared" si="3"/>
        <v>256.8</v>
      </c>
      <c r="F48" s="58">
        <f t="shared" si="4"/>
        <v>616.31999999999994</v>
      </c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11</v>
      </c>
      <c r="B49" s="34">
        <v>12</v>
      </c>
      <c r="C49" s="58">
        <v>68.69</v>
      </c>
      <c r="D49" s="58">
        <f t="shared" si="3"/>
        <v>68.69</v>
      </c>
      <c r="F49" s="58">
        <f t="shared" si="4"/>
        <v>824.28</v>
      </c>
      <c r="S49" s="73" t="s">
        <v>12</v>
      </c>
      <c r="T49" s="74">
        <f t="shared" ref="T49:Y49" si="5">SUM(T37:T48)</f>
        <v>6000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34">
        <v>11</v>
      </c>
      <c r="B50" s="34">
        <v>12</v>
      </c>
      <c r="C50" s="58">
        <v>222.1</v>
      </c>
      <c r="D50" s="58">
        <f t="shared" si="3"/>
        <v>222.1</v>
      </c>
      <c r="F50" s="58">
        <f>C50*B50</f>
        <v>2665.2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11</v>
      </c>
      <c r="B51" s="34">
        <v>12</v>
      </c>
      <c r="C51" s="58">
        <v>63.09</v>
      </c>
      <c r="D51" s="58">
        <f t="shared" si="3"/>
        <v>63.09</v>
      </c>
      <c r="F51" s="58">
        <f t="shared" ref="F51:F54" si="6">C51*B51</f>
        <v>757.08</v>
      </c>
      <c r="S51" s="73" t="s">
        <v>40</v>
      </c>
      <c r="T51" s="213">
        <f>T49+U49+V49+W49+X49+T50+U50+V50+W50+X50+Y49+Y50</f>
        <v>6000</v>
      </c>
      <c r="U51" s="214"/>
      <c r="V51" s="214"/>
      <c r="W51" s="214"/>
      <c r="X51" s="214"/>
      <c r="Y51" s="215"/>
    </row>
    <row r="52" spans="1:25" s="58" customFormat="1">
      <c r="A52" s="34">
        <v>11</v>
      </c>
      <c r="B52" s="34">
        <v>12</v>
      </c>
      <c r="C52" s="58">
        <v>50.54</v>
      </c>
      <c r="D52" s="58">
        <f t="shared" si="3"/>
        <v>50.54</v>
      </c>
      <c r="F52" s="58">
        <f t="shared" si="6"/>
        <v>606.48</v>
      </c>
      <c r="S52" s="194" t="s">
        <v>74</v>
      </c>
      <c r="T52" s="194"/>
      <c r="U52" s="194"/>
      <c r="V52" s="194"/>
      <c r="W52" s="194"/>
      <c r="X52" s="194"/>
      <c r="Y52" s="194">
        <f>T17-T51</f>
        <v>280359</v>
      </c>
    </row>
    <row r="53" spans="1:25" s="58" customFormat="1">
      <c r="A53" s="34">
        <v>11</v>
      </c>
      <c r="B53" s="34">
        <v>12</v>
      </c>
      <c r="C53" s="58">
        <v>76.900000000000006</v>
      </c>
      <c r="D53" s="58">
        <f t="shared" si="3"/>
        <v>76.900000000000006</v>
      </c>
      <c r="F53" s="58">
        <f t="shared" si="6"/>
        <v>922.80000000000007</v>
      </c>
      <c r="K53" s="58">
        <v>1330</v>
      </c>
    </row>
    <row r="54" spans="1:25" s="58" customFormat="1">
      <c r="A54" s="34">
        <v>12</v>
      </c>
      <c r="B54" s="34">
        <v>12</v>
      </c>
      <c r="C54" s="58">
        <v>43.05</v>
      </c>
      <c r="D54" s="58">
        <f t="shared" si="3"/>
        <v>0</v>
      </c>
      <c r="F54" s="58">
        <f t="shared" si="6"/>
        <v>516.59999999999991</v>
      </c>
      <c r="K54" s="58">
        <v>349</v>
      </c>
    </row>
    <row r="55" spans="1:25" s="58" customFormat="1">
      <c r="A55" s="34"/>
      <c r="B55" s="34"/>
      <c r="C55" s="58">
        <v>1330</v>
      </c>
      <c r="K55" s="58">
        <v>1227</v>
      </c>
    </row>
    <row r="56" spans="1:25" s="58" customFormat="1">
      <c r="A56" s="34"/>
      <c r="B56" s="34"/>
      <c r="C56" s="58">
        <v>349</v>
      </c>
    </row>
    <row r="57" spans="1:25" s="58" customFormat="1">
      <c r="A57" s="34"/>
      <c r="B57" s="34"/>
      <c r="C57" s="58">
        <v>1227</v>
      </c>
    </row>
    <row r="58" spans="1:25" s="58" customFormat="1">
      <c r="A58" s="34"/>
      <c r="B58" s="34"/>
    </row>
    <row r="59" spans="1:25" s="58" customFormat="1">
      <c r="A59" s="34"/>
      <c r="B59" s="34"/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/>
      <c r="D61" s="149"/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3674.25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3674.25</v>
      </c>
      <c r="D63" s="20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10:18">
      <c r="J65" s="18">
        <v>3457297</v>
      </c>
      <c r="M65" s="11"/>
      <c r="N65" s="11"/>
      <c r="Q65" s="11"/>
      <c r="R65" s="11"/>
    </row>
  </sheetData>
  <mergeCells count="13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</mergeCells>
  <conditionalFormatting sqref="L23">
    <cfRule type="cellIs" dxfId="5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topLeftCell="A15" workbookViewId="0">
      <selection activeCell="C12" sqref="C12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243374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35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3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10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1066*4</f>
        <v>4264</v>
      </c>
      <c r="D11" s="53"/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12</v>
      </c>
      <c r="N11" s="57">
        <v>58</v>
      </c>
      <c r="O11" s="16">
        <f>((N11-M11)+1)*K11</f>
        <v>150024</v>
      </c>
      <c r="P11" s="16">
        <f>M11*K11</f>
        <v>38304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v>2216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1200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1693.5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9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1500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12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3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2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2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69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41060.78</v>
      </c>
      <c r="D35" s="216"/>
      <c r="J35" s="124" t="s">
        <v>52</v>
      </c>
      <c r="K35" s="217">
        <f>SUM(K4:K34)</f>
        <v>33111.590000000004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7949.1899999999951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9140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/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4</v>
      </c>
      <c r="B45" s="34">
        <v>12</v>
      </c>
      <c r="C45" s="58">
        <v>54.88</v>
      </c>
      <c r="D45" s="58">
        <f t="shared" ref="D45:D59" si="3">(B45-A45)*C45</f>
        <v>439.04</v>
      </c>
      <c r="F45" s="58">
        <f>C45*B45</f>
        <v>658.56000000000006</v>
      </c>
      <c r="G45" s="228">
        <f>C45+C46+C47+C48</f>
        <v>243.88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4</v>
      </c>
      <c r="B46" s="34">
        <v>12</v>
      </c>
      <c r="C46" s="58">
        <v>62.64</v>
      </c>
      <c r="D46" s="58">
        <f t="shared" si="3"/>
        <v>501.12</v>
      </c>
      <c r="F46" s="58">
        <f>C46*B46</f>
        <v>751.68000000000006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5</v>
      </c>
      <c r="B47" s="34">
        <v>12</v>
      </c>
      <c r="C47" s="58">
        <v>75</v>
      </c>
      <c r="D47" s="58">
        <f t="shared" si="3"/>
        <v>525</v>
      </c>
      <c r="F47" s="58">
        <f t="shared" ref="F47:F49" si="4">C47*B47</f>
        <v>900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8</v>
      </c>
      <c r="B48" s="34">
        <v>12</v>
      </c>
      <c r="C48" s="58">
        <v>51.36</v>
      </c>
      <c r="D48" s="58">
        <f t="shared" si="3"/>
        <v>205.44</v>
      </c>
      <c r="F48" s="58">
        <f t="shared" si="4"/>
        <v>616.31999999999994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197">
        <v>12</v>
      </c>
      <c r="B49" s="197">
        <v>12</v>
      </c>
      <c r="C49" s="198">
        <v>62.8</v>
      </c>
      <c r="D49" s="198">
        <f t="shared" si="3"/>
        <v>0</v>
      </c>
      <c r="E49" s="198"/>
      <c r="F49" s="198">
        <f t="shared" si="4"/>
        <v>753.59999999999991</v>
      </c>
      <c r="S49" s="73" t="s">
        <v>12</v>
      </c>
      <c r="T49" s="74">
        <f t="shared" ref="T49:Y49" si="5">SUM(T37:T48)</f>
        <v>9000</v>
      </c>
      <c r="U49" s="74">
        <f t="shared" si="5"/>
        <v>0</v>
      </c>
      <c r="V49" s="74">
        <f t="shared" si="5"/>
        <v>0</v>
      </c>
      <c r="W49" s="74">
        <f t="shared" si="5"/>
        <v>0</v>
      </c>
      <c r="X49" s="74">
        <f t="shared" si="5"/>
        <v>0</v>
      </c>
      <c r="Y49" s="74">
        <f t="shared" si="5"/>
        <v>0</v>
      </c>
    </row>
    <row r="50" spans="1:25" s="58" customFormat="1">
      <c r="A50" s="197">
        <v>12</v>
      </c>
      <c r="B50" s="197">
        <v>12</v>
      </c>
      <c r="C50" s="198">
        <v>225.41</v>
      </c>
      <c r="D50" s="198">
        <f t="shared" si="3"/>
        <v>0</v>
      </c>
      <c r="E50" s="198"/>
      <c r="F50" s="198">
        <f>C50*B50</f>
        <v>2704.92</v>
      </c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197">
        <v>12</v>
      </c>
      <c r="B51" s="197">
        <v>12</v>
      </c>
      <c r="C51" s="198">
        <v>65.09</v>
      </c>
      <c r="D51" s="198">
        <f t="shared" si="3"/>
        <v>0</v>
      </c>
      <c r="E51" s="198"/>
      <c r="F51" s="198">
        <f t="shared" ref="F51:F59" si="6">C51*B51</f>
        <v>781.08</v>
      </c>
      <c r="S51" s="73" t="s">
        <v>40</v>
      </c>
      <c r="T51" s="213">
        <f>T49+U49+V49+W49+X49+T50+U50+V50+W50+X50+Y49+Y50</f>
        <v>9000</v>
      </c>
      <c r="U51" s="214"/>
      <c r="V51" s="214"/>
      <c r="W51" s="214"/>
      <c r="X51" s="214"/>
      <c r="Y51" s="215"/>
    </row>
    <row r="52" spans="1:25" s="58" customFormat="1">
      <c r="A52" s="197">
        <v>12</v>
      </c>
      <c r="B52" s="197">
        <v>12</v>
      </c>
      <c r="C52" s="198">
        <v>52.2</v>
      </c>
      <c r="D52" s="198">
        <f t="shared" si="3"/>
        <v>0</v>
      </c>
      <c r="E52" s="198"/>
      <c r="F52" s="198">
        <f t="shared" si="6"/>
        <v>626.40000000000009</v>
      </c>
      <c r="S52" s="194" t="s">
        <v>74</v>
      </c>
      <c r="T52" s="194"/>
      <c r="U52" s="194"/>
      <c r="V52" s="194"/>
      <c r="W52" s="194"/>
      <c r="X52" s="194"/>
      <c r="Y52" s="194">
        <f>T17-T51</f>
        <v>277359</v>
      </c>
    </row>
    <row r="53" spans="1:25" s="58" customFormat="1">
      <c r="A53" s="197">
        <v>12</v>
      </c>
      <c r="B53" s="197">
        <v>12</v>
      </c>
      <c r="C53" s="198">
        <v>79.33</v>
      </c>
      <c r="D53" s="198">
        <f t="shared" si="3"/>
        <v>0</v>
      </c>
      <c r="E53" s="198"/>
      <c r="F53" s="198">
        <f t="shared" si="6"/>
        <v>951.96</v>
      </c>
      <c r="K53" s="58">
        <v>1330</v>
      </c>
    </row>
    <row r="54" spans="1:25" s="58" customFormat="1">
      <c r="A54" s="34">
        <v>1</v>
      </c>
      <c r="B54" s="34">
        <v>3</v>
      </c>
      <c r="C54" s="58">
        <v>40.659999999999997</v>
      </c>
      <c r="D54" s="58">
        <f t="shared" si="3"/>
        <v>81.319999999999993</v>
      </c>
      <c r="F54" s="58">
        <f t="shared" si="6"/>
        <v>121.97999999999999</v>
      </c>
      <c r="K54" s="58">
        <v>349</v>
      </c>
    </row>
    <row r="55" spans="1:25" s="58" customFormat="1">
      <c r="A55" s="34">
        <v>1</v>
      </c>
      <c r="B55" s="34">
        <v>3</v>
      </c>
      <c r="C55" s="58">
        <v>43.74</v>
      </c>
      <c r="D55" s="58">
        <f t="shared" si="3"/>
        <v>87.48</v>
      </c>
      <c r="F55" s="58">
        <f t="shared" si="6"/>
        <v>131.22</v>
      </c>
      <c r="K55" s="58">
        <v>1227</v>
      </c>
    </row>
    <row r="56" spans="1:25" s="58" customFormat="1">
      <c r="A56" s="34">
        <v>1</v>
      </c>
      <c r="B56" s="34">
        <v>3</v>
      </c>
      <c r="C56" s="58">
        <v>37.93</v>
      </c>
      <c r="D56" s="58">
        <f t="shared" si="3"/>
        <v>75.86</v>
      </c>
      <c r="F56" s="58">
        <f t="shared" si="6"/>
        <v>113.78999999999999</v>
      </c>
    </row>
    <row r="57" spans="1:25" s="58" customFormat="1">
      <c r="A57" s="34">
        <v>1</v>
      </c>
      <c r="B57" s="34">
        <v>6</v>
      </c>
      <c r="C57" s="58">
        <v>64.739999999999995</v>
      </c>
      <c r="D57" s="58">
        <f t="shared" si="3"/>
        <v>323.7</v>
      </c>
      <c r="F57" s="58">
        <f t="shared" si="6"/>
        <v>388.43999999999994</v>
      </c>
    </row>
    <row r="58" spans="1:25" s="58" customFormat="1">
      <c r="A58" s="34">
        <v>1</v>
      </c>
      <c r="B58" s="34">
        <v>6</v>
      </c>
      <c r="C58" s="58">
        <v>40.549999999999997</v>
      </c>
      <c r="D58" s="58">
        <f t="shared" si="3"/>
        <v>202.75</v>
      </c>
      <c r="F58" s="58">
        <f t="shared" si="6"/>
        <v>243.29999999999998</v>
      </c>
    </row>
    <row r="59" spans="1:25" s="58" customFormat="1">
      <c r="A59" s="34">
        <v>1</v>
      </c>
      <c r="B59" s="34">
        <v>6</v>
      </c>
      <c r="C59" s="58">
        <v>34.17</v>
      </c>
      <c r="D59" s="58">
        <f t="shared" si="3"/>
        <v>170.85000000000002</v>
      </c>
      <c r="F59" s="58">
        <f t="shared" si="6"/>
        <v>205.02</v>
      </c>
      <c r="K59" s="58">
        <v>1122</v>
      </c>
    </row>
    <row r="60" spans="1:25" s="58" customFormat="1">
      <c r="A60" s="34"/>
      <c r="B60" s="34"/>
    </row>
    <row r="61" spans="1:25">
      <c r="A61" s="148"/>
      <c r="B61" s="148"/>
      <c r="C61" s="22">
        <f>C74</f>
        <v>703</v>
      </c>
      <c r="D61" s="149">
        <f>C49+C50+C51+C52+C53</f>
        <v>484.82999999999993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1693.5</v>
      </c>
      <c r="E62" s="74">
        <f>SUM(E47:E61)</f>
        <v>0</v>
      </c>
      <c r="K62" s="28">
        <f>SUM(K53:K61)</f>
        <v>4028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1693.5</v>
      </c>
      <c r="D63" s="204"/>
      <c r="E63" s="181"/>
      <c r="M63" s="11"/>
      <c r="N63" s="11"/>
      <c r="Q63" s="11"/>
      <c r="R63" s="11"/>
    </row>
    <row r="64" spans="1:25">
      <c r="M64" s="11"/>
      <c r="N64" s="11"/>
      <c r="Q64" s="11"/>
      <c r="R64" s="11"/>
    </row>
    <row r="65" spans="3:18">
      <c r="C65" s="28">
        <v>154</v>
      </c>
      <c r="J65" s="18">
        <v>3457297</v>
      </c>
      <c r="M65" s="11"/>
      <c r="N65" s="11"/>
      <c r="Q65" s="11"/>
      <c r="R65" s="11"/>
    </row>
    <row r="66" spans="3:18">
      <c r="C66" s="28">
        <v>100</v>
      </c>
    </row>
    <row r="67" spans="3:18">
      <c r="C67" s="28">
        <v>187</v>
      </c>
    </row>
    <row r="68" spans="3:18">
      <c r="C68" s="28">
        <v>52</v>
      </c>
    </row>
    <row r="69" spans="3:18">
      <c r="C69" s="28">
        <v>70</v>
      </c>
    </row>
    <row r="70" spans="3:18">
      <c r="C70" s="28">
        <v>95</v>
      </c>
    </row>
    <row r="71" spans="3:18">
      <c r="C71" s="28">
        <v>45</v>
      </c>
    </row>
    <row r="74" spans="3:18">
      <c r="C74" s="28">
        <f>SUM(C65:C73)</f>
        <v>703</v>
      </c>
    </row>
  </sheetData>
  <mergeCells count="14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  <mergeCell ref="G45:G48"/>
  </mergeCells>
  <conditionalFormatting sqref="L23">
    <cfRule type="cellIs" dxfId="4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dimension ref="A1:AA81"/>
  <sheetViews>
    <sheetView workbookViewId="0">
      <selection activeCell="K34" sqref="K34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243405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270.83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36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4</v>
      </c>
      <c r="F9" s="24" t="s">
        <v>68</v>
      </c>
      <c r="I9" s="23">
        <v>6</v>
      </c>
      <c r="J9" s="29" t="s">
        <v>23</v>
      </c>
      <c r="K9" s="30">
        <v>400</v>
      </c>
      <c r="L9" s="31"/>
      <c r="M9" s="41">
        <v>11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23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D11*4</f>
        <v>4264</v>
      </c>
      <c r="D11" s="53" t="s">
        <v>83</v>
      </c>
      <c r="E11" s="15"/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13</v>
      </c>
      <c r="N11" s="57">
        <v>58</v>
      </c>
      <c r="O11" s="16">
        <f>((N11-M11)+1)*K11</f>
        <v>146832</v>
      </c>
      <c r="P11" s="16">
        <f>M11*K11</f>
        <v>41496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23">
        <v>9</v>
      </c>
      <c r="J12" s="59" t="s">
        <v>30</v>
      </c>
      <c r="K12" s="60">
        <f>1109-K10</f>
        <v>442</v>
      </c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B13" s="191" t="s">
        <v>69</v>
      </c>
      <c r="C13" s="192">
        <v>441</v>
      </c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18" t="s">
        <v>48</v>
      </c>
      <c r="C14" s="16">
        <v>1500</v>
      </c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23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23">
        <v>13</v>
      </c>
      <c r="J16" s="77" t="s">
        <v>36</v>
      </c>
      <c r="K16" s="78">
        <f>C62</f>
        <v>2187.1799999999998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10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G20" s="16">
        <f>K30+K30+K29+K26+K25+K69+K71+L74</f>
        <v>6415.96</v>
      </c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G21" s="16">
        <f>G20-6800</f>
        <v>-384.03999999999996</v>
      </c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2940/2</f>
        <v>1470</v>
      </c>
      <c r="L24" s="76" t="s">
        <v>48</v>
      </c>
      <c r="M24" s="15">
        <v>13</v>
      </c>
      <c r="N24" s="15">
        <v>60</v>
      </c>
      <c r="O24" s="16">
        <f>K24*2</f>
        <v>2940</v>
      </c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4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3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3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1</v>
      </c>
      <c r="N30" s="24" t="s">
        <v>85</v>
      </c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>
        <v>512.5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>
        <v>384.04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>
        <v>220</v>
      </c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43001.78</v>
      </c>
      <c r="D35" s="216"/>
      <c r="J35" s="124" t="s">
        <v>52</v>
      </c>
      <c r="K35" s="217">
        <f>SUM(K4:K34)</f>
        <v>33474.54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9527.239999999998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201">
        <f>C37-8376.74</f>
        <v>1150.4999999999982</v>
      </c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f>K27-1500</f>
        <v>3500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f>K40+K28</f>
        <v>4900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3</v>
      </c>
      <c r="C45" s="58">
        <v>63.21</v>
      </c>
      <c r="D45" s="58">
        <f t="shared" ref="D45" si="3">(B45-A45)*C45</f>
        <v>126.42</v>
      </c>
      <c r="F45" s="58">
        <f>C45*B45</f>
        <v>189.63</v>
      </c>
      <c r="G45" s="228">
        <f>C45+C46+C47+C48</f>
        <v>256.55999999999995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36.549999999999997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70.83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85.97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</v>
      </c>
      <c r="B49" s="34">
        <v>6</v>
      </c>
      <c r="C49" s="199">
        <v>57.95</v>
      </c>
      <c r="D49" s="199"/>
      <c r="E49" s="199"/>
      <c r="F49" s="199"/>
      <c r="S49" s="73" t="s">
        <v>12</v>
      </c>
      <c r="T49" s="74">
        <f t="shared" ref="T49:Y49" si="4">SUM(T37:T48)</f>
        <v>12000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40.549999999999997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2</v>
      </c>
      <c r="B51" s="34">
        <v>6</v>
      </c>
      <c r="C51" s="199">
        <v>34.17</v>
      </c>
      <c r="D51" s="199"/>
      <c r="E51" s="199"/>
      <c r="F51" s="199"/>
      <c r="S51" s="73" t="s">
        <v>40</v>
      </c>
      <c r="T51" s="213">
        <f>T49+U49+V49+W49+X49+T50+U50+V50+W50+X50+Y49+Y50</f>
        <v>12000</v>
      </c>
      <c r="U51" s="214"/>
      <c r="V51" s="214"/>
      <c r="W51" s="214"/>
      <c r="X51" s="214"/>
      <c r="Y51" s="215"/>
    </row>
    <row r="52" spans="1:25" s="58" customFormat="1">
      <c r="A52" s="34">
        <v>2</v>
      </c>
      <c r="B52" s="34">
        <v>3</v>
      </c>
      <c r="C52" s="199">
        <v>40.659999999999997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274359</v>
      </c>
    </row>
    <row r="53" spans="1:25" s="58" customFormat="1">
      <c r="A53" s="34">
        <v>2</v>
      </c>
      <c r="B53" s="34">
        <v>3</v>
      </c>
      <c r="C53" s="199">
        <v>43.74</v>
      </c>
      <c r="D53" s="199"/>
      <c r="E53" s="199"/>
      <c r="F53" s="199"/>
    </row>
    <row r="54" spans="1:25" s="58" customFormat="1">
      <c r="A54" s="34">
        <v>2</v>
      </c>
      <c r="B54" s="34">
        <v>3</v>
      </c>
      <c r="C54" s="58">
        <v>37.93</v>
      </c>
    </row>
    <row r="55" spans="1:25" s="58" customFormat="1">
      <c r="A55" s="34">
        <v>2</v>
      </c>
      <c r="B55" s="34">
        <v>6</v>
      </c>
      <c r="C55" s="58">
        <v>64.739999999999995</v>
      </c>
    </row>
    <row r="56" spans="1:25" s="58" customFormat="1">
      <c r="A56" s="34">
        <v>5</v>
      </c>
      <c r="B56" s="34">
        <v>12</v>
      </c>
      <c r="C56" s="58">
        <v>54.88</v>
      </c>
    </row>
    <row r="57" spans="1:25" s="58" customFormat="1">
      <c r="A57" s="34">
        <v>5</v>
      </c>
      <c r="B57" s="34">
        <v>12</v>
      </c>
      <c r="C57" s="58">
        <v>62.64</v>
      </c>
    </row>
    <row r="58" spans="1:25" s="58" customFormat="1">
      <c r="A58" s="34">
        <v>6</v>
      </c>
      <c r="B58" s="34">
        <v>12</v>
      </c>
      <c r="C58" s="58">
        <v>75</v>
      </c>
    </row>
    <row r="59" spans="1:25" s="58" customFormat="1">
      <c r="A59" s="34">
        <v>9</v>
      </c>
      <c r="B59" s="34">
        <v>12</v>
      </c>
      <c r="C59" s="58">
        <v>51.36</v>
      </c>
    </row>
    <row r="60" spans="1:25" s="58" customFormat="1">
      <c r="A60" s="34"/>
      <c r="B60" s="34" t="s">
        <v>82</v>
      </c>
      <c r="C60" s="58">
        <f>C80</f>
        <v>1367</v>
      </c>
    </row>
    <row r="61" spans="1:25">
      <c r="A61" s="148"/>
      <c r="B61" s="148"/>
      <c r="C61" s="22"/>
      <c r="D61" s="149">
        <f>C49+C50+C51+C52+C53</f>
        <v>217.07000000000002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2187.1799999999998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2187.1799999999998</v>
      </c>
      <c r="D63" s="204"/>
      <c r="E63" s="181"/>
      <c r="M63" s="11"/>
      <c r="N63" s="11"/>
      <c r="Q63" s="11"/>
      <c r="R63" s="11"/>
    </row>
    <row r="64" spans="1:25">
      <c r="C64" s="28">
        <v>72</v>
      </c>
      <c r="M64" s="11"/>
      <c r="N64" s="11"/>
      <c r="Q64" s="11"/>
      <c r="R64" s="11"/>
    </row>
    <row r="65" spans="3:18">
      <c r="C65" s="28">
        <v>152</v>
      </c>
      <c r="M65" s="11"/>
      <c r="N65" s="11"/>
      <c r="Q65" s="11"/>
      <c r="R65" s="11"/>
    </row>
    <row r="66" spans="3:18">
      <c r="C66" s="28">
        <v>69</v>
      </c>
    </row>
    <row r="67" spans="3:18">
      <c r="C67" s="28">
        <v>55</v>
      </c>
      <c r="L67" s="28">
        <v>882</v>
      </c>
    </row>
    <row r="68" spans="3:18">
      <c r="C68" s="28">
        <v>90</v>
      </c>
      <c r="L68" s="28">
        <v>625.9</v>
      </c>
    </row>
    <row r="69" spans="3:18">
      <c r="C69" s="28">
        <v>64</v>
      </c>
      <c r="K69" s="28">
        <v>835</v>
      </c>
    </row>
    <row r="70" spans="3:18">
      <c r="C70" s="28">
        <v>205</v>
      </c>
      <c r="L70" s="28">
        <v>950.3</v>
      </c>
    </row>
    <row r="71" spans="3:18">
      <c r="C71" s="28">
        <v>80</v>
      </c>
      <c r="K71" s="28">
        <v>686.4</v>
      </c>
    </row>
    <row r="72" spans="3:18">
      <c r="C72" s="28">
        <v>101</v>
      </c>
      <c r="L72" s="28">
        <v>84.64</v>
      </c>
    </row>
    <row r="73" spans="3:18">
      <c r="C73" s="28">
        <v>152</v>
      </c>
      <c r="L73" s="28">
        <v>5.65</v>
      </c>
      <c r="O73" s="28">
        <f>L67+L68+L70+L72+L73</f>
        <v>2548.4899999999998</v>
      </c>
    </row>
    <row r="74" spans="3:18">
      <c r="C74" s="28">
        <v>210</v>
      </c>
      <c r="L74" s="28">
        <v>2435.67</v>
      </c>
    </row>
    <row r="75" spans="3:18">
      <c r="C75" s="28">
        <v>117</v>
      </c>
    </row>
    <row r="80" spans="3:18">
      <c r="C80" s="28">
        <f>SUM(C64:C79)</f>
        <v>1367</v>
      </c>
      <c r="K80" s="28">
        <f>SUM(K67:K79)</f>
        <v>1521.4</v>
      </c>
      <c r="L80" s="54">
        <f>SUM(L67:L79)</f>
        <v>4984.16</v>
      </c>
    </row>
    <row r="81" spans="12:12">
      <c r="L81" s="54">
        <f>L80+K80</f>
        <v>6505.5599999999995</v>
      </c>
    </row>
  </sheetData>
  <mergeCells count="14">
    <mergeCell ref="M3:N3"/>
    <mergeCell ref="A1:G1"/>
    <mergeCell ref="H1:P1"/>
    <mergeCell ref="S1:X1"/>
    <mergeCell ref="A2:G2"/>
    <mergeCell ref="I2:P2"/>
    <mergeCell ref="T51:Y51"/>
    <mergeCell ref="C63:D63"/>
    <mergeCell ref="T17:Y17"/>
    <mergeCell ref="C35:D35"/>
    <mergeCell ref="K35:L35"/>
    <mergeCell ref="S35:X35"/>
    <mergeCell ref="C37:L37"/>
    <mergeCell ref="G45:G48"/>
  </mergeCells>
  <conditionalFormatting sqref="L23">
    <cfRule type="cellIs" dxfId="3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6E5-EC6E-4825-BAB5-D3FD64DAE331}">
  <sheetPr>
    <tabColor rgb="FF00B050"/>
  </sheetPr>
  <dimension ref="A1:AA81"/>
  <sheetViews>
    <sheetView workbookViewId="0">
      <selection activeCell="D16" sqref="D16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243405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5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12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5330</v>
      </c>
      <c r="D11" s="53" t="s">
        <v>83</v>
      </c>
      <c r="E11" s="15">
        <v>5</v>
      </c>
      <c r="F11" s="54"/>
      <c r="I11" s="23">
        <v>8</v>
      </c>
      <c r="J11" s="55" t="s">
        <v>28</v>
      </c>
      <c r="K11" s="56">
        <v>3192</v>
      </c>
      <c r="L11" s="57" t="s">
        <v>29</v>
      </c>
      <c r="M11" s="57">
        <v>14</v>
      </c>
      <c r="N11" s="57">
        <v>58</v>
      </c>
      <c r="O11" s="16">
        <f>((N11-M11)+1)*K11</f>
        <v>143640</v>
      </c>
      <c r="P11" s="16">
        <f>M11*K11</f>
        <v>44688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5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23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23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5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5">
        <v>13</v>
      </c>
      <c r="J16" s="77" t="s">
        <v>36</v>
      </c>
      <c r="K16" s="78">
        <f>C63</f>
        <v>2560.06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23">
        <v>14</v>
      </c>
      <c r="J17" s="81" t="s">
        <v>38</v>
      </c>
      <c r="K17" s="82">
        <v>2140</v>
      </c>
      <c r="L17" s="83" t="s">
        <v>39</v>
      </c>
      <c r="M17" s="84">
        <v>11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23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23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23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23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23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23">
        <v>21</v>
      </c>
      <c r="J24" s="18" t="s">
        <v>48</v>
      </c>
      <c r="K24" s="16">
        <f>2940</f>
        <v>2940</v>
      </c>
      <c r="L24" s="76" t="s">
        <v>48</v>
      </c>
      <c r="M24" s="15">
        <v>14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23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23">
        <v>23</v>
      </c>
      <c r="J26" s="191" t="s">
        <v>69</v>
      </c>
      <c r="K26" s="192">
        <f>882/2</f>
        <v>441</v>
      </c>
      <c r="L26" s="112" t="s">
        <v>49</v>
      </c>
      <c r="M26" s="17">
        <v>5</v>
      </c>
      <c r="N26" s="17">
        <v>10</v>
      </c>
      <c r="O26" s="16">
        <f>K26*(N26+1-M26)</f>
        <v>2646</v>
      </c>
      <c r="P26" s="16">
        <f>K26*2</f>
        <v>882</v>
      </c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23">
        <v>24</v>
      </c>
      <c r="J27" s="18" t="s">
        <v>71</v>
      </c>
      <c r="K27" s="16">
        <f>5000-1500</f>
        <v>3500</v>
      </c>
      <c r="L27" s="15" t="s">
        <v>88</v>
      </c>
      <c r="M27" s="17">
        <v>5</v>
      </c>
      <c r="N27" s="17">
        <f>12*24</f>
        <v>288</v>
      </c>
      <c r="O27" s="233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23">
        <v>25</v>
      </c>
      <c r="J28" s="18" t="s">
        <v>72</v>
      </c>
      <c r="K28" s="16">
        <v>1400</v>
      </c>
      <c r="M28" s="17">
        <v>4</v>
      </c>
      <c r="N28" s="24" t="s">
        <v>78</v>
      </c>
      <c r="O28" s="234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23">
        <v>26</v>
      </c>
      <c r="J29" s="191" t="s">
        <v>77</v>
      </c>
      <c r="K29" s="196">
        <v>950.3</v>
      </c>
      <c r="L29" s="112" t="s">
        <v>49</v>
      </c>
      <c r="M29" s="17">
        <v>4</v>
      </c>
      <c r="N29" s="17">
        <v>10</v>
      </c>
      <c r="O29" s="16">
        <f>K29*(N29+1-M29)</f>
        <v>6652.0999999999995</v>
      </c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23">
        <v>27</v>
      </c>
      <c r="J30" s="191" t="s">
        <v>84</v>
      </c>
      <c r="K30" s="200">
        <v>325.89999999999998</v>
      </c>
      <c r="L30" s="112" t="s">
        <v>49</v>
      </c>
      <c r="M30" s="114">
        <v>2</v>
      </c>
      <c r="N30" s="24" t="s">
        <v>85</v>
      </c>
      <c r="O30" s="16">
        <f>K30*(N30+1-M30)</f>
        <v>2933.1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23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23">
        <v>29</v>
      </c>
      <c r="J32" s="18" t="s">
        <v>87</v>
      </c>
      <c r="K32" s="16">
        <v>500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41899</v>
      </c>
      <c r="D35" s="216"/>
      <c r="J35" s="124" t="s">
        <v>52</v>
      </c>
      <c r="K35" s="217">
        <f>SUM(K4:K34)</f>
        <v>32908.050000000003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8990.9499999999971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6</v>
      </c>
      <c r="C45" s="58">
        <v>66.13</v>
      </c>
      <c r="D45" s="58">
        <f t="shared" ref="D45" si="3">(B45-A45)*C45</f>
        <v>330.65</v>
      </c>
      <c r="F45" s="58">
        <f>C45*B45</f>
        <v>396.78</v>
      </c>
      <c r="G45" s="228">
        <f>C45+C46+C47+C48</f>
        <v>236.71999999999997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2</v>
      </c>
      <c r="B46" s="34">
        <v>3</v>
      </c>
      <c r="C46" s="58">
        <v>63.21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2</v>
      </c>
      <c r="B47" s="34">
        <v>6</v>
      </c>
      <c r="C47" s="58">
        <v>36.549999999999997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2</v>
      </c>
      <c r="B48" s="34">
        <v>6</v>
      </c>
      <c r="C48" s="58">
        <v>70.83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2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3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13">
        <f>T49+U49+V49+W49+X49+T50+U50+V50+W50+X50+Y49+Y50</f>
        <v>15000</v>
      </c>
      <c r="U51" s="214"/>
      <c r="V51" s="214"/>
      <c r="W51" s="214"/>
      <c r="X51" s="214"/>
      <c r="Y51" s="215"/>
    </row>
    <row r="52" spans="1:25" s="58" customFormat="1">
      <c r="A52" s="34">
        <v>3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3</v>
      </c>
      <c r="B53" s="34">
        <v>3</v>
      </c>
      <c r="C53" s="199">
        <v>40.590000000000003</v>
      </c>
      <c r="D53" s="199"/>
      <c r="E53" s="199"/>
      <c r="F53" s="199"/>
      <c r="Y53" s="58">
        <v>266000</v>
      </c>
    </row>
    <row r="54" spans="1:25" s="58" customFormat="1">
      <c r="A54" s="34">
        <v>3</v>
      </c>
      <c r="B54" s="34">
        <v>3</v>
      </c>
      <c r="C54" s="58">
        <v>43.64</v>
      </c>
      <c r="Y54" s="58">
        <f>Y52-Y53</f>
        <v>5359</v>
      </c>
    </row>
    <row r="55" spans="1:25" s="58" customFormat="1">
      <c r="A55" s="34">
        <v>3</v>
      </c>
      <c r="B55" s="34">
        <v>3</v>
      </c>
      <c r="C55" s="58">
        <v>37.85</v>
      </c>
    </row>
    <row r="56" spans="1:25" s="58" customFormat="1">
      <c r="A56" s="34">
        <v>3</v>
      </c>
      <c r="B56" s="34">
        <v>6</v>
      </c>
      <c r="C56" s="58">
        <v>64.739999999999995</v>
      </c>
    </row>
    <row r="57" spans="1:25" s="58" customFormat="1">
      <c r="A57" s="34">
        <v>6</v>
      </c>
      <c r="B57" s="34">
        <v>12</v>
      </c>
      <c r="C57" s="58">
        <v>54.88</v>
      </c>
    </row>
    <row r="58" spans="1:25" s="58" customFormat="1">
      <c r="A58" s="34">
        <v>6</v>
      </c>
      <c r="B58" s="34">
        <v>12</v>
      </c>
      <c r="C58" s="58">
        <v>62.64</v>
      </c>
    </row>
    <row r="59" spans="1:25" s="58" customFormat="1">
      <c r="A59" s="34">
        <v>7</v>
      </c>
      <c r="B59" s="34">
        <v>12</v>
      </c>
      <c r="C59" s="58">
        <v>75</v>
      </c>
    </row>
    <row r="60" spans="1:25" s="58" customFormat="1">
      <c r="A60" s="34">
        <v>10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1674</v>
      </c>
    </row>
    <row r="62" spans="1:25">
      <c r="A62" s="148"/>
      <c r="B62" s="148"/>
      <c r="C62" s="22"/>
      <c r="D62" s="149">
        <f>C49+C50+C51+C52+C53</f>
        <v>259.23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2560.06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03">
        <f>C63-E63</f>
        <v>2560.06</v>
      </c>
      <c r="D64" s="204"/>
      <c r="E64" s="181"/>
      <c r="M64" s="11"/>
      <c r="N64" s="11"/>
      <c r="Q64" s="11"/>
      <c r="R64" s="11"/>
    </row>
    <row r="65" spans="2:18">
      <c r="B65" s="230" t="s">
        <v>82</v>
      </c>
      <c r="C65" s="28">
        <v>39</v>
      </c>
      <c r="M65" s="11"/>
      <c r="N65" s="11"/>
      <c r="Q65" s="11"/>
      <c r="R65" s="11"/>
    </row>
    <row r="66" spans="2:18">
      <c r="B66" s="231"/>
      <c r="C66" s="28">
        <v>153</v>
      </c>
      <c r="M66" s="11"/>
      <c r="N66" s="11"/>
      <c r="Q66" s="11"/>
      <c r="R66" s="11"/>
    </row>
    <row r="67" spans="2:18">
      <c r="B67" s="231"/>
      <c r="C67" s="28">
        <v>1482</v>
      </c>
    </row>
    <row r="68" spans="2:18">
      <c r="B68" s="231"/>
    </row>
    <row r="69" spans="2:18">
      <c r="B69" s="231"/>
    </row>
    <row r="70" spans="2:18">
      <c r="B70" s="231"/>
    </row>
    <row r="71" spans="2:18">
      <c r="B71" s="231"/>
    </row>
    <row r="72" spans="2:18">
      <c r="B72" s="231"/>
    </row>
    <row r="73" spans="2:18">
      <c r="B73" s="231"/>
    </row>
    <row r="74" spans="2:18">
      <c r="B74" s="231"/>
    </row>
    <row r="75" spans="2:18">
      <c r="B75" s="231"/>
    </row>
    <row r="76" spans="2:18">
      <c r="B76" s="231"/>
    </row>
    <row r="77" spans="2:18">
      <c r="B77" s="231"/>
    </row>
    <row r="78" spans="2:18">
      <c r="B78" s="231"/>
    </row>
    <row r="79" spans="2:18">
      <c r="B79" s="231"/>
    </row>
    <row r="80" spans="2:18">
      <c r="B80" s="232"/>
    </row>
    <row r="81" spans="3:3">
      <c r="C81" s="28">
        <f>SUM(C65:C80)</f>
        <v>1674</v>
      </c>
    </row>
  </sheetData>
  <mergeCells count="16">
    <mergeCell ref="M3:N3"/>
    <mergeCell ref="A1:G1"/>
    <mergeCell ref="H1:P1"/>
    <mergeCell ref="S1:X1"/>
    <mergeCell ref="A2:G2"/>
    <mergeCell ref="I2:P2"/>
    <mergeCell ref="T51:Y51"/>
    <mergeCell ref="C64:D64"/>
    <mergeCell ref="B65:B80"/>
    <mergeCell ref="T17:Y17"/>
    <mergeCell ref="C35:D35"/>
    <mergeCell ref="K35:L35"/>
    <mergeCell ref="S35:X35"/>
    <mergeCell ref="C37:L37"/>
    <mergeCell ref="G45:G48"/>
    <mergeCell ref="O27:O28"/>
  </mergeCells>
  <conditionalFormatting sqref="L23">
    <cfRule type="cellIs" dxfId="2" priority="1" operator="equal">
      <formula>$O$10</formula>
    </cfRule>
  </conditionalFormatting>
  <hyperlinks>
    <hyperlink ref="Q40" r:id="rId1" xr:uid="{475109BE-0295-4B95-8084-A3AEB784A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E1C7-5EED-4DB6-8A33-F66E9460077D}">
  <dimension ref="A1:AA81"/>
  <sheetViews>
    <sheetView tabSelected="1" workbookViewId="0">
      <selection activeCell="Q8" sqref="Q8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243466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/>
      <c r="D8" s="15"/>
      <c r="E8" s="17"/>
      <c r="F8" s="24"/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3000</v>
      </c>
      <c r="D9" s="15"/>
      <c r="E9" s="17">
        <v>6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D11*E11</f>
        <v>0</v>
      </c>
      <c r="D11" s="53" t="s">
        <v>83</v>
      </c>
      <c r="E11" s="15">
        <v>0</v>
      </c>
      <c r="F11" s="54"/>
      <c r="I11" s="34">
        <v>8</v>
      </c>
      <c r="J11" s="55" t="s">
        <v>28</v>
      </c>
      <c r="K11" s="56">
        <v>3192</v>
      </c>
      <c r="L11" s="57" t="s">
        <v>29</v>
      </c>
      <c r="M11" s="57">
        <v>15</v>
      </c>
      <c r="N11" s="57">
        <v>58</v>
      </c>
      <c r="O11" s="16">
        <f>((N11-M11)+1)*K11</f>
        <v>140448</v>
      </c>
      <c r="P11" s="16">
        <f>M11*K11</f>
        <v>47880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4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34">
        <v>10</v>
      </c>
      <c r="J13" s="18" t="s">
        <v>31</v>
      </c>
      <c r="K13" s="16">
        <v>2000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34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4">
        <v>12</v>
      </c>
      <c r="J15" s="64" t="s">
        <v>34</v>
      </c>
      <c r="K15" s="70">
        <v>1350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4">
        <v>13</v>
      </c>
      <c r="J16" s="77" t="s">
        <v>36</v>
      </c>
      <c r="K16" s="78">
        <f>C63</f>
        <v>2354.3199999999997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4">
        <v>14</v>
      </c>
      <c r="J17" s="81" t="s">
        <v>38</v>
      </c>
      <c r="K17" s="82">
        <v>2140</v>
      </c>
      <c r="L17" s="83" t="s">
        <v>39</v>
      </c>
      <c r="M17" s="84">
        <v>12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34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4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4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4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34">
        <v>19</v>
      </c>
      <c r="J22" s="99" t="s">
        <v>46</v>
      </c>
      <c r="K22" s="100">
        <v>500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4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34">
        <v>21</v>
      </c>
      <c r="J24" s="18" t="s">
        <v>48</v>
      </c>
      <c r="K24" s="16">
        <f>2940</f>
        <v>2940</v>
      </c>
      <c r="L24" s="76" t="s">
        <v>48</v>
      </c>
      <c r="M24" s="15">
        <v>15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4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34">
        <v>23</v>
      </c>
      <c r="J26" s="191" t="s">
        <v>69</v>
      </c>
      <c r="K26" s="192">
        <f>882/2</f>
        <v>441</v>
      </c>
      <c r="L26" s="112" t="s">
        <v>49</v>
      </c>
      <c r="M26" s="17">
        <v>6</v>
      </c>
      <c r="N26" s="17">
        <v>10</v>
      </c>
      <c r="O26" s="16">
        <f>K26*(N26+1-M26)</f>
        <v>2205</v>
      </c>
      <c r="P26" s="16">
        <f>K26*2</f>
        <v>882</v>
      </c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4">
        <v>24</v>
      </c>
      <c r="J27" s="18" t="s">
        <v>71</v>
      </c>
      <c r="K27" s="16">
        <f>5000-1500</f>
        <v>3500</v>
      </c>
      <c r="L27" s="15" t="s">
        <v>88</v>
      </c>
      <c r="M27" s="17">
        <v>6</v>
      </c>
      <c r="N27" s="17">
        <f>12*24</f>
        <v>288</v>
      </c>
      <c r="O27" s="233">
        <f>K27+K28</f>
        <v>4900</v>
      </c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4">
        <v>25</v>
      </c>
      <c r="J28" s="18" t="s">
        <v>72</v>
      </c>
      <c r="K28" s="16">
        <v>1400</v>
      </c>
      <c r="M28" s="17">
        <v>5</v>
      </c>
      <c r="N28" s="24" t="s">
        <v>78</v>
      </c>
      <c r="O28" s="234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4">
        <v>26</v>
      </c>
      <c r="J29" s="191" t="s">
        <v>77</v>
      </c>
      <c r="K29" s="196">
        <v>950.3</v>
      </c>
      <c r="L29" s="112" t="s">
        <v>49</v>
      </c>
      <c r="M29" s="17">
        <v>5</v>
      </c>
      <c r="N29" s="17">
        <v>10</v>
      </c>
      <c r="O29" s="16">
        <f>K29*(N29+1-M29)</f>
        <v>5701.7999999999993</v>
      </c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34">
        <v>27</v>
      </c>
      <c r="J30" s="191" t="s">
        <v>84</v>
      </c>
      <c r="K30" s="200">
        <v>325.89999999999998</v>
      </c>
      <c r="L30" s="112" t="s">
        <v>49</v>
      </c>
      <c r="M30" s="114">
        <v>3</v>
      </c>
      <c r="N30" s="24" t="s">
        <v>85</v>
      </c>
      <c r="O30" s="16">
        <f>K30*(N30+1-M30)</f>
        <v>2607.1999999999998</v>
      </c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34">
        <v>28</v>
      </c>
      <c r="J31" s="18" t="s">
        <v>86</v>
      </c>
      <c r="K31" s="16">
        <v>220</v>
      </c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34">
        <v>29</v>
      </c>
      <c r="J32" s="18" t="s">
        <v>87</v>
      </c>
      <c r="K32" s="16">
        <v>0</v>
      </c>
      <c r="O32" s="16"/>
      <c r="P32" s="16"/>
      <c r="Q32" s="40"/>
      <c r="R32" s="40"/>
      <c r="S32" s="91"/>
      <c r="T32" s="92"/>
    </row>
    <row r="33" spans="1:25">
      <c r="C33" s="16"/>
      <c r="H33" s="115"/>
      <c r="I33" s="34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36569</v>
      </c>
      <c r="D35" s="216"/>
      <c r="J35" s="124" t="s">
        <v>52</v>
      </c>
      <c r="K35" s="217">
        <f>SUM(K4:K34)</f>
        <v>32202.31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4366.6899999999987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>
        <v>11810.21</v>
      </c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>
        <v>835</v>
      </c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>
        <v>700</v>
      </c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K43" s="28">
        <v>400</v>
      </c>
      <c r="L43" s="125"/>
      <c r="Q43" s="15"/>
      <c r="S43" s="27">
        <v>7</v>
      </c>
      <c r="T43" s="16">
        <v>3000</v>
      </c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2</v>
      </c>
      <c r="B45" s="34">
        <v>6</v>
      </c>
      <c r="C45" s="58">
        <v>66.13</v>
      </c>
      <c r="D45" s="58">
        <f t="shared" ref="D45" si="3">(B45-A45)*C45</f>
        <v>264.52</v>
      </c>
      <c r="F45" s="58">
        <f>C45*B45</f>
        <v>396.78</v>
      </c>
      <c r="G45" s="228">
        <f>C45+C46+C47+C48</f>
        <v>235.94</v>
      </c>
      <c r="K45" s="58">
        <f>SUM(K40:K44)</f>
        <v>13745.21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3</v>
      </c>
      <c r="B46" s="34">
        <v>3</v>
      </c>
      <c r="C46" s="58">
        <v>62.43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3</v>
      </c>
      <c r="B47" s="34">
        <v>6</v>
      </c>
      <c r="C47" s="58">
        <v>36.549999999999997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3</v>
      </c>
      <c r="B48" s="34">
        <v>6</v>
      </c>
      <c r="C48" s="58">
        <v>70.83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3</v>
      </c>
      <c r="B49" s="34">
        <v>6</v>
      </c>
      <c r="C49" s="199">
        <v>85.97</v>
      </c>
      <c r="D49" s="199"/>
      <c r="E49" s="199"/>
      <c r="F49" s="199"/>
      <c r="S49" s="73" t="s">
        <v>12</v>
      </c>
      <c r="T49" s="74">
        <f t="shared" ref="T49:Y49" si="4">SUM(T37:T48)</f>
        <v>15000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3</v>
      </c>
      <c r="B50" s="34">
        <v>6</v>
      </c>
      <c r="C50" s="199">
        <v>57.95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4</v>
      </c>
      <c r="B51" s="34">
        <v>6</v>
      </c>
      <c r="C51" s="199">
        <v>40.549999999999997</v>
      </c>
      <c r="D51" s="199"/>
      <c r="E51" s="199"/>
      <c r="F51" s="199"/>
      <c r="S51" s="73" t="s">
        <v>40</v>
      </c>
      <c r="T51" s="213">
        <f>T49+U49+V49+W49+X49+T50+U50+V50+W50+X50+Y49+Y50</f>
        <v>15000</v>
      </c>
      <c r="U51" s="214"/>
      <c r="V51" s="214"/>
      <c r="W51" s="214"/>
      <c r="X51" s="214"/>
      <c r="Y51" s="215"/>
    </row>
    <row r="52" spans="1:25" s="58" customFormat="1">
      <c r="A52" s="34">
        <v>4</v>
      </c>
      <c r="B52" s="34">
        <v>6</v>
      </c>
      <c r="C52" s="199">
        <v>34.17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271359</v>
      </c>
    </row>
    <row r="53" spans="1:25" s="58" customFormat="1">
      <c r="A53" s="34">
        <v>1</v>
      </c>
      <c r="B53" s="34">
        <v>6</v>
      </c>
      <c r="C53" s="199">
        <v>184.48</v>
      </c>
      <c r="D53" s="199"/>
      <c r="E53" s="199"/>
      <c r="F53" s="199"/>
      <c r="Y53" s="58">
        <v>266000</v>
      </c>
    </row>
    <row r="54" spans="1:25" s="58" customFormat="1">
      <c r="A54" s="34">
        <v>1</v>
      </c>
      <c r="B54" s="34">
        <v>6</v>
      </c>
      <c r="C54" s="58">
        <v>13.4</v>
      </c>
      <c r="Y54" s="58">
        <f>Y52-Y53</f>
        <v>5359</v>
      </c>
    </row>
    <row r="55" spans="1:25" s="58" customFormat="1">
      <c r="A55" s="34">
        <v>1</v>
      </c>
      <c r="B55" s="34">
        <v>6</v>
      </c>
      <c r="C55" s="58">
        <v>96.24</v>
      </c>
    </row>
    <row r="56" spans="1:25" s="58" customFormat="1">
      <c r="A56" s="34">
        <v>4</v>
      </c>
      <c r="B56" s="34">
        <v>6</v>
      </c>
      <c r="C56" s="58">
        <v>64.739999999999995</v>
      </c>
    </row>
    <row r="57" spans="1:25" s="58" customFormat="1">
      <c r="A57" s="34">
        <v>7</v>
      </c>
      <c r="B57" s="34">
        <v>12</v>
      </c>
      <c r="C57" s="58">
        <v>54.88</v>
      </c>
    </row>
    <row r="58" spans="1:25" s="58" customFormat="1">
      <c r="A58" s="34">
        <v>7</v>
      </c>
      <c r="B58" s="34">
        <v>12</v>
      </c>
      <c r="C58" s="58">
        <v>62.64</v>
      </c>
    </row>
    <row r="59" spans="1:25" s="58" customFormat="1">
      <c r="A59" s="34">
        <v>8</v>
      </c>
      <c r="B59" s="34">
        <v>12</v>
      </c>
      <c r="C59" s="58">
        <v>75</v>
      </c>
    </row>
    <row r="60" spans="1:25" s="58" customFormat="1">
      <c r="A60" s="34">
        <v>11</v>
      </c>
      <c r="B60" s="34">
        <v>12</v>
      </c>
      <c r="C60" s="58">
        <v>51.36</v>
      </c>
    </row>
    <row r="61" spans="1:25" s="58" customFormat="1">
      <c r="A61" s="34"/>
      <c r="B61" s="34" t="s">
        <v>82</v>
      </c>
      <c r="C61" s="58">
        <f>C81</f>
        <v>1297</v>
      </c>
    </row>
    <row r="62" spans="1:25">
      <c r="A62" s="148"/>
      <c r="B62" s="148"/>
      <c r="C62" s="22"/>
      <c r="D62" s="149">
        <f>C49+C50+C51+C52+C53</f>
        <v>403.12</v>
      </c>
      <c r="E62" s="22"/>
      <c r="F62" s="22"/>
      <c r="J62" s="11"/>
      <c r="K62" s="11"/>
      <c r="L62" s="11"/>
      <c r="M62" s="11"/>
      <c r="N62" s="11"/>
      <c r="Q62" s="11"/>
      <c r="R62" s="11"/>
    </row>
    <row r="63" spans="1:25">
      <c r="A63" s="177"/>
      <c r="B63" s="178" t="s">
        <v>64</v>
      </c>
      <c r="C63" s="179">
        <f>SUM(C45:C62)</f>
        <v>2354.3199999999997</v>
      </c>
      <c r="E63" s="74">
        <f>SUM(E47:E62)</f>
        <v>0</v>
      </c>
      <c r="M63" s="11"/>
      <c r="N63" s="11"/>
      <c r="Q63" s="11"/>
      <c r="R63" s="11"/>
    </row>
    <row r="64" spans="1:25">
      <c r="B64" s="180" t="s">
        <v>65</v>
      </c>
      <c r="C64" s="203">
        <f>C63-E63</f>
        <v>2354.3199999999997</v>
      </c>
      <c r="D64" s="204"/>
      <c r="E64" s="181"/>
      <c r="M64" s="11"/>
      <c r="N64" s="11"/>
      <c r="Q64" s="11"/>
      <c r="R64" s="11"/>
    </row>
    <row r="65" spans="2:18">
      <c r="B65" s="230" t="s">
        <v>82</v>
      </c>
      <c r="C65" s="28">
        <v>904</v>
      </c>
      <c r="M65" s="11"/>
      <c r="N65" s="11"/>
      <c r="Q65" s="11"/>
      <c r="R65" s="11"/>
    </row>
    <row r="66" spans="2:18">
      <c r="B66" s="231"/>
      <c r="C66" s="28">
        <v>218</v>
      </c>
      <c r="M66" s="11"/>
      <c r="N66" s="11"/>
      <c r="Q66" s="11"/>
      <c r="R66" s="11"/>
    </row>
    <row r="67" spans="2:18">
      <c r="B67" s="231"/>
      <c r="C67" s="28">
        <v>175</v>
      </c>
    </row>
    <row r="68" spans="2:18">
      <c r="B68" s="231"/>
    </row>
    <row r="69" spans="2:18">
      <c r="B69" s="231"/>
    </row>
    <row r="70" spans="2:18">
      <c r="B70" s="231"/>
    </row>
    <row r="71" spans="2:18">
      <c r="B71" s="231"/>
    </row>
    <row r="72" spans="2:18">
      <c r="B72" s="231"/>
    </row>
    <row r="73" spans="2:18">
      <c r="B73" s="231"/>
    </row>
    <row r="74" spans="2:18">
      <c r="B74" s="231"/>
    </row>
    <row r="75" spans="2:18">
      <c r="B75" s="231"/>
    </row>
    <row r="76" spans="2:18">
      <c r="B76" s="231"/>
    </row>
    <row r="77" spans="2:18">
      <c r="B77" s="231"/>
    </row>
    <row r="78" spans="2:18">
      <c r="B78" s="231"/>
    </row>
    <row r="79" spans="2:18">
      <c r="B79" s="231"/>
    </row>
    <row r="80" spans="2:18">
      <c r="B80" s="232"/>
    </row>
    <row r="81" spans="3:3">
      <c r="C81" s="28">
        <f>SUM(C65:C80)</f>
        <v>1297</v>
      </c>
    </row>
  </sheetData>
  <mergeCells count="16">
    <mergeCell ref="G45:G48"/>
    <mergeCell ref="T51:Y51"/>
    <mergeCell ref="C64:D64"/>
    <mergeCell ref="B65:B80"/>
    <mergeCell ref="T17:Y17"/>
    <mergeCell ref="O27:O28"/>
    <mergeCell ref="C35:D35"/>
    <mergeCell ref="K35:L35"/>
    <mergeCell ref="S35:X35"/>
    <mergeCell ref="C37:L37"/>
    <mergeCell ref="A1:G1"/>
    <mergeCell ref="H1:P1"/>
    <mergeCell ref="S1:X1"/>
    <mergeCell ref="A2:G2"/>
    <mergeCell ref="I2:P2"/>
    <mergeCell ref="M3:N3"/>
  </mergeCells>
  <conditionalFormatting sqref="L23">
    <cfRule type="cellIs" dxfId="0" priority="1" operator="equal">
      <formula>$O$10</formula>
    </cfRule>
  </conditionalFormatting>
  <hyperlinks>
    <hyperlink ref="Q40" r:id="rId1" xr:uid="{13A7817F-0AB6-419B-BD22-53333674A1B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0"/>
  <sheetViews>
    <sheetView workbookViewId="0">
      <selection activeCell="K14" sqref="K14"/>
    </sheetView>
  </sheetViews>
  <sheetFormatPr defaultColWidth="9" defaultRowHeight="15"/>
  <cols>
    <col min="1" max="1" width="5" style="11" customWidth="1"/>
    <col min="2" max="2" width="13" style="18" customWidth="1"/>
    <col min="3" max="3" width="17.140625" style="28" customWidth="1"/>
    <col min="4" max="4" width="11.42578125" style="11" customWidth="1"/>
    <col min="5" max="5" width="8.42578125" style="11" customWidth="1"/>
    <col min="6" max="6" width="10.5703125" style="11" customWidth="1"/>
    <col min="7" max="7" width="11.28515625" style="11" customWidth="1"/>
    <col min="8" max="8" width="3.85546875" style="11" customWidth="1"/>
    <col min="9" max="9" width="5.140625" style="15" bestFit="1" customWidth="1"/>
    <col min="10" max="10" width="18.28515625" style="18" customWidth="1"/>
    <col min="11" max="11" width="15.5703125" style="28" customWidth="1"/>
    <col min="12" max="12" width="21.42578125" style="15" customWidth="1"/>
    <col min="13" max="13" width="2.85546875" style="17" bestFit="1" customWidth="1"/>
    <col min="14" max="14" width="3.85546875" style="17" bestFit="1" customWidth="1"/>
    <col min="15" max="15" width="13.28515625" style="11" customWidth="1"/>
    <col min="16" max="16" width="12.42578125" style="11" bestFit="1" customWidth="1"/>
    <col min="17" max="17" width="13.140625" style="125" customWidth="1"/>
    <col min="18" max="18" width="11.5703125" style="15" customWidth="1"/>
    <col min="19" max="19" width="13" style="11" customWidth="1"/>
    <col min="20" max="21" width="14" style="11" bestFit="1" customWidth="1"/>
    <col min="22" max="24" width="14.140625" style="11" bestFit="1" customWidth="1"/>
    <col min="25" max="25" width="18.140625" style="11" customWidth="1"/>
    <col min="26" max="27" width="15.42578125" style="11" bestFit="1" customWidth="1"/>
    <col min="28" max="16384" width="9" style="11"/>
  </cols>
  <sheetData>
    <row r="1" spans="1:27" s="3" customFormat="1" ht="21">
      <c r="A1" s="205">
        <v>243405</v>
      </c>
      <c r="B1" s="205"/>
      <c r="C1" s="205"/>
      <c r="D1" s="205"/>
      <c r="E1" s="205"/>
      <c r="F1" s="205"/>
      <c r="G1" s="205"/>
      <c r="H1" s="206" t="s">
        <v>0</v>
      </c>
      <c r="I1" s="206"/>
      <c r="J1" s="206"/>
      <c r="K1" s="206"/>
      <c r="L1" s="206"/>
      <c r="M1" s="206"/>
      <c r="N1" s="206"/>
      <c r="O1" s="206"/>
      <c r="P1" s="206"/>
      <c r="Q1" s="1" t="s">
        <v>1</v>
      </c>
      <c r="R1" s="2"/>
      <c r="S1" s="207" t="s">
        <v>2</v>
      </c>
      <c r="T1" s="208"/>
      <c r="U1" s="208"/>
      <c r="V1" s="208"/>
      <c r="W1" s="208"/>
      <c r="X1" s="209"/>
    </row>
    <row r="2" spans="1:27" s="4" customFormat="1" ht="18.75">
      <c r="A2" s="210" t="s">
        <v>3</v>
      </c>
      <c r="B2" s="210"/>
      <c r="C2" s="210"/>
      <c r="D2" s="210"/>
      <c r="E2" s="210"/>
      <c r="F2" s="210"/>
      <c r="G2" s="210"/>
      <c r="I2" s="211" t="s">
        <v>4</v>
      </c>
      <c r="J2" s="211"/>
      <c r="K2" s="211"/>
      <c r="L2" s="211"/>
      <c r="M2" s="211"/>
      <c r="N2" s="211"/>
      <c r="O2" s="211"/>
      <c r="P2" s="211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12" t="s">
        <v>5</v>
      </c>
      <c r="N3" s="212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>
      <c r="A4" s="17">
        <v>1</v>
      </c>
      <c r="B4" s="18" t="s">
        <v>13</v>
      </c>
      <c r="C4" s="19">
        <v>32000</v>
      </c>
      <c r="D4" s="20"/>
      <c r="E4" s="17"/>
      <c r="F4" s="17"/>
      <c r="I4" s="15">
        <v>1</v>
      </c>
      <c r="J4" s="21" t="s">
        <v>14</v>
      </c>
      <c r="K4" s="22">
        <v>800</v>
      </c>
      <c r="L4" s="23"/>
      <c r="N4" s="24"/>
      <c r="O4" s="16"/>
      <c r="P4" s="25"/>
      <c r="Q4" s="26"/>
      <c r="R4" s="26"/>
      <c r="S4" s="27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>
      <c r="A5" s="17">
        <v>2</v>
      </c>
      <c r="B5" s="18" t="s">
        <v>15</v>
      </c>
      <c r="C5" s="16"/>
      <c r="D5" s="28"/>
      <c r="E5" s="15"/>
      <c r="F5" s="15"/>
      <c r="I5" s="15">
        <v>2</v>
      </c>
      <c r="J5" s="29" t="s">
        <v>16</v>
      </c>
      <c r="K5" s="30">
        <v>200</v>
      </c>
      <c r="L5" s="31"/>
      <c r="N5" s="24"/>
      <c r="O5" s="16"/>
      <c r="P5" s="16"/>
      <c r="Q5" s="26"/>
      <c r="R5" s="26"/>
      <c r="S5" s="27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>
      <c r="A6" s="17">
        <v>3</v>
      </c>
      <c r="B6" s="18" t="s">
        <v>17</v>
      </c>
      <c r="C6" s="16"/>
      <c r="D6" s="28"/>
      <c r="E6" s="15"/>
      <c r="F6" s="15"/>
      <c r="I6" s="15">
        <v>3</v>
      </c>
      <c r="J6" s="29" t="s">
        <v>18</v>
      </c>
      <c r="K6" s="30">
        <v>750</v>
      </c>
      <c r="L6" s="31"/>
      <c r="N6" s="24"/>
      <c r="O6" s="16"/>
      <c r="P6" s="16"/>
      <c r="Q6" s="26"/>
      <c r="R6" s="26"/>
      <c r="S6" s="27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36"/>
    </row>
    <row r="7" spans="1:27">
      <c r="A7" s="17">
        <v>4</v>
      </c>
      <c r="B7" s="32" t="s">
        <v>19</v>
      </c>
      <c r="C7" s="33">
        <v>1069</v>
      </c>
      <c r="D7" s="34"/>
      <c r="E7" s="34"/>
      <c r="F7" s="15"/>
      <c r="I7" s="15">
        <v>4</v>
      </c>
      <c r="J7" s="21" t="s">
        <v>20</v>
      </c>
      <c r="K7" s="22">
        <v>0</v>
      </c>
      <c r="L7" s="23"/>
      <c r="N7" s="24"/>
      <c r="O7" s="16"/>
      <c r="P7" s="16"/>
      <c r="Q7" s="26"/>
      <c r="R7" s="26"/>
      <c r="S7" s="27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>
      <c r="A8" s="17">
        <v>5</v>
      </c>
      <c r="C8" s="16">
        <v>227.78</v>
      </c>
      <c r="D8" s="15"/>
      <c r="E8" s="17">
        <v>36</v>
      </c>
      <c r="F8" s="24" t="s">
        <v>21</v>
      </c>
      <c r="I8" s="35">
        <v>5</v>
      </c>
      <c r="J8" s="186"/>
      <c r="K8" s="187"/>
      <c r="L8" s="188"/>
      <c r="M8" s="189"/>
      <c r="N8" s="189"/>
      <c r="O8" s="190"/>
      <c r="P8" s="16"/>
      <c r="Q8" s="40"/>
      <c r="R8" s="40"/>
      <c r="S8" s="27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>
      <c r="A9" s="17">
        <v>6</v>
      </c>
      <c r="B9" s="18" t="s">
        <v>67</v>
      </c>
      <c r="C9" s="16">
        <v>0</v>
      </c>
      <c r="D9" s="15"/>
      <c r="E9" s="17">
        <v>4</v>
      </c>
      <c r="F9" s="24" t="s">
        <v>68</v>
      </c>
      <c r="I9" s="35">
        <v>6</v>
      </c>
      <c r="J9" s="29" t="s">
        <v>23</v>
      </c>
      <c r="K9" s="30">
        <v>400</v>
      </c>
      <c r="L9" s="31"/>
      <c r="M9" s="41">
        <v>11</v>
      </c>
      <c r="N9" s="42" t="s">
        <v>24</v>
      </c>
      <c r="O9" s="43">
        <v>400</v>
      </c>
      <c r="P9" s="16"/>
      <c r="Q9" s="26"/>
      <c r="R9" s="26"/>
      <c r="S9" s="27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>
      <c r="A10" s="17">
        <v>7</v>
      </c>
      <c r="B10" s="44" t="s">
        <v>25</v>
      </c>
      <c r="C10" s="45"/>
      <c r="D10" s="46"/>
      <c r="E10" s="47"/>
      <c r="F10" s="48"/>
      <c r="I10" s="35">
        <v>7</v>
      </c>
      <c r="J10" s="49" t="s">
        <v>26</v>
      </c>
      <c r="K10" s="50">
        <v>667</v>
      </c>
      <c r="L10" s="51" t="s">
        <v>27</v>
      </c>
      <c r="O10" s="16">
        <v>667</v>
      </c>
      <c r="P10" s="16"/>
      <c r="Q10" s="26"/>
      <c r="R10" s="26"/>
      <c r="S10" s="27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>
      <c r="A11" s="17">
        <v>8</v>
      </c>
      <c r="B11" s="18" t="s">
        <v>70</v>
      </c>
      <c r="C11" s="52">
        <f>D11*3</f>
        <v>3198</v>
      </c>
      <c r="D11" s="53" t="s">
        <v>83</v>
      </c>
      <c r="E11" s="15"/>
      <c r="F11" s="54"/>
      <c r="I11" s="35">
        <v>8</v>
      </c>
      <c r="J11" s="55" t="s">
        <v>28</v>
      </c>
      <c r="K11" s="56">
        <v>3192</v>
      </c>
      <c r="L11" s="57" t="s">
        <v>29</v>
      </c>
      <c r="M11" s="57">
        <v>13</v>
      </c>
      <c r="N11" s="57">
        <v>58</v>
      </c>
      <c r="O11" s="16">
        <f>((N11-M11)+1)*K11</f>
        <v>146832</v>
      </c>
      <c r="P11" s="16">
        <f>M11*K11</f>
        <v>41496</v>
      </c>
      <c r="Q11" s="26">
        <v>136961</v>
      </c>
      <c r="R11" s="26"/>
      <c r="S11" s="27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>
      <c r="A12" s="17">
        <v>9</v>
      </c>
      <c r="B12" s="18" t="s">
        <v>80</v>
      </c>
      <c r="C12" s="58">
        <v>500</v>
      </c>
      <c r="D12"/>
      <c r="I12" s="35">
        <v>9</v>
      </c>
      <c r="J12" s="59" t="s">
        <v>30</v>
      </c>
      <c r="K12" s="60"/>
      <c r="L12" s="61"/>
      <c r="M12" s="62">
        <v>0</v>
      </c>
      <c r="N12" s="62">
        <v>0</v>
      </c>
      <c r="O12" s="16"/>
      <c r="P12" s="16"/>
      <c r="Q12" s="40"/>
      <c r="R12" s="26"/>
      <c r="S12" s="27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>
      <c r="A13" s="17">
        <v>10</v>
      </c>
      <c r="C13" s="58"/>
      <c r="D13"/>
      <c r="I13" s="35">
        <v>10</v>
      </c>
      <c r="J13" s="18" t="s">
        <v>31</v>
      </c>
      <c r="K13" s="16">
        <v>0</v>
      </c>
      <c r="O13" s="16"/>
      <c r="P13" s="16"/>
      <c r="Q13" s="16"/>
      <c r="R13" s="16"/>
      <c r="S13" s="27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>
      <c r="A14" s="17">
        <v>11</v>
      </c>
      <c r="B14" s="63"/>
      <c r="C14" s="16"/>
      <c r="D14" s="15"/>
      <c r="I14" s="35">
        <v>11</v>
      </c>
      <c r="J14" s="64" t="s">
        <v>32</v>
      </c>
      <c r="K14" s="65">
        <v>500</v>
      </c>
      <c r="L14" s="51" t="s">
        <v>33</v>
      </c>
      <c r="M14" s="66"/>
      <c r="N14" s="24"/>
      <c r="O14" s="16">
        <v>3857.81</v>
      </c>
      <c r="P14" s="22">
        <v>0</v>
      </c>
      <c r="Q14" s="67">
        <f>O14-P14</f>
        <v>3857.81</v>
      </c>
      <c r="R14" s="68">
        <f>Q14*0.05</f>
        <v>192.8905</v>
      </c>
      <c r="S14" s="27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>
      <c r="A15" s="17">
        <v>12</v>
      </c>
      <c r="B15" s="63"/>
      <c r="C15" s="16"/>
      <c r="D15" s="15"/>
      <c r="I15" s="35">
        <v>12</v>
      </c>
      <c r="J15" s="64" t="s">
        <v>34</v>
      </c>
      <c r="K15" s="70">
        <v>1000</v>
      </c>
      <c r="L15" s="51" t="s">
        <v>35</v>
      </c>
      <c r="O15" s="16"/>
      <c r="P15" s="71"/>
      <c r="Q15" s="16"/>
      <c r="R15" s="72"/>
      <c r="S15" s="73" t="s">
        <v>12</v>
      </c>
      <c r="T15" s="74">
        <f t="shared" ref="T15:Y15" si="2">SUM(T3:T14)</f>
        <v>54150</v>
      </c>
      <c r="U15" s="74">
        <f t="shared" si="2"/>
        <v>54150</v>
      </c>
      <c r="V15" s="74">
        <f t="shared" si="2"/>
        <v>27075</v>
      </c>
      <c r="W15" s="74">
        <f t="shared" si="2"/>
        <v>36516</v>
      </c>
      <c r="X15" s="74">
        <f t="shared" si="2"/>
        <v>36516</v>
      </c>
      <c r="Y15" s="74">
        <f t="shared" si="2"/>
        <v>59152</v>
      </c>
    </row>
    <row r="16" spans="1:27">
      <c r="A16" s="17">
        <v>13</v>
      </c>
      <c r="B16" s="63"/>
      <c r="C16" s="75"/>
      <c r="D16" s="76"/>
      <c r="I16" s="35">
        <v>13</v>
      </c>
      <c r="J16" s="77" t="s">
        <v>36</v>
      </c>
      <c r="K16" s="78">
        <f>C62</f>
        <v>2187.1799999999998</v>
      </c>
      <c r="L16" s="79"/>
      <c r="O16" s="16"/>
      <c r="P16" s="16"/>
      <c r="Q16" s="16"/>
      <c r="R16" s="16"/>
      <c r="S16" s="73" t="s">
        <v>37</v>
      </c>
      <c r="T16" s="80"/>
      <c r="U16" s="80"/>
      <c r="V16" s="80"/>
      <c r="W16" s="80">
        <v>13000</v>
      </c>
      <c r="X16" s="80">
        <v>5800</v>
      </c>
      <c r="Y16" s="80"/>
    </row>
    <row r="17" spans="1:25">
      <c r="A17" s="17">
        <v>14</v>
      </c>
      <c r="B17" s="63"/>
      <c r="C17" s="16"/>
      <c r="D17" s="15"/>
      <c r="I17" s="35">
        <v>14</v>
      </c>
      <c r="J17" s="81" t="s">
        <v>38</v>
      </c>
      <c r="K17" s="82">
        <v>2140</v>
      </c>
      <c r="L17" s="83" t="s">
        <v>39</v>
      </c>
      <c r="M17" s="84">
        <v>10</v>
      </c>
      <c r="N17" s="84">
        <v>96</v>
      </c>
      <c r="O17" s="16">
        <v>119837.12</v>
      </c>
      <c r="P17" s="22"/>
      <c r="Q17" s="40">
        <f>O17+P17</f>
        <v>119837.12</v>
      </c>
      <c r="R17" s="85">
        <f>Q17*0.03</f>
        <v>3595.1135999999997</v>
      </c>
      <c r="S17" s="73" t="s">
        <v>40</v>
      </c>
      <c r="T17" s="213">
        <f>T15+U15+V15+W15+X15+T16+U16+V16+W16+X16+Y15+Y16</f>
        <v>286359</v>
      </c>
      <c r="U17" s="214"/>
      <c r="V17" s="214"/>
      <c r="W17" s="214"/>
      <c r="X17" s="214"/>
      <c r="Y17" s="215"/>
    </row>
    <row r="18" spans="1:25">
      <c r="A18" s="17">
        <v>15</v>
      </c>
      <c r="B18" s="63"/>
      <c r="C18" s="75"/>
      <c r="D18" s="76"/>
      <c r="I18" s="35">
        <v>15</v>
      </c>
      <c r="J18" s="86" t="s">
        <v>81</v>
      </c>
      <c r="K18" s="87">
        <v>4500</v>
      </c>
      <c r="L18" s="88" t="s">
        <v>42</v>
      </c>
      <c r="M18" s="89"/>
      <c r="N18" s="89"/>
      <c r="O18" s="90">
        <v>128228.72</v>
      </c>
      <c r="P18" s="22">
        <v>30000</v>
      </c>
      <c r="Q18" s="67">
        <v>148318.19</v>
      </c>
      <c r="R18" s="68">
        <f>Q18*0.03</f>
        <v>4449.5456999999997</v>
      </c>
      <c r="S18" s="91"/>
      <c r="T18" s="92"/>
      <c r="U18" s="92"/>
    </row>
    <row r="19" spans="1:25">
      <c r="A19" s="17">
        <v>16</v>
      </c>
      <c r="B19" s="93"/>
      <c r="C19" s="58"/>
      <c r="D19" s="15"/>
      <c r="I19" s="35">
        <v>16</v>
      </c>
      <c r="J19" s="77" t="b">
        <v>1</v>
      </c>
      <c r="K19" s="78">
        <v>107</v>
      </c>
      <c r="L19" s="79"/>
      <c r="O19" s="16"/>
      <c r="P19" s="16"/>
      <c r="Q19" s="40"/>
      <c r="R19" s="40"/>
      <c r="S19" s="91"/>
      <c r="T19" s="92"/>
      <c r="U19" s="92"/>
    </row>
    <row r="20" spans="1:25">
      <c r="A20" s="17">
        <v>17</v>
      </c>
      <c r="B20" s="11"/>
      <c r="C20" s="16"/>
      <c r="I20" s="35">
        <v>17</v>
      </c>
      <c r="J20" s="94" t="s">
        <v>43</v>
      </c>
      <c r="K20" s="95">
        <v>1069</v>
      </c>
      <c r="L20" s="96"/>
      <c r="O20" s="16"/>
      <c r="P20" s="16"/>
      <c r="Q20" s="16"/>
      <c r="R20" s="16"/>
      <c r="S20" s="91"/>
      <c r="T20" s="92"/>
      <c r="U20" s="92"/>
    </row>
    <row r="21" spans="1:25">
      <c r="A21" s="17">
        <v>18</v>
      </c>
      <c r="C21" s="16"/>
      <c r="I21" s="35">
        <v>18</v>
      </c>
      <c r="J21" s="49" t="s">
        <v>44</v>
      </c>
      <c r="K21" s="50">
        <v>0</v>
      </c>
      <c r="L21" s="97" t="s">
        <v>45</v>
      </c>
      <c r="M21" s="98">
        <v>29</v>
      </c>
      <c r="O21" s="90" t="s">
        <v>79</v>
      </c>
      <c r="P21" s="75"/>
      <c r="Q21" s="16"/>
      <c r="R21" s="16"/>
      <c r="S21" s="91"/>
      <c r="T21" s="92"/>
      <c r="U21" s="92"/>
    </row>
    <row r="22" spans="1:25">
      <c r="A22" s="17">
        <v>19</v>
      </c>
      <c r="C22" s="16"/>
      <c r="I22" s="35">
        <v>19</v>
      </c>
      <c r="J22" s="99" t="s">
        <v>46</v>
      </c>
      <c r="K22" s="100">
        <v>400</v>
      </c>
      <c r="L22" s="101" t="s">
        <v>46</v>
      </c>
      <c r="M22" s="102"/>
      <c r="N22" s="102"/>
      <c r="O22" s="90"/>
      <c r="P22" s="75"/>
      <c r="Q22" s="16"/>
      <c r="R22" s="16"/>
      <c r="S22" s="91"/>
      <c r="T22" s="92"/>
      <c r="U22" s="92"/>
    </row>
    <row r="23" spans="1:25" ht="14.25" customHeight="1">
      <c r="A23" s="17">
        <v>20</v>
      </c>
      <c r="C23" s="16"/>
      <c r="F23" s="28"/>
      <c r="I23" s="35">
        <v>20</v>
      </c>
      <c r="J23" s="103" t="s">
        <v>47</v>
      </c>
      <c r="K23" s="193">
        <v>1480</v>
      </c>
      <c r="L23" s="98" t="s">
        <v>47</v>
      </c>
      <c r="M23" s="105"/>
      <c r="N23" s="105"/>
      <c r="O23" s="16">
        <v>34571.199999999997</v>
      </c>
      <c r="P23" s="106">
        <v>0</v>
      </c>
      <c r="Q23" s="40">
        <f>O23+P23</f>
        <v>34571.199999999997</v>
      </c>
      <c r="R23" s="85">
        <f>Q23*0.03</f>
        <v>1037.136</v>
      </c>
      <c r="S23" s="91"/>
      <c r="T23" s="92"/>
      <c r="U23" s="92"/>
    </row>
    <row r="24" spans="1:25">
      <c r="A24" s="17">
        <v>21</v>
      </c>
      <c r="C24" s="16"/>
      <c r="F24" s="107"/>
      <c r="I24" s="35">
        <v>21</v>
      </c>
      <c r="J24" s="18" t="s">
        <v>48</v>
      </c>
      <c r="K24" s="16">
        <f>2940/2</f>
        <v>1470</v>
      </c>
      <c r="L24" s="76" t="s">
        <v>48</v>
      </c>
      <c r="M24" s="15">
        <v>13</v>
      </c>
      <c r="N24" s="15">
        <v>60</v>
      </c>
      <c r="O24" s="16"/>
      <c r="P24" s="108"/>
      <c r="Q24" s="16"/>
      <c r="R24" s="109"/>
      <c r="S24" s="91"/>
      <c r="T24" s="92"/>
      <c r="U24" s="92"/>
    </row>
    <row r="25" spans="1:25">
      <c r="A25" s="17">
        <v>22</v>
      </c>
      <c r="C25" s="16"/>
      <c r="F25" s="16"/>
      <c r="G25" s="16"/>
      <c r="I25" s="35">
        <v>22</v>
      </c>
      <c r="J25" s="110" t="s">
        <v>49</v>
      </c>
      <c r="K25" s="111">
        <v>415.79</v>
      </c>
      <c r="L25" s="112" t="s">
        <v>49</v>
      </c>
      <c r="M25" s="113"/>
      <c r="N25" s="24"/>
      <c r="O25" s="16">
        <v>5019.97</v>
      </c>
      <c r="P25" s="108"/>
      <c r="Q25" s="16"/>
      <c r="R25" s="16">
        <f>O25*0.05</f>
        <v>250.99850000000004</v>
      </c>
      <c r="S25" s="91"/>
      <c r="T25" s="92"/>
      <c r="U25" s="92"/>
    </row>
    <row r="26" spans="1:25">
      <c r="A26" s="17">
        <v>23</v>
      </c>
      <c r="C26" s="16"/>
      <c r="F26" s="16"/>
      <c r="G26" s="16"/>
      <c r="I26" s="35">
        <v>23</v>
      </c>
      <c r="J26" s="191" t="s">
        <v>69</v>
      </c>
      <c r="K26" s="192">
        <f>882/2</f>
        <v>441</v>
      </c>
      <c r="L26" s="112" t="s">
        <v>49</v>
      </c>
      <c r="M26" s="17">
        <v>4</v>
      </c>
      <c r="N26" s="17">
        <v>10</v>
      </c>
      <c r="O26" s="16"/>
      <c r="P26" s="16"/>
      <c r="Q26" s="40"/>
      <c r="R26" s="40"/>
      <c r="S26" s="91"/>
      <c r="T26" s="92"/>
      <c r="U26" s="92"/>
      <c r="V26" s="92"/>
      <c r="W26" s="92"/>
    </row>
    <row r="27" spans="1:25">
      <c r="A27" s="17">
        <v>24</v>
      </c>
      <c r="C27" s="16"/>
      <c r="F27" s="16"/>
      <c r="G27" s="16"/>
      <c r="I27" s="35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16"/>
      <c r="Q27" s="40"/>
      <c r="R27" s="40"/>
      <c r="S27" s="91"/>
      <c r="T27" s="92"/>
      <c r="U27" s="92"/>
      <c r="V27" s="92"/>
      <c r="W27" s="92"/>
    </row>
    <row r="28" spans="1:25">
      <c r="A28" s="17">
        <v>25</v>
      </c>
      <c r="C28" s="16"/>
      <c r="F28" s="16"/>
      <c r="G28" s="16"/>
      <c r="I28" s="35">
        <v>25</v>
      </c>
      <c r="J28" s="18" t="s">
        <v>72</v>
      </c>
      <c r="K28" s="16">
        <v>1400</v>
      </c>
      <c r="M28" s="17">
        <v>3</v>
      </c>
      <c r="N28" s="24" t="s">
        <v>78</v>
      </c>
      <c r="O28" s="16"/>
      <c r="P28" s="16"/>
      <c r="Q28" s="40"/>
      <c r="R28" s="40"/>
      <c r="S28" s="91"/>
      <c r="T28" s="92"/>
      <c r="U28" s="92"/>
      <c r="V28" s="92"/>
      <c r="W28" s="92"/>
    </row>
    <row r="29" spans="1:25">
      <c r="A29" s="17">
        <v>26</v>
      </c>
      <c r="C29" s="16"/>
      <c r="F29" s="16"/>
      <c r="G29" s="16"/>
      <c r="I29" s="35">
        <v>26</v>
      </c>
      <c r="J29" s="191" t="s">
        <v>77</v>
      </c>
      <c r="K29" s="196">
        <v>950.3</v>
      </c>
      <c r="L29" s="112" t="s">
        <v>49</v>
      </c>
      <c r="M29" s="17">
        <v>3</v>
      </c>
      <c r="N29" s="17">
        <v>10</v>
      </c>
      <c r="O29" s="16"/>
      <c r="P29" s="25"/>
      <c r="Q29" s="40"/>
      <c r="R29" s="40"/>
      <c r="S29" s="91"/>
      <c r="T29" s="92"/>
      <c r="U29" s="92"/>
      <c r="V29" s="92"/>
      <c r="W29" s="92"/>
    </row>
    <row r="30" spans="1:25">
      <c r="A30" s="17">
        <v>27</v>
      </c>
      <c r="C30" s="16"/>
      <c r="F30" s="16"/>
      <c r="G30" s="16"/>
      <c r="I30" s="69">
        <v>27</v>
      </c>
      <c r="K30" s="109"/>
      <c r="M30" s="114"/>
      <c r="N30" s="24"/>
      <c r="O30" s="16"/>
      <c r="P30" s="25"/>
      <c r="Q30" s="40"/>
      <c r="R30" s="40"/>
      <c r="S30" s="91"/>
      <c r="T30" s="92"/>
      <c r="U30" s="92"/>
      <c r="V30" s="92"/>
      <c r="W30" s="92"/>
    </row>
    <row r="31" spans="1:25" ht="14.25" customHeight="1">
      <c r="A31" s="17">
        <v>28</v>
      </c>
      <c r="C31" s="16"/>
      <c r="F31" s="16"/>
      <c r="G31" s="16"/>
      <c r="I31" s="69">
        <v>28</v>
      </c>
      <c r="K31" s="16"/>
      <c r="O31" s="16"/>
      <c r="P31" s="16"/>
      <c r="Q31" s="40" t="s">
        <v>50</v>
      </c>
      <c r="R31" s="40"/>
      <c r="S31" s="91"/>
      <c r="T31" s="92"/>
      <c r="U31" s="92"/>
      <c r="V31" s="92"/>
      <c r="W31" s="92"/>
    </row>
    <row r="32" spans="1:25">
      <c r="C32" s="16"/>
      <c r="F32" s="16"/>
      <c r="G32" s="16"/>
      <c r="I32" s="15">
        <v>29</v>
      </c>
      <c r="K32" s="16"/>
      <c r="O32" s="16"/>
      <c r="P32" s="16"/>
      <c r="Q32" s="40"/>
      <c r="R32" s="40"/>
      <c r="S32" s="91"/>
      <c r="T32" s="92"/>
    </row>
    <row r="33" spans="1:25">
      <c r="C33" s="16"/>
      <c r="H33" s="115"/>
      <c r="I33" s="116">
        <v>30</v>
      </c>
      <c r="J33" s="117"/>
      <c r="K33" s="118"/>
      <c r="L33" s="117"/>
      <c r="M33" s="119"/>
      <c r="N33" s="120"/>
      <c r="O33" s="121"/>
      <c r="P33" s="121"/>
      <c r="Q33" s="122"/>
      <c r="R33" s="122"/>
      <c r="S33" s="92"/>
      <c r="T33" s="92"/>
    </row>
    <row r="34" spans="1:25">
      <c r="C34" s="16"/>
      <c r="I34" s="15">
        <v>31</v>
      </c>
      <c r="J34" s="93"/>
      <c r="K34" s="16"/>
      <c r="N34" s="24"/>
      <c r="O34" s="16"/>
      <c r="P34" s="16"/>
      <c r="Q34" s="40"/>
      <c r="R34" s="40"/>
    </row>
    <row r="35" spans="1:25" ht="21">
      <c r="B35" s="123" t="s">
        <v>51</v>
      </c>
      <c r="C35" s="216">
        <f>C4+C5+C6+C7+C8+C9+C10+C11+C12+C13+C14+C15+C16+C17+C18+C19+C20+C21</f>
        <v>36994.78</v>
      </c>
      <c r="D35" s="216"/>
      <c r="J35" s="124" t="s">
        <v>52</v>
      </c>
      <c r="K35" s="217">
        <f>SUM(K4:K34)</f>
        <v>29069.27</v>
      </c>
      <c r="L35" s="218"/>
      <c r="N35" s="24"/>
      <c r="O35" s="16"/>
      <c r="P35" s="30">
        <f>P23</f>
        <v>0</v>
      </c>
      <c r="Q35" s="40"/>
      <c r="R35" s="40"/>
      <c r="S35" s="207" t="s">
        <v>73</v>
      </c>
      <c r="T35" s="208"/>
      <c r="U35" s="208"/>
      <c r="V35" s="208"/>
      <c r="W35" s="208"/>
      <c r="X35" s="209"/>
      <c r="Y35" s="3"/>
    </row>
    <row r="36" spans="1:25" ht="18.75">
      <c r="P36" s="28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21">
      <c r="B37" s="126" t="s">
        <v>53</v>
      </c>
      <c r="C37" s="219">
        <f>C35-K35</f>
        <v>7925.5099999999984</v>
      </c>
      <c r="D37" s="220"/>
      <c r="E37" s="220"/>
      <c r="F37" s="220"/>
      <c r="G37" s="220"/>
      <c r="H37" s="220"/>
      <c r="I37" s="220"/>
      <c r="J37" s="220"/>
      <c r="K37" s="220"/>
      <c r="L37" s="221"/>
      <c r="M37" s="127"/>
      <c r="N37" s="24"/>
      <c r="O37" s="92"/>
      <c r="P37" s="28"/>
      <c r="S37" s="15">
        <v>1</v>
      </c>
      <c r="T37" s="16"/>
      <c r="U37" s="16"/>
      <c r="V37" s="16"/>
      <c r="W37" s="16"/>
      <c r="X37" s="16"/>
      <c r="Y37" s="16"/>
    </row>
    <row r="38" spans="1:25">
      <c r="B38" s="128" t="s">
        <v>54</v>
      </c>
      <c r="C38" s="129">
        <v>0</v>
      </c>
      <c r="D38" s="130"/>
      <c r="E38" s="131"/>
      <c r="F38" s="131"/>
      <c r="G38" s="131"/>
      <c r="H38" s="131"/>
      <c r="I38" s="132"/>
      <c r="N38" s="24"/>
      <c r="O38" s="16">
        <f>K17+K18+K23+1000</f>
        <v>9120</v>
      </c>
      <c r="Q38" s="125" t="s">
        <v>55</v>
      </c>
      <c r="S38" s="27">
        <v>2</v>
      </c>
      <c r="T38" s="16"/>
      <c r="U38" s="16"/>
      <c r="V38" s="16"/>
      <c r="W38" s="16"/>
      <c r="X38" s="16"/>
      <c r="Y38" s="16"/>
    </row>
    <row r="39" spans="1:25">
      <c r="B39" s="133" t="s">
        <v>56</v>
      </c>
      <c r="C39" s="74">
        <f>D39+P35</f>
        <v>0</v>
      </c>
      <c r="D39" s="16"/>
      <c r="E39" s="92"/>
      <c r="J39" s="134"/>
      <c r="K39" s="75"/>
      <c r="L39" s="40"/>
      <c r="Q39" s="125" t="s">
        <v>57</v>
      </c>
      <c r="S39" s="27">
        <v>3</v>
      </c>
      <c r="T39" s="16">
        <v>3000</v>
      </c>
      <c r="U39" s="16"/>
      <c r="V39" s="16"/>
      <c r="W39" s="16"/>
      <c r="X39" s="16"/>
      <c r="Y39" s="16"/>
    </row>
    <row r="40" spans="1:25">
      <c r="B40" s="135" t="s">
        <v>58</v>
      </c>
      <c r="C40" s="135">
        <f>D40+E40+F40+G40+D41</f>
        <v>0</v>
      </c>
      <c r="D40" s="136">
        <v>0</v>
      </c>
      <c r="E40" s="137">
        <v>0</v>
      </c>
      <c r="F40" s="22"/>
      <c r="G40" s="22"/>
      <c r="J40" s="138"/>
      <c r="K40" s="90"/>
      <c r="L40" s="139"/>
      <c r="M40" s="113"/>
      <c r="N40" s="24"/>
      <c r="Q40" s="140" t="s">
        <v>59</v>
      </c>
      <c r="S40" s="27">
        <v>4</v>
      </c>
      <c r="T40" s="16">
        <v>3000</v>
      </c>
      <c r="U40" s="16"/>
      <c r="V40" s="16"/>
      <c r="W40" s="16"/>
      <c r="X40" s="16"/>
      <c r="Y40" s="136"/>
    </row>
    <row r="41" spans="1:25">
      <c r="B41" s="141" t="s">
        <v>60</v>
      </c>
      <c r="C41" s="142">
        <f>(C38+C40)-C39</f>
        <v>0</v>
      </c>
      <c r="D41" s="137"/>
      <c r="E41" s="92"/>
      <c r="J41" s="143"/>
      <c r="K41" s="16"/>
      <c r="L41" s="40"/>
      <c r="Q41" s="15" t="s">
        <v>61</v>
      </c>
      <c r="S41" s="27">
        <v>5</v>
      </c>
      <c r="T41" s="16">
        <v>3000</v>
      </c>
      <c r="U41" s="16"/>
      <c r="V41" s="16"/>
      <c r="W41" s="16"/>
      <c r="X41" s="16"/>
      <c r="Y41" s="16"/>
    </row>
    <row r="42" spans="1:25">
      <c r="B42" s="144"/>
      <c r="C42" s="144"/>
      <c r="D42" s="92"/>
      <c r="E42" s="92"/>
      <c r="J42" s="143"/>
      <c r="K42" s="16"/>
      <c r="L42" s="40"/>
      <c r="N42" s="24"/>
      <c r="Q42" s="15"/>
      <c r="S42" s="27">
        <v>6</v>
      </c>
      <c r="T42" s="16">
        <v>3000</v>
      </c>
      <c r="U42" s="16"/>
      <c r="V42" s="16"/>
      <c r="W42" s="16"/>
      <c r="X42" s="16"/>
      <c r="Y42" s="16"/>
    </row>
    <row r="43" spans="1:25">
      <c r="B43" s="92"/>
      <c r="C43" s="92"/>
      <c r="D43" s="92"/>
      <c r="E43" s="92"/>
      <c r="L43" s="125"/>
      <c r="Q43" s="15"/>
      <c r="S43" s="27">
        <v>7</v>
      </c>
      <c r="T43" s="16"/>
      <c r="U43" s="16"/>
      <c r="V43" s="16"/>
      <c r="W43" s="16"/>
      <c r="X43" s="16"/>
      <c r="Y43" s="16"/>
    </row>
    <row r="44" spans="1:25">
      <c r="B44" s="92"/>
      <c r="C44" s="92"/>
      <c r="D44" s="92" t="s">
        <v>53</v>
      </c>
      <c r="E44" s="92" t="s">
        <v>62</v>
      </c>
      <c r="F44" s="11" t="s">
        <v>63</v>
      </c>
      <c r="L44" s="125"/>
      <c r="Q44" s="15"/>
      <c r="S44" s="27">
        <v>8</v>
      </c>
      <c r="T44" s="16"/>
      <c r="U44" s="16"/>
      <c r="V44" s="16"/>
      <c r="W44" s="16"/>
      <c r="X44" s="16"/>
      <c r="Y44" s="16"/>
    </row>
    <row r="45" spans="1:25" s="58" customFormat="1">
      <c r="A45" s="34">
        <v>1</v>
      </c>
      <c r="B45" s="34">
        <v>3</v>
      </c>
      <c r="C45" s="58">
        <v>63.21</v>
      </c>
      <c r="D45" s="58">
        <f t="shared" ref="D45" si="3">(B45-A45)*C45</f>
        <v>126.42</v>
      </c>
      <c r="F45" s="58">
        <f>C45*B45</f>
        <v>189.63</v>
      </c>
      <c r="G45" s="228">
        <f>C45+C46+C47+C48</f>
        <v>256.55999999999995</v>
      </c>
      <c r="S45" s="27">
        <v>9</v>
      </c>
      <c r="T45" s="16"/>
      <c r="U45" s="16"/>
      <c r="V45" s="16"/>
      <c r="W45" s="16"/>
      <c r="X45" s="16"/>
      <c r="Y45" s="16"/>
    </row>
    <row r="46" spans="1:25" s="58" customFormat="1">
      <c r="A46" s="34">
        <v>1</v>
      </c>
      <c r="B46" s="34">
        <v>6</v>
      </c>
      <c r="C46" s="58">
        <v>36.549999999999997</v>
      </c>
      <c r="G46" s="229"/>
      <c r="S46" s="27">
        <v>10</v>
      </c>
      <c r="T46" s="16"/>
      <c r="U46" s="16"/>
      <c r="V46" s="16"/>
      <c r="W46" s="16"/>
      <c r="X46" s="16"/>
      <c r="Y46" s="16"/>
    </row>
    <row r="47" spans="1:25" s="58" customFormat="1">
      <c r="A47" s="34">
        <v>1</v>
      </c>
      <c r="B47" s="34">
        <v>6</v>
      </c>
      <c r="C47" s="58">
        <v>70.83</v>
      </c>
      <c r="G47" s="229"/>
      <c r="S47" s="27">
        <v>11</v>
      </c>
      <c r="T47" s="16"/>
      <c r="U47" s="16"/>
      <c r="V47" s="16"/>
      <c r="W47" s="16"/>
      <c r="X47" s="16"/>
      <c r="Y47" s="16"/>
    </row>
    <row r="48" spans="1:25" s="58" customFormat="1">
      <c r="A48" s="34">
        <v>1</v>
      </c>
      <c r="B48" s="34">
        <v>6</v>
      </c>
      <c r="C48" s="58">
        <v>85.97</v>
      </c>
      <c r="G48" s="229"/>
      <c r="S48" s="27">
        <v>12</v>
      </c>
      <c r="T48" s="16"/>
      <c r="U48" s="16"/>
      <c r="V48" s="16"/>
      <c r="W48" s="16"/>
      <c r="X48" s="16"/>
      <c r="Y48" s="16"/>
    </row>
    <row r="49" spans="1:25" s="58" customFormat="1">
      <c r="A49" s="34">
        <v>1</v>
      </c>
      <c r="B49" s="34">
        <v>6</v>
      </c>
      <c r="C49" s="199">
        <v>57.95</v>
      </c>
      <c r="D49" s="199"/>
      <c r="E49" s="199"/>
      <c r="F49" s="199"/>
      <c r="S49" s="73" t="s">
        <v>12</v>
      </c>
      <c r="T49" s="74">
        <f t="shared" ref="T49:Y49" si="4">SUM(T37:T48)</f>
        <v>12000</v>
      </c>
      <c r="U49" s="74">
        <f t="shared" si="4"/>
        <v>0</v>
      </c>
      <c r="V49" s="74">
        <f t="shared" si="4"/>
        <v>0</v>
      </c>
      <c r="W49" s="74">
        <f t="shared" si="4"/>
        <v>0</v>
      </c>
      <c r="X49" s="74">
        <f t="shared" si="4"/>
        <v>0</v>
      </c>
      <c r="Y49" s="74">
        <f t="shared" si="4"/>
        <v>0</v>
      </c>
    </row>
    <row r="50" spans="1:25" s="58" customFormat="1">
      <c r="A50" s="34">
        <v>2</v>
      </c>
      <c r="B50" s="34">
        <v>6</v>
      </c>
      <c r="C50" s="199">
        <v>40.549999999999997</v>
      </c>
      <c r="D50" s="199"/>
      <c r="E50" s="199"/>
      <c r="F50" s="199"/>
      <c r="S50" s="73" t="s">
        <v>37</v>
      </c>
      <c r="T50" s="80"/>
      <c r="U50" s="80"/>
      <c r="V50" s="80"/>
      <c r="W50" s="80"/>
      <c r="X50" s="80"/>
      <c r="Y50" s="80"/>
    </row>
    <row r="51" spans="1:25" s="58" customFormat="1">
      <c r="A51" s="34">
        <v>2</v>
      </c>
      <c r="B51" s="34">
        <v>6</v>
      </c>
      <c r="C51" s="199">
        <v>34.17</v>
      </c>
      <c r="D51" s="199"/>
      <c r="E51" s="199"/>
      <c r="F51" s="199"/>
      <c r="S51" s="73" t="s">
        <v>40</v>
      </c>
      <c r="T51" s="213">
        <f>T49+U49+V49+W49+X49+T50+U50+V50+W50+X50+Y49+Y50</f>
        <v>12000</v>
      </c>
      <c r="U51" s="214"/>
      <c r="V51" s="214"/>
      <c r="W51" s="214"/>
      <c r="X51" s="214"/>
      <c r="Y51" s="215"/>
    </row>
    <row r="52" spans="1:25" s="58" customFormat="1">
      <c r="A52" s="34">
        <v>2</v>
      </c>
      <c r="B52" s="34">
        <v>3</v>
      </c>
      <c r="C52" s="199">
        <v>40.659999999999997</v>
      </c>
      <c r="D52" s="199"/>
      <c r="E52" s="199"/>
      <c r="F52" s="199"/>
      <c r="S52" s="194" t="s">
        <v>74</v>
      </c>
      <c r="T52" s="194"/>
      <c r="U52" s="194"/>
      <c r="V52" s="194"/>
      <c r="W52" s="194"/>
      <c r="X52" s="194"/>
      <c r="Y52" s="194">
        <f>T17-T51</f>
        <v>274359</v>
      </c>
    </row>
    <row r="53" spans="1:25" s="58" customFormat="1">
      <c r="A53" s="34">
        <v>2</v>
      </c>
      <c r="B53" s="34">
        <v>3</v>
      </c>
      <c r="C53" s="199">
        <v>43.74</v>
      </c>
      <c r="D53" s="199"/>
      <c r="E53" s="199"/>
      <c r="F53" s="199"/>
    </row>
    <row r="54" spans="1:25" s="58" customFormat="1">
      <c r="A54" s="34">
        <v>2</v>
      </c>
      <c r="B54" s="34">
        <v>3</v>
      </c>
      <c r="C54" s="58">
        <v>37.93</v>
      </c>
    </row>
    <row r="55" spans="1:25" s="58" customFormat="1">
      <c r="A55" s="34">
        <v>2</v>
      </c>
      <c r="B55" s="34">
        <v>6</v>
      </c>
      <c r="C55" s="58">
        <v>64.739999999999995</v>
      </c>
    </row>
    <row r="56" spans="1:25" s="58" customFormat="1">
      <c r="A56" s="34">
        <v>5</v>
      </c>
      <c r="B56" s="34">
        <v>12</v>
      </c>
      <c r="C56" s="58">
        <v>54.88</v>
      </c>
    </row>
    <row r="57" spans="1:25" s="58" customFormat="1">
      <c r="A57" s="34">
        <v>5</v>
      </c>
      <c r="B57" s="34">
        <v>12</v>
      </c>
      <c r="C57" s="58">
        <v>62.64</v>
      </c>
    </row>
    <row r="58" spans="1:25" s="58" customFormat="1">
      <c r="A58" s="34">
        <v>6</v>
      </c>
      <c r="B58" s="34">
        <v>12</v>
      </c>
      <c r="C58" s="58">
        <v>75</v>
      </c>
    </row>
    <row r="59" spans="1:25" s="58" customFormat="1">
      <c r="A59" s="34">
        <v>9</v>
      </c>
      <c r="B59" s="34">
        <v>12</v>
      </c>
      <c r="C59" s="58">
        <v>51.36</v>
      </c>
    </row>
    <row r="60" spans="1:25" s="58" customFormat="1">
      <c r="A60" s="34"/>
      <c r="B60" s="34" t="s">
        <v>82</v>
      </c>
      <c r="C60" s="58">
        <f>C80</f>
        <v>1367</v>
      </c>
    </row>
    <row r="61" spans="1:25">
      <c r="A61" s="148"/>
      <c r="B61" s="148"/>
      <c r="C61" s="22"/>
      <c r="D61" s="149">
        <f>C49+C50+C51+C52+C53</f>
        <v>217.07000000000002</v>
      </c>
      <c r="E61" s="22"/>
      <c r="F61" s="22"/>
      <c r="J61" s="11"/>
      <c r="K61" s="11"/>
      <c r="L61" s="11"/>
      <c r="M61" s="11"/>
      <c r="N61" s="11"/>
      <c r="Q61" s="11"/>
      <c r="R61" s="11"/>
    </row>
    <row r="62" spans="1:25">
      <c r="A62" s="177"/>
      <c r="B62" s="178" t="s">
        <v>64</v>
      </c>
      <c r="C62" s="179">
        <f>SUM(C45:C61)</f>
        <v>2187.1799999999998</v>
      </c>
      <c r="E62" s="74">
        <f>SUM(E47:E61)</f>
        <v>0</v>
      </c>
      <c r="M62" s="11"/>
      <c r="N62" s="11"/>
      <c r="Q62" s="11"/>
      <c r="R62" s="11"/>
    </row>
    <row r="63" spans="1:25">
      <c r="B63" s="180" t="s">
        <v>65</v>
      </c>
      <c r="C63" s="203">
        <f>C62-E62</f>
        <v>2187.1799999999998</v>
      </c>
      <c r="D63" s="204"/>
      <c r="E63" s="181"/>
      <c r="M63" s="11"/>
      <c r="N63" s="11"/>
      <c r="Q63" s="11"/>
      <c r="R63" s="11"/>
    </row>
    <row r="64" spans="1:25">
      <c r="C64" s="28">
        <v>72</v>
      </c>
      <c r="M64" s="11"/>
      <c r="N64" s="11"/>
      <c r="Q64" s="11"/>
      <c r="R64" s="11"/>
    </row>
    <row r="65" spans="3:18">
      <c r="C65" s="28">
        <v>152</v>
      </c>
      <c r="M65" s="11"/>
      <c r="N65" s="11"/>
      <c r="Q65" s="11"/>
      <c r="R65" s="11"/>
    </row>
    <row r="66" spans="3:18">
      <c r="C66" s="28">
        <v>69</v>
      </c>
    </row>
    <row r="67" spans="3:18">
      <c r="C67" s="28">
        <v>55</v>
      </c>
    </row>
    <row r="68" spans="3:18">
      <c r="C68" s="28">
        <v>90</v>
      </c>
    </row>
    <row r="69" spans="3:18">
      <c r="C69" s="28">
        <v>64</v>
      </c>
    </row>
    <row r="70" spans="3:18">
      <c r="C70" s="28">
        <v>205</v>
      </c>
    </row>
    <row r="71" spans="3:18">
      <c r="C71" s="28">
        <v>80</v>
      </c>
    </row>
    <row r="72" spans="3:18">
      <c r="C72" s="28">
        <v>101</v>
      </c>
    </row>
    <row r="73" spans="3:18">
      <c r="C73" s="28">
        <v>152</v>
      </c>
    </row>
    <row r="74" spans="3:18">
      <c r="C74" s="28">
        <v>210</v>
      </c>
    </row>
    <row r="75" spans="3:18">
      <c r="C75" s="28">
        <v>117</v>
      </c>
    </row>
    <row r="80" spans="3:18">
      <c r="C80" s="28">
        <f>SUM(C64:C79)</f>
        <v>1367</v>
      </c>
    </row>
  </sheetData>
  <mergeCells count="14">
    <mergeCell ref="M3:N3"/>
    <mergeCell ref="A1:G1"/>
    <mergeCell ref="H1:P1"/>
    <mergeCell ref="S1:X1"/>
    <mergeCell ref="A2:G2"/>
    <mergeCell ref="I2:P2"/>
    <mergeCell ref="T17:Y17"/>
    <mergeCell ref="C35:D35"/>
    <mergeCell ref="K35:L35"/>
    <mergeCell ref="C37:L37"/>
    <mergeCell ref="C63:D63"/>
    <mergeCell ref="S35:X35"/>
    <mergeCell ref="G45:G48"/>
    <mergeCell ref="T51:Y51"/>
  </mergeCells>
  <conditionalFormatting sqref="L23">
    <cfRule type="cellIs" dxfId="1" priority="1" operator="equal">
      <formula>$O$10</formula>
    </cfRule>
  </conditionalFormatting>
  <hyperlinks>
    <hyperlink ref="Q40" r:id="rId1" xr:uid="{4B545A18-B08C-46AE-BD4B-46ACA4B675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</vt:lpstr>
      <vt:lpstr>02</vt:lpstr>
      <vt:lpstr>03</vt:lpstr>
      <vt:lpstr>04</vt:lpstr>
      <vt:lpstr>05</vt:lpstr>
      <vt:lpstr>06</vt:lpstr>
      <vt:lpstr>07</vt:lpstr>
      <vt:lpstr>08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AoB WeDev -</cp:lastModifiedBy>
  <dcterms:created xsi:type="dcterms:W3CDTF">2023-02-01T04:01:20Z</dcterms:created>
  <dcterms:modified xsi:type="dcterms:W3CDTF">2023-08-04T10:34:08Z</dcterms:modified>
</cp:coreProperties>
</file>