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412" documentId="13_ncr:1_{DCDD8C00-A932-479E-9740-1B73251F9FEF}" xr6:coauthVersionLast="47" xr6:coauthVersionMax="47" xr10:uidLastSave="{5C99BBD9-D6EE-4903-AC16-CF6BE27AAD3F}"/>
  <bookViews>
    <workbookView xWindow="-120" yWindow="-120" windowWidth="29040" windowHeight="15720" activeTab="10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08" sheetId="10" r:id="rId8"/>
    <sheet name="09" sheetId="14" r:id="rId9"/>
    <sheet name="10" sheetId="15" r:id="rId10"/>
    <sheet name="11" sheetId="12" r:id="rId11"/>
    <sheet name="Sheet1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2" l="1"/>
  <c r="Q18" i="12"/>
  <c r="S20" i="12"/>
  <c r="R18" i="12"/>
  <c r="K18" i="12"/>
  <c r="K25" i="15"/>
  <c r="F17" i="16" l="1"/>
  <c r="F16" i="16"/>
  <c r="C83" i="16"/>
  <c r="Z70" i="16"/>
  <c r="AA68" i="16"/>
  <c r="AA70" i="16" s="1"/>
  <c r="E65" i="16"/>
  <c r="C65" i="16"/>
  <c r="C66" i="16" s="1"/>
  <c r="U64" i="16"/>
  <c r="V64" i="16" s="1"/>
  <c r="D64" i="16"/>
  <c r="C63" i="16"/>
  <c r="K62" i="16"/>
  <c r="Z61" i="16"/>
  <c r="V61" i="16"/>
  <c r="F61" i="16"/>
  <c r="D61" i="16"/>
  <c r="AA60" i="16"/>
  <c r="W60" i="16"/>
  <c r="V60" i="16"/>
  <c r="O60" i="16"/>
  <c r="F60" i="16"/>
  <c r="D60" i="16"/>
  <c r="K59" i="16"/>
  <c r="F59" i="16"/>
  <c r="D59" i="16"/>
  <c r="F58" i="16"/>
  <c r="D58" i="16"/>
  <c r="V57" i="16"/>
  <c r="F57" i="16"/>
  <c r="D57" i="16"/>
  <c r="F56" i="16"/>
  <c r="D56" i="16"/>
  <c r="F55" i="16"/>
  <c r="D55" i="16"/>
  <c r="F54" i="16"/>
  <c r="D54" i="16"/>
  <c r="Z53" i="16"/>
  <c r="AA53" i="16" s="1"/>
  <c r="L53" i="16"/>
  <c r="F53" i="16"/>
  <c r="D53" i="16"/>
  <c r="L52" i="16"/>
  <c r="F52" i="16"/>
  <c r="D52" i="16"/>
  <c r="L51" i="16"/>
  <c r="F51" i="16"/>
  <c r="D51" i="16"/>
  <c r="F50" i="16"/>
  <c r="D50" i="16"/>
  <c r="Y49" i="16"/>
  <c r="X49" i="16"/>
  <c r="W49" i="16"/>
  <c r="V49" i="16"/>
  <c r="T51" i="16" s="1"/>
  <c r="U49" i="16"/>
  <c r="T49" i="16"/>
  <c r="F49" i="16"/>
  <c r="D49" i="16"/>
  <c r="F48" i="16"/>
  <c r="D48" i="16"/>
  <c r="F47" i="16"/>
  <c r="D47" i="16"/>
  <c r="F46" i="16"/>
  <c r="D46" i="16"/>
  <c r="G45" i="16"/>
  <c r="F45" i="16"/>
  <c r="D45" i="16"/>
  <c r="C40" i="16"/>
  <c r="K38" i="16"/>
  <c r="P35" i="16"/>
  <c r="C39" i="16" s="1"/>
  <c r="O28" i="16"/>
  <c r="P27" i="16"/>
  <c r="K27" i="16"/>
  <c r="O25" i="16"/>
  <c r="R25" i="16" s="1"/>
  <c r="N25" i="16"/>
  <c r="K25" i="16"/>
  <c r="O23" i="16"/>
  <c r="K21" i="16"/>
  <c r="R21" i="16" s="1"/>
  <c r="Q18" i="16"/>
  <c r="R18" i="16" s="1"/>
  <c r="K18" i="16" s="1"/>
  <c r="O38" i="16" s="1"/>
  <c r="Q17" i="16"/>
  <c r="R17" i="16" s="1"/>
  <c r="K16" i="16"/>
  <c r="K35" i="16" s="1"/>
  <c r="Y15" i="16"/>
  <c r="X14" i="16"/>
  <c r="W14" i="16"/>
  <c r="V14" i="16"/>
  <c r="U14" i="16"/>
  <c r="T14" i="16"/>
  <c r="Q14" i="16"/>
  <c r="R14" i="16" s="1"/>
  <c r="X13" i="16"/>
  <c r="W13" i="16"/>
  <c r="V13" i="16"/>
  <c r="U13" i="16"/>
  <c r="T13" i="16"/>
  <c r="O13" i="16"/>
  <c r="X12" i="16"/>
  <c r="W12" i="16"/>
  <c r="V12" i="16"/>
  <c r="U12" i="16"/>
  <c r="T12" i="16"/>
  <c r="X11" i="16"/>
  <c r="W11" i="16"/>
  <c r="V11" i="16"/>
  <c r="U11" i="16"/>
  <c r="T11" i="16"/>
  <c r="O11" i="16"/>
  <c r="C11" i="16"/>
  <c r="C35" i="16" s="1"/>
  <c r="X10" i="16"/>
  <c r="W10" i="16"/>
  <c r="U10" i="16"/>
  <c r="T10" i="16"/>
  <c r="X9" i="16"/>
  <c r="W9" i="16"/>
  <c r="U9" i="16"/>
  <c r="T9" i="16"/>
  <c r="X8" i="16"/>
  <c r="W8" i="16"/>
  <c r="U8" i="16"/>
  <c r="T8" i="16"/>
  <c r="X7" i="16"/>
  <c r="W7" i="16"/>
  <c r="U7" i="16"/>
  <c r="T7" i="16"/>
  <c r="X6" i="16"/>
  <c r="W6" i="16"/>
  <c r="U6" i="16"/>
  <c r="T6" i="16"/>
  <c r="Y5" i="16"/>
  <c r="X5" i="16"/>
  <c r="W5" i="16"/>
  <c r="U5" i="16"/>
  <c r="T5" i="16"/>
  <c r="Y4" i="16"/>
  <c r="X4" i="16"/>
  <c r="W4" i="16"/>
  <c r="V4" i="16"/>
  <c r="U4" i="16"/>
  <c r="T4" i="16"/>
  <c r="Y3" i="16"/>
  <c r="X3" i="16"/>
  <c r="X15" i="16" s="1"/>
  <c r="W3" i="16"/>
  <c r="W15" i="16" s="1"/>
  <c r="V3" i="16"/>
  <c r="V15" i="16" s="1"/>
  <c r="U3" i="16"/>
  <c r="U15" i="16" s="1"/>
  <c r="T3" i="16"/>
  <c r="T15" i="16" s="1"/>
  <c r="T17" i="16" s="1"/>
  <c r="Y52" i="16" s="1"/>
  <c r="Y55" i="16" s="1"/>
  <c r="C83" i="12"/>
  <c r="C63" i="12" s="1"/>
  <c r="C65" i="12" s="1"/>
  <c r="Z70" i="12"/>
  <c r="AA68" i="12"/>
  <c r="AA70" i="12" s="1"/>
  <c r="E65" i="12"/>
  <c r="U64" i="12"/>
  <c r="V64" i="12" s="1"/>
  <c r="D64" i="12"/>
  <c r="Z61" i="12"/>
  <c r="V61" i="12"/>
  <c r="F61" i="12"/>
  <c r="D61" i="12"/>
  <c r="AA60" i="12"/>
  <c r="W60" i="12"/>
  <c r="V60" i="12"/>
  <c r="O60" i="12"/>
  <c r="F60" i="12"/>
  <c r="D60" i="12"/>
  <c r="K59" i="12"/>
  <c r="K62" i="12" s="1"/>
  <c r="F59" i="12"/>
  <c r="D59" i="12"/>
  <c r="F58" i="12"/>
  <c r="D58" i="12"/>
  <c r="V57" i="12"/>
  <c r="F57" i="12"/>
  <c r="D57" i="12"/>
  <c r="F56" i="12"/>
  <c r="D56" i="12"/>
  <c r="F55" i="12"/>
  <c r="D55" i="12"/>
  <c r="F54" i="12"/>
  <c r="D54" i="12"/>
  <c r="Z53" i="12"/>
  <c r="AA53" i="12" s="1"/>
  <c r="L53" i="12"/>
  <c r="F53" i="12"/>
  <c r="D53" i="12"/>
  <c r="L52" i="12"/>
  <c r="F52" i="12"/>
  <c r="D52" i="12"/>
  <c r="L51" i="12"/>
  <c r="F51" i="12"/>
  <c r="D51" i="12"/>
  <c r="F50" i="12"/>
  <c r="D50" i="12"/>
  <c r="Y49" i="12"/>
  <c r="X49" i="12"/>
  <c r="W49" i="12"/>
  <c r="V49" i="12"/>
  <c r="U49" i="12"/>
  <c r="T49" i="12"/>
  <c r="T51" i="12" s="1"/>
  <c r="F49" i="12"/>
  <c r="D49" i="12"/>
  <c r="F48" i="12"/>
  <c r="D48" i="12"/>
  <c r="F47" i="12"/>
  <c r="D47" i="12"/>
  <c r="F46" i="12"/>
  <c r="D46" i="12"/>
  <c r="G45" i="12"/>
  <c r="F45" i="12"/>
  <c r="D45" i="12"/>
  <c r="C40" i="12"/>
  <c r="K38" i="12"/>
  <c r="P35" i="12"/>
  <c r="C39" i="12" s="1"/>
  <c r="O28" i="12"/>
  <c r="P27" i="12"/>
  <c r="K27" i="12"/>
  <c r="N25" i="12"/>
  <c r="O25" i="12"/>
  <c r="R25" i="12" s="1"/>
  <c r="O23" i="12"/>
  <c r="R21" i="12"/>
  <c r="O38" i="12"/>
  <c r="Q17" i="12"/>
  <c r="R17" i="12" s="1"/>
  <c r="X14" i="12"/>
  <c r="W14" i="12"/>
  <c r="V14" i="12"/>
  <c r="U14" i="12"/>
  <c r="T14" i="12"/>
  <c r="Q14" i="12"/>
  <c r="R14" i="12" s="1"/>
  <c r="X13" i="12"/>
  <c r="W13" i="12"/>
  <c r="V13" i="12"/>
  <c r="U13" i="12"/>
  <c r="T13" i="12"/>
  <c r="O13" i="12"/>
  <c r="X12" i="12"/>
  <c r="W12" i="12"/>
  <c r="V12" i="12"/>
  <c r="U12" i="12"/>
  <c r="T12" i="12"/>
  <c r="X11" i="12"/>
  <c r="W11" i="12"/>
  <c r="V11" i="12"/>
  <c r="U11" i="12"/>
  <c r="T11" i="12"/>
  <c r="O11" i="12"/>
  <c r="C11" i="12"/>
  <c r="C35" i="12" s="1"/>
  <c r="X10" i="12"/>
  <c r="W10" i="12"/>
  <c r="U10" i="12"/>
  <c r="T10" i="12"/>
  <c r="X9" i="12"/>
  <c r="W9" i="12"/>
  <c r="U9" i="12"/>
  <c r="T9" i="12"/>
  <c r="X8" i="12"/>
  <c r="W8" i="12"/>
  <c r="U8" i="12"/>
  <c r="T8" i="12"/>
  <c r="X7" i="12"/>
  <c r="W7" i="12"/>
  <c r="U7" i="12"/>
  <c r="T7" i="12"/>
  <c r="X6" i="12"/>
  <c r="W6" i="12"/>
  <c r="U6" i="12"/>
  <c r="T6" i="12"/>
  <c r="Y5" i="12"/>
  <c r="X5" i="12"/>
  <c r="W5" i="12"/>
  <c r="U5" i="12"/>
  <c r="T5" i="12"/>
  <c r="Y4" i="12"/>
  <c r="X4" i="12"/>
  <c r="W4" i="12"/>
  <c r="V4" i="12"/>
  <c r="U4" i="12"/>
  <c r="T4" i="12"/>
  <c r="Y3" i="12"/>
  <c r="X3" i="12"/>
  <c r="W3" i="12"/>
  <c r="V3" i="12"/>
  <c r="U3" i="12"/>
  <c r="T3" i="12"/>
  <c r="O11" i="15"/>
  <c r="O23" i="15"/>
  <c r="O28" i="15"/>
  <c r="O13" i="15"/>
  <c r="K38" i="15"/>
  <c r="K25" i="14"/>
  <c r="O25" i="14"/>
  <c r="R25" i="14" s="1"/>
  <c r="P21" i="14"/>
  <c r="K27" i="14"/>
  <c r="P27" i="15"/>
  <c r="K27" i="15" s="1"/>
  <c r="C83" i="15"/>
  <c r="Z70" i="15"/>
  <c r="AA68" i="15"/>
  <c r="AA70" i="15" s="1"/>
  <c r="E65" i="15"/>
  <c r="U64" i="15"/>
  <c r="V64" i="15" s="1"/>
  <c r="D64" i="15"/>
  <c r="C63" i="15"/>
  <c r="C65" i="15" s="1"/>
  <c r="K62" i="15"/>
  <c r="Z61" i="15"/>
  <c r="V61" i="15"/>
  <c r="W60" i="15" s="1"/>
  <c r="F61" i="15"/>
  <c r="D61" i="15"/>
  <c r="AA60" i="15"/>
  <c r="V60" i="15"/>
  <c r="O60" i="15"/>
  <c r="F60" i="15"/>
  <c r="D60" i="15"/>
  <c r="K59" i="15"/>
  <c r="F59" i="15"/>
  <c r="D59" i="15"/>
  <c r="F58" i="15"/>
  <c r="D58" i="15"/>
  <c r="V57" i="15"/>
  <c r="F57" i="15"/>
  <c r="D57" i="15"/>
  <c r="F56" i="15"/>
  <c r="D56" i="15"/>
  <c r="F55" i="15"/>
  <c r="D55" i="15"/>
  <c r="F54" i="15"/>
  <c r="D54" i="15"/>
  <c r="Z53" i="15"/>
  <c r="AA53" i="15" s="1"/>
  <c r="L53" i="15"/>
  <c r="F53" i="15"/>
  <c r="D53" i="15"/>
  <c r="L52" i="15"/>
  <c r="F52" i="15"/>
  <c r="D52" i="15"/>
  <c r="L51" i="15"/>
  <c r="F51" i="15"/>
  <c r="D51" i="15"/>
  <c r="F50" i="15"/>
  <c r="D50" i="15"/>
  <c r="Y49" i="15"/>
  <c r="X49" i="15"/>
  <c r="W49" i="15"/>
  <c r="V49" i="15"/>
  <c r="U49" i="15"/>
  <c r="T49" i="15"/>
  <c r="F49" i="15"/>
  <c r="D49" i="15"/>
  <c r="F48" i="15"/>
  <c r="D48" i="15"/>
  <c r="F47" i="15"/>
  <c r="D47" i="15"/>
  <c r="F46" i="15"/>
  <c r="D46" i="15"/>
  <c r="G45" i="15"/>
  <c r="F45" i="15"/>
  <c r="D45" i="15"/>
  <c r="C40" i="15"/>
  <c r="P35" i="15"/>
  <c r="C39" i="15" s="1"/>
  <c r="O25" i="15"/>
  <c r="R25" i="15" s="1"/>
  <c r="N25" i="15"/>
  <c r="K21" i="15"/>
  <c r="R21" i="15" s="1"/>
  <c r="Q18" i="15"/>
  <c r="R18" i="15" s="1"/>
  <c r="O38" i="15" s="1"/>
  <c r="Q17" i="15"/>
  <c r="R17" i="15" s="1"/>
  <c r="X14" i="15"/>
  <c r="W14" i="15"/>
  <c r="V14" i="15"/>
  <c r="U14" i="15"/>
  <c r="T14" i="15"/>
  <c r="Q14" i="15"/>
  <c r="R14" i="15" s="1"/>
  <c r="X13" i="15"/>
  <c r="W13" i="15"/>
  <c r="V13" i="15"/>
  <c r="U13" i="15"/>
  <c r="T13" i="15"/>
  <c r="X12" i="15"/>
  <c r="W12" i="15"/>
  <c r="V12" i="15"/>
  <c r="U12" i="15"/>
  <c r="T12" i="15"/>
  <c r="X11" i="15"/>
  <c r="W11" i="15"/>
  <c r="V11" i="15"/>
  <c r="U11" i="15"/>
  <c r="T11" i="15"/>
  <c r="C11" i="15"/>
  <c r="C35" i="15" s="1"/>
  <c r="X10" i="15"/>
  <c r="W10" i="15"/>
  <c r="U10" i="15"/>
  <c r="T10" i="15"/>
  <c r="X9" i="15"/>
  <c r="W9" i="15"/>
  <c r="U9" i="15"/>
  <c r="T9" i="15"/>
  <c r="X8" i="15"/>
  <c r="W8" i="15"/>
  <c r="U8" i="15"/>
  <c r="T8" i="15"/>
  <c r="X7" i="15"/>
  <c r="W7" i="15"/>
  <c r="U7" i="15"/>
  <c r="T7" i="15"/>
  <c r="X6" i="15"/>
  <c r="W6" i="15"/>
  <c r="U6" i="15"/>
  <c r="T6" i="15"/>
  <c r="Y5" i="15"/>
  <c r="X5" i="15"/>
  <c r="W5" i="15"/>
  <c r="U5" i="15"/>
  <c r="T5" i="15"/>
  <c r="Y4" i="15"/>
  <c r="X4" i="15"/>
  <c r="W4" i="15"/>
  <c r="V4" i="15"/>
  <c r="U4" i="15"/>
  <c r="T4" i="15"/>
  <c r="Y3" i="15"/>
  <c r="X3" i="15"/>
  <c r="W3" i="15"/>
  <c r="V3" i="15"/>
  <c r="U3" i="15"/>
  <c r="T3" i="15"/>
  <c r="N25" i="14"/>
  <c r="O23" i="14"/>
  <c r="K21" i="14"/>
  <c r="L42" i="14"/>
  <c r="P35" i="14"/>
  <c r="C39" i="14" s="1"/>
  <c r="O60" i="14"/>
  <c r="Q18" i="14"/>
  <c r="R18" i="14" s="1"/>
  <c r="K18" i="14" s="1"/>
  <c r="O38" i="14" s="1"/>
  <c r="L53" i="14"/>
  <c r="L52" i="14"/>
  <c r="L51" i="14"/>
  <c r="K4" i="10"/>
  <c r="K26" i="10"/>
  <c r="K27" i="10"/>
  <c r="O26" i="10"/>
  <c r="K16" i="10"/>
  <c r="C83" i="14"/>
  <c r="C63" i="14" s="1"/>
  <c r="C65" i="14" s="1"/>
  <c r="C66" i="14" s="1"/>
  <c r="E65" i="14"/>
  <c r="D64" i="14"/>
  <c r="F62" i="14"/>
  <c r="D62" i="14"/>
  <c r="F61" i="14"/>
  <c r="D61" i="14"/>
  <c r="F60" i="14"/>
  <c r="D60" i="14"/>
  <c r="F59" i="14"/>
  <c r="D59" i="14"/>
  <c r="F58" i="14"/>
  <c r="D58" i="14"/>
  <c r="F57" i="14"/>
  <c r="D57" i="14"/>
  <c r="F56" i="14"/>
  <c r="D56" i="14"/>
  <c r="F55" i="14"/>
  <c r="D55" i="14"/>
  <c r="F54" i="14"/>
  <c r="D54" i="14"/>
  <c r="F53" i="14"/>
  <c r="D53" i="14"/>
  <c r="F52" i="14"/>
  <c r="D52" i="14"/>
  <c r="F51" i="14"/>
  <c r="D51" i="14"/>
  <c r="F50" i="14"/>
  <c r="D50" i="14"/>
  <c r="F49" i="14"/>
  <c r="D49" i="14"/>
  <c r="F48" i="14"/>
  <c r="D48" i="14"/>
  <c r="F47" i="14"/>
  <c r="D47" i="14"/>
  <c r="F46" i="14"/>
  <c r="D46" i="14"/>
  <c r="G45" i="14"/>
  <c r="F45" i="14"/>
  <c r="D45" i="14"/>
  <c r="O11" i="14"/>
  <c r="D62" i="10"/>
  <c r="F62" i="10"/>
  <c r="D46" i="10"/>
  <c r="F46" i="10"/>
  <c r="D47" i="10"/>
  <c r="F47" i="10"/>
  <c r="D48" i="10"/>
  <c r="F48" i="10"/>
  <c r="D49" i="10"/>
  <c r="F49" i="10"/>
  <c r="D50" i="10"/>
  <c r="F50" i="10"/>
  <c r="D51" i="10"/>
  <c r="F51" i="10"/>
  <c r="D52" i="10"/>
  <c r="F52" i="10"/>
  <c r="D53" i="10"/>
  <c r="F53" i="10"/>
  <c r="D54" i="10"/>
  <c r="F54" i="10"/>
  <c r="D55" i="10"/>
  <c r="F55" i="10"/>
  <c r="D56" i="10"/>
  <c r="F56" i="10"/>
  <c r="D57" i="10"/>
  <c r="F57" i="10"/>
  <c r="D58" i="10"/>
  <c r="F58" i="10"/>
  <c r="D59" i="10"/>
  <c r="F59" i="10"/>
  <c r="D60" i="10"/>
  <c r="F60" i="10"/>
  <c r="D61" i="10"/>
  <c r="F61" i="10"/>
  <c r="F45" i="10"/>
  <c r="D45" i="10"/>
  <c r="AA70" i="14"/>
  <c r="Z70" i="14"/>
  <c r="AA68" i="14"/>
  <c r="U64" i="14"/>
  <c r="V64" i="14" s="1"/>
  <c r="Z61" i="14"/>
  <c r="V61" i="14"/>
  <c r="AA60" i="14"/>
  <c r="W60" i="14"/>
  <c r="V60" i="14"/>
  <c r="K59" i="14"/>
  <c r="K62" i="14" s="1"/>
  <c r="V57" i="14"/>
  <c r="Z53" i="14"/>
  <c r="AA53" i="14" s="1"/>
  <c r="Y49" i="14"/>
  <c r="X49" i="14"/>
  <c r="W49" i="14"/>
  <c r="V49" i="14"/>
  <c r="U49" i="14"/>
  <c r="T49" i="14"/>
  <c r="T51" i="14" s="1"/>
  <c r="C40" i="14"/>
  <c r="Q17" i="14"/>
  <c r="R17" i="14" s="1"/>
  <c r="X14" i="14"/>
  <c r="W14" i="14"/>
  <c r="V14" i="14"/>
  <c r="U14" i="14"/>
  <c r="T14" i="14"/>
  <c r="Q14" i="14"/>
  <c r="R14" i="14" s="1"/>
  <c r="X13" i="14"/>
  <c r="W13" i="14"/>
  <c r="V13" i="14"/>
  <c r="U13" i="14"/>
  <c r="T13" i="14"/>
  <c r="X12" i="14"/>
  <c r="W12" i="14"/>
  <c r="V12" i="14"/>
  <c r="U12" i="14"/>
  <c r="T12" i="14"/>
  <c r="X11" i="14"/>
  <c r="W11" i="14"/>
  <c r="V11" i="14"/>
  <c r="U11" i="14"/>
  <c r="T11" i="14"/>
  <c r="C11" i="14"/>
  <c r="X10" i="14"/>
  <c r="W10" i="14"/>
  <c r="U10" i="14"/>
  <c r="T10" i="14"/>
  <c r="X9" i="14"/>
  <c r="W9" i="14"/>
  <c r="U9" i="14"/>
  <c r="T9" i="14"/>
  <c r="X8" i="14"/>
  <c r="W8" i="14"/>
  <c r="U8" i="14"/>
  <c r="T8" i="14"/>
  <c r="X7" i="14"/>
  <c r="W7" i="14"/>
  <c r="U7" i="14"/>
  <c r="T7" i="14"/>
  <c r="X6" i="14"/>
  <c r="W6" i="14"/>
  <c r="U6" i="14"/>
  <c r="T6" i="14"/>
  <c r="Y5" i="14"/>
  <c r="X5" i="14"/>
  <c r="W5" i="14"/>
  <c r="U5" i="14"/>
  <c r="T5" i="14"/>
  <c r="Y4" i="14"/>
  <c r="Y15" i="14" s="1"/>
  <c r="X4" i="14"/>
  <c r="X15" i="14" s="1"/>
  <c r="W4" i="14"/>
  <c r="V4" i="14"/>
  <c r="U4" i="14"/>
  <c r="T4" i="14"/>
  <c r="Y3" i="14"/>
  <c r="X3" i="14"/>
  <c r="W3" i="14"/>
  <c r="W15" i="14" s="1"/>
  <c r="V3" i="14"/>
  <c r="V15" i="14" s="1"/>
  <c r="U3" i="14"/>
  <c r="U15" i="14" s="1"/>
  <c r="T3" i="14"/>
  <c r="T15" i="14" s="1"/>
  <c r="T17" i="14" s="1"/>
  <c r="Y52" i="14" s="1"/>
  <c r="Y55" i="14" s="1"/>
  <c r="K59" i="10"/>
  <c r="K64" i="10" s="1"/>
  <c r="O30" i="10"/>
  <c r="P35" i="10"/>
  <c r="O29" i="10"/>
  <c r="Q18" i="10"/>
  <c r="R18" i="10" s="1"/>
  <c r="T15" i="15" l="1"/>
  <c r="V15" i="15"/>
  <c r="W15" i="15"/>
  <c r="Y15" i="15"/>
  <c r="U15" i="15"/>
  <c r="T51" i="15"/>
  <c r="X15" i="15"/>
  <c r="V15" i="12"/>
  <c r="W15" i="12"/>
  <c r="X15" i="12"/>
  <c r="Y15" i="12"/>
  <c r="U15" i="12"/>
  <c r="T15" i="12"/>
  <c r="T17" i="12" s="1"/>
  <c r="Y52" i="12" s="1"/>
  <c r="Y55" i="12" s="1"/>
  <c r="C41" i="12"/>
  <c r="Z55" i="16"/>
  <c r="AA55" i="16"/>
  <c r="C41" i="16"/>
  <c r="Z62" i="16"/>
  <c r="Z63" i="16" s="1"/>
  <c r="C37" i="16"/>
  <c r="AA55" i="12"/>
  <c r="Z55" i="12"/>
  <c r="Z62" i="12"/>
  <c r="Z63" i="12" s="1"/>
  <c r="K16" i="12"/>
  <c r="K35" i="12" s="1"/>
  <c r="C37" i="12" s="1"/>
  <c r="C66" i="12"/>
  <c r="C66" i="15"/>
  <c r="K16" i="15"/>
  <c r="K35" i="15" s="1"/>
  <c r="C37" i="15" s="1"/>
  <c r="C41" i="15"/>
  <c r="L43" i="14"/>
  <c r="L44" i="14" s="1"/>
  <c r="K16" i="14"/>
  <c r="K35" i="14" s="1"/>
  <c r="C35" i="14"/>
  <c r="C41" i="14"/>
  <c r="Z62" i="14"/>
  <c r="Z63" i="14" s="1"/>
  <c r="AA55" i="14"/>
  <c r="Z55" i="14"/>
  <c r="AA70" i="10"/>
  <c r="AA72" i="10" s="1"/>
  <c r="U66" i="10"/>
  <c r="V66" i="10" s="1"/>
  <c r="V63" i="10"/>
  <c r="W62" i="10" s="1"/>
  <c r="Z72" i="10"/>
  <c r="AA62" i="10"/>
  <c r="Z63" i="10"/>
  <c r="Z53" i="10"/>
  <c r="AA53" i="10" s="1"/>
  <c r="V57" i="10"/>
  <c r="V62" i="10"/>
  <c r="K24" i="10"/>
  <c r="O27" i="10"/>
  <c r="C83" i="10"/>
  <c r="C63" i="10" s="1"/>
  <c r="C65" i="10" s="1"/>
  <c r="E65" i="10"/>
  <c r="D64" i="10"/>
  <c r="Y49" i="10"/>
  <c r="X49" i="10"/>
  <c r="W49" i="10"/>
  <c r="V49" i="10"/>
  <c r="U49" i="10"/>
  <c r="T49" i="10"/>
  <c r="G45" i="10"/>
  <c r="C40" i="10"/>
  <c r="O38" i="10"/>
  <c r="C39" i="10"/>
  <c r="N27" i="10"/>
  <c r="R25" i="10"/>
  <c r="Q17" i="10"/>
  <c r="R17" i="10" s="1"/>
  <c r="X14" i="10"/>
  <c r="W14" i="10"/>
  <c r="V14" i="10"/>
  <c r="U14" i="10"/>
  <c r="T14" i="10"/>
  <c r="Q14" i="10"/>
  <c r="R14" i="10" s="1"/>
  <c r="X13" i="10"/>
  <c r="W13" i="10"/>
  <c r="V13" i="10"/>
  <c r="U13" i="10"/>
  <c r="T13" i="10"/>
  <c r="X12" i="10"/>
  <c r="W12" i="10"/>
  <c r="V12" i="10"/>
  <c r="U12" i="10"/>
  <c r="T12" i="10"/>
  <c r="X11" i="10"/>
  <c r="W11" i="10"/>
  <c r="V11" i="10"/>
  <c r="U11" i="10"/>
  <c r="T11" i="10"/>
  <c r="O11" i="10"/>
  <c r="C11" i="10"/>
  <c r="C35" i="10" s="1"/>
  <c r="C37" i="10" s="1"/>
  <c r="X10" i="10"/>
  <c r="W10" i="10"/>
  <c r="U10" i="10"/>
  <c r="T10" i="10"/>
  <c r="X9" i="10"/>
  <c r="W9" i="10"/>
  <c r="U9" i="10"/>
  <c r="T9" i="10"/>
  <c r="X8" i="10"/>
  <c r="W8" i="10"/>
  <c r="U8" i="10"/>
  <c r="T8" i="10"/>
  <c r="X7" i="10"/>
  <c r="W7" i="10"/>
  <c r="U7" i="10"/>
  <c r="T7" i="10"/>
  <c r="X6" i="10"/>
  <c r="W6" i="10"/>
  <c r="U6" i="10"/>
  <c r="T6" i="10"/>
  <c r="Y5" i="10"/>
  <c r="X5" i="10"/>
  <c r="W5" i="10"/>
  <c r="U5" i="10"/>
  <c r="T5" i="10"/>
  <c r="Y4" i="10"/>
  <c r="X4" i="10"/>
  <c r="W4" i="10"/>
  <c r="V4" i="10"/>
  <c r="U4" i="10"/>
  <c r="T4" i="10"/>
  <c r="Y3" i="10"/>
  <c r="X3" i="10"/>
  <c r="W3" i="10"/>
  <c r="V3" i="10"/>
  <c r="U3" i="10"/>
  <c r="T3" i="10"/>
  <c r="K45" i="8"/>
  <c r="T17" i="15" l="1"/>
  <c r="Y52" i="15" s="1"/>
  <c r="Y55" i="15" s="1"/>
  <c r="C37" i="14"/>
  <c r="T15" i="10"/>
  <c r="X15" i="10"/>
  <c r="Y15" i="10"/>
  <c r="U15" i="10"/>
  <c r="V15" i="10"/>
  <c r="W15" i="10"/>
  <c r="T51" i="10"/>
  <c r="C41" i="10"/>
  <c r="C66" i="10"/>
  <c r="K35" i="10"/>
  <c r="K24" i="8"/>
  <c r="K27" i="8"/>
  <c r="O27" i="8" s="1"/>
  <c r="O30" i="8"/>
  <c r="O29" i="8"/>
  <c r="Z62" i="15" l="1"/>
  <c r="Z63" i="15" s="1"/>
  <c r="AA55" i="15"/>
  <c r="Z55" i="15"/>
  <c r="T17" i="10"/>
  <c r="Y52" i="10" s="1"/>
  <c r="Y55" i="10" s="1"/>
  <c r="C11" i="8"/>
  <c r="K12" i="7"/>
  <c r="K40" i="7"/>
  <c r="K41" i="7" s="1"/>
  <c r="O73" i="7"/>
  <c r="L80" i="7"/>
  <c r="K80" i="7"/>
  <c r="Z55" i="10" l="1"/>
  <c r="AA55" i="10"/>
  <c r="Z64" i="10"/>
  <c r="Z65" i="10" s="1"/>
  <c r="L81" i="7"/>
  <c r="C35" i="8"/>
  <c r="C81" i="8"/>
  <c r="C61" i="8" s="1"/>
  <c r="C63" i="8" s="1"/>
  <c r="E63" i="8"/>
  <c r="D62" i="8"/>
  <c r="Y49" i="8"/>
  <c r="X49" i="8"/>
  <c r="W49" i="8"/>
  <c r="V49" i="8"/>
  <c r="U49" i="8"/>
  <c r="T49" i="8"/>
  <c r="G45" i="8"/>
  <c r="F45" i="8"/>
  <c r="D45" i="8"/>
  <c r="C40" i="8"/>
  <c r="O38" i="8"/>
  <c r="P35" i="8"/>
  <c r="C39" i="8" s="1"/>
  <c r="C41" i="8" s="1"/>
  <c r="N27" i="8"/>
  <c r="K26" i="8"/>
  <c r="R25" i="8"/>
  <c r="Q23" i="8"/>
  <c r="R23" i="8" s="1"/>
  <c r="R18" i="8"/>
  <c r="Q17" i="8"/>
  <c r="R17" i="8" s="1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W4" i="8"/>
  <c r="V4" i="8"/>
  <c r="U4" i="8"/>
  <c r="T4" i="8"/>
  <c r="Y3" i="8"/>
  <c r="Y15" i="8" s="1"/>
  <c r="X3" i="8"/>
  <c r="W3" i="8"/>
  <c r="V3" i="8"/>
  <c r="U3" i="8"/>
  <c r="T3" i="8"/>
  <c r="O26" i="8" l="1"/>
  <c r="P26" i="8"/>
  <c r="T15" i="8"/>
  <c r="X15" i="8"/>
  <c r="T51" i="8"/>
  <c r="W15" i="8"/>
  <c r="U15" i="8"/>
  <c r="V15" i="8"/>
  <c r="C64" i="8"/>
  <c r="K16" i="8"/>
  <c r="K35" i="8" s="1"/>
  <c r="C37" i="8" s="1"/>
  <c r="C11" i="7"/>
  <c r="T17" i="8" l="1"/>
  <c r="Y52" i="8"/>
  <c r="Y54" i="8" s="1"/>
  <c r="N27" i="7"/>
  <c r="C80" i="7"/>
  <c r="C60" i="7" s="1"/>
  <c r="C11" i="6"/>
  <c r="D45" i="7" l="1"/>
  <c r="F45" i="7"/>
  <c r="D45" i="6"/>
  <c r="D59" i="6"/>
  <c r="F59" i="6"/>
  <c r="D58" i="6"/>
  <c r="F58" i="6"/>
  <c r="C74" i="6"/>
  <c r="C61" i="6" s="1"/>
  <c r="C62" i="6" s="1"/>
  <c r="E62" i="7" l="1"/>
  <c r="D61" i="7"/>
  <c r="C62" i="7"/>
  <c r="Y49" i="7"/>
  <c r="X49" i="7"/>
  <c r="W49" i="7"/>
  <c r="V49" i="7"/>
  <c r="U49" i="7"/>
  <c r="T49" i="7"/>
  <c r="G45" i="7"/>
  <c r="C40" i="7"/>
  <c r="O38" i="7"/>
  <c r="P35" i="7"/>
  <c r="C39" i="7" s="1"/>
  <c r="C35" i="7"/>
  <c r="K26" i="7"/>
  <c r="G20" i="7" s="1"/>
  <c r="G21" i="7" s="1"/>
  <c r="R25" i="7"/>
  <c r="K24" i="7"/>
  <c r="O24" i="7" s="1"/>
  <c r="Q23" i="7"/>
  <c r="R23" i="7" s="1"/>
  <c r="R18" i="7"/>
  <c r="Q17" i="7"/>
  <c r="R17" i="7" s="1"/>
  <c r="X14" i="7"/>
  <c r="W14" i="7"/>
  <c r="V14" i="7"/>
  <c r="U14" i="7"/>
  <c r="T14" i="7"/>
  <c r="Q14" i="7"/>
  <c r="R14" i="7" s="1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T4" i="7"/>
  <c r="Y3" i="7"/>
  <c r="X3" i="7"/>
  <c r="W3" i="7"/>
  <c r="V3" i="7"/>
  <c r="U3" i="7"/>
  <c r="T3" i="7"/>
  <c r="D57" i="6"/>
  <c r="F57" i="6"/>
  <c r="D56" i="6"/>
  <c r="F56" i="6"/>
  <c r="D55" i="6"/>
  <c r="F55" i="6"/>
  <c r="D54" i="6"/>
  <c r="F54" i="6"/>
  <c r="Y15" i="7" l="1"/>
  <c r="U15" i="7"/>
  <c r="C41" i="7"/>
  <c r="T51" i="7"/>
  <c r="T15" i="7"/>
  <c r="X15" i="7"/>
  <c r="V15" i="7"/>
  <c r="W15" i="7"/>
  <c r="C63" i="7"/>
  <c r="K16" i="7"/>
  <c r="K35" i="7" s="1"/>
  <c r="C37" i="7" s="1"/>
  <c r="J39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F49" i="6"/>
  <c r="D49" i="6"/>
  <c r="F48" i="6"/>
  <c r="D48" i="6"/>
  <c r="F47" i="6"/>
  <c r="D47" i="6"/>
  <c r="F46" i="6"/>
  <c r="D46" i="6"/>
  <c r="F45" i="6"/>
  <c r="C40" i="6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X3" i="6"/>
  <c r="W3" i="6"/>
  <c r="V3" i="6"/>
  <c r="U3" i="6"/>
  <c r="T3" i="6"/>
  <c r="T15" i="6" l="1"/>
  <c r="C41" i="6"/>
  <c r="U15" i="6"/>
  <c r="T51" i="6"/>
  <c r="X15" i="6"/>
  <c r="V15" i="6"/>
  <c r="W15" i="6"/>
  <c r="Y15" i="6"/>
  <c r="T17" i="7"/>
  <c r="Y52" i="7" s="1"/>
  <c r="K16" i="6"/>
  <c r="K35" i="6" s="1"/>
  <c r="C37" i="6" s="1"/>
  <c r="N27" i="5"/>
  <c r="T17" i="6" l="1"/>
  <c r="Y52" i="6" s="1"/>
  <c r="K62" i="5"/>
  <c r="C62" i="3"/>
  <c r="R18" i="3"/>
  <c r="K18" i="3" s="1"/>
  <c r="E62" i="5"/>
  <c r="C62" i="5"/>
  <c r="C63" i="5" s="1"/>
  <c r="F54" i="5"/>
  <c r="D54" i="5"/>
  <c r="F53" i="5"/>
  <c r="D53" i="5"/>
  <c r="F52" i="5"/>
  <c r="D52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P35" i="5"/>
  <c r="C39" i="5" s="1"/>
  <c r="C41" i="5" s="1"/>
  <c r="C35" i="5"/>
  <c r="K26" i="5"/>
  <c r="R25" i="5"/>
  <c r="K24" i="5"/>
  <c r="Q23" i="5"/>
  <c r="R23" i="5" s="1"/>
  <c r="R18" i="5"/>
  <c r="Q17" i="5"/>
  <c r="R17" i="5" s="1"/>
  <c r="X14" i="5"/>
  <c r="W14" i="5"/>
  <c r="V14" i="5"/>
  <c r="U14" i="5"/>
  <c r="T14" i="5"/>
  <c r="Q14" i="5"/>
  <c r="R14" i="5" s="1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X4" i="5"/>
  <c r="W4" i="5"/>
  <c r="V4" i="5"/>
  <c r="U4" i="5"/>
  <c r="T4" i="5"/>
  <c r="Y3" i="5"/>
  <c r="X3" i="5"/>
  <c r="W3" i="5"/>
  <c r="V3" i="5"/>
  <c r="U3" i="5"/>
  <c r="T3" i="5"/>
  <c r="Y15" i="5" l="1"/>
  <c r="T51" i="5"/>
  <c r="T15" i="5"/>
  <c r="V15" i="5"/>
  <c r="X15" i="5"/>
  <c r="U15" i="5"/>
  <c r="W15" i="5"/>
  <c r="O38" i="5"/>
  <c r="K16" i="5"/>
  <c r="K35" i="5" s="1"/>
  <c r="C37" i="5" s="1"/>
  <c r="T49" i="3"/>
  <c r="Y49" i="3"/>
  <c r="X49" i="3"/>
  <c r="W49" i="3"/>
  <c r="V49" i="3"/>
  <c r="U49" i="3"/>
  <c r="T17" i="5" l="1"/>
  <c r="Y52" i="5" s="1"/>
  <c r="T51" i="3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0" i="3"/>
  <c r="P35" i="3"/>
  <c r="C39" i="3" s="1"/>
  <c r="C35" i="3"/>
  <c r="R25" i="3"/>
  <c r="Q23" i="3"/>
  <c r="R23" i="3" s="1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U3" i="3"/>
  <c r="T3" i="3"/>
  <c r="U15" i="3" l="1"/>
  <c r="C41" i="3"/>
  <c r="V15" i="3"/>
  <c r="C63" i="3"/>
  <c r="K16" i="3"/>
  <c r="K35" i="3" s="1"/>
  <c r="C37" i="3" s="1"/>
  <c r="X15" i="3"/>
  <c r="W15" i="3"/>
  <c r="T15" i="3"/>
  <c r="Y15" i="3"/>
  <c r="Y3" i="2"/>
  <c r="Y4" i="2"/>
  <c r="Y5" i="2"/>
  <c r="Y6" i="2"/>
  <c r="Y7" i="2"/>
  <c r="Y8" i="2"/>
  <c r="Y9" i="2"/>
  <c r="Y10" i="2"/>
  <c r="Y11" i="2"/>
  <c r="Y12" i="2"/>
  <c r="Y13" i="2"/>
  <c r="Y14" i="2"/>
  <c r="Y15" i="2" l="1"/>
  <c r="T17" i="3"/>
  <c r="Y52" i="3" s="1"/>
  <c r="Y55" i="3" s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P35" i="2"/>
  <c r="C39" i="2" s="1"/>
  <c r="C35" i="2"/>
  <c r="R25" i="2"/>
  <c r="K24" i="2"/>
  <c r="Q23" i="2"/>
  <c r="R23" i="2" s="1"/>
  <c r="Q18" i="2"/>
  <c r="R18" i="2" s="1"/>
  <c r="K18" i="2" s="1"/>
  <c r="O38" i="2" s="1"/>
  <c r="Q17" i="2"/>
  <c r="R17" i="2" s="1"/>
  <c r="K3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K8" i="2"/>
  <c r="L8" i="2" s="1"/>
  <c r="X7" i="2"/>
  <c r="W7" i="2"/>
  <c r="U7" i="2"/>
  <c r="T7" i="2"/>
  <c r="X6" i="2"/>
  <c r="W6" i="2"/>
  <c r="U6" i="2"/>
  <c r="T6" i="2"/>
  <c r="X5" i="2"/>
  <c r="W5" i="2"/>
  <c r="U5" i="2"/>
  <c r="T5" i="2"/>
  <c r="X4" i="2"/>
  <c r="W4" i="2"/>
  <c r="V4" i="2"/>
  <c r="U4" i="2"/>
  <c r="T4" i="2"/>
  <c r="X3" i="2"/>
  <c r="W3" i="2"/>
  <c r="V3" i="2"/>
  <c r="U3" i="2"/>
  <c r="T3" i="2"/>
  <c r="E65" i="1"/>
  <c r="C65" i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0" i="1"/>
  <c r="P35" i="1"/>
  <c r="C39" i="1" s="1"/>
  <c r="C35" i="1"/>
  <c r="R25" i="1"/>
  <c r="K24" i="1"/>
  <c r="Q23" i="1"/>
  <c r="R23" i="1" s="1"/>
  <c r="Q18" i="1"/>
  <c r="R18" i="1" s="1"/>
  <c r="K18" i="1" s="1"/>
  <c r="O38" i="1" s="1"/>
  <c r="Q17" i="1"/>
  <c r="R17" i="1" s="1"/>
  <c r="X14" i="1"/>
  <c r="W14" i="1"/>
  <c r="V14" i="1"/>
  <c r="U14" i="1"/>
  <c r="T14" i="1"/>
  <c r="Q14" i="1"/>
  <c r="R14" i="1" s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K8" i="1"/>
  <c r="L8" i="1" s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W3" i="1"/>
  <c r="V3" i="1"/>
  <c r="U3" i="1"/>
  <c r="T3" i="1"/>
  <c r="V15" i="1" l="1"/>
  <c r="T15" i="2"/>
  <c r="C41" i="1"/>
  <c r="X15" i="1"/>
  <c r="C41" i="2"/>
  <c r="V15" i="2"/>
  <c r="U15" i="1"/>
  <c r="W15" i="1"/>
  <c r="U15" i="2"/>
  <c r="T15" i="1"/>
  <c r="W15" i="2"/>
  <c r="X15" i="2"/>
  <c r="C66" i="1"/>
  <c r="C66" i="2"/>
  <c r="K16" i="1"/>
  <c r="K35" i="1"/>
  <c r="C37" i="1" s="1"/>
  <c r="C37" i="2"/>
  <c r="T17" i="1" l="1"/>
  <c r="T17" i="2"/>
</calcChain>
</file>

<file path=xl/sharedStrings.xml><?xml version="1.0" encoding="utf-8"?>
<sst xmlns="http://schemas.openxmlformats.org/spreadsheetml/2006/main" count="1260" uniqueCount="114">
  <si>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</si>
  <si>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</si>
  <si>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</si>
  <si>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</si>
  <si>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</si>
  <si>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</si>
  <si>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</si>
  <si>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</si>
  <si>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</si>
  <si>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</si>
  <si>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</si>
  <si>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</si>
  <si>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</si>
  <si>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</si>
  <si>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</si>
  <si>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</si>
  <si>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</si>
  <si>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</si>
  <si>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</si>
  <si>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</si>
  <si>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</si>
  <si>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</si>
  <si>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</si>
  <si>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</si>
  <si>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</si>
  <si>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</si>
  <si>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</si>
  <si>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</si>
  <si>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</si>
  <si>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</si>
  <si>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</si>
  <si>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</si>
  <si>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</si>
  <si>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</si>
  <si>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</si>
  <si>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</si>
  <si>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</si>
  <si>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</si>
  <si>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</si>
  <si>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</si>
  <si>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</si>
  <si>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</si>
  <si>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</si>
  <si>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</si>
  <si>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</si>
  <si>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</si>
  <si>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</si>
  <si>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</si>
  <si>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</si>
  <si>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</si>
  <si>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</si>
  <si>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</si>
  <si>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</si>
  <si>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</si>
  <si>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</si>
  <si>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</si>
  <si>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</si>
  <si>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</si>
  <si>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</si>
  <si>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</si>
  <si>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</si>
  <si>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</si>
  <si>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</si>
  <si>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</si>
  <si>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</si>
  <si>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</si>
  <si>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</si>
  <si>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</si>
  <si>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</si>
  <si>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</si>
  <si>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</si>
  <si>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</si>
  <si>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</si>
  <si>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</si>
  <si>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</si>
  <si>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</si>
  <si>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</si>
  <si>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</si>
  <si>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</si>
  <si>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</si>
  <si>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</si>
  <si>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</si>
  <si>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</si>
  <si>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</si>
  <si>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</si>
  <si>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</si>
  <si>
    <t>NETFLIX</t>
  </si>
  <si>
    <t>หนี้พี่รบ</t>
  </si>
  <si>
    <t>5000-1500</t>
  </si>
  <si>
    <t>เหลือ</t>
  </si>
  <si>
    <t xml:space="preserve">กล้อง </t>
  </si>
  <si>
    <t>แผงใหญ่</t>
  </si>
  <si>
    <t>ผ่อน</t>
  </si>
  <si>
    <t>rob</t>
  </si>
  <si>
    <t>แผงเล็ก</t>
  </si>
  <si>
    <t>แผงยาว</t>
  </si>
  <si>
    <t>ยอดกู้</t>
  </si>
  <si>
    <t>ค่าขนส่ง</t>
  </si>
  <si>
    <t>หักเงินที่ผมจ่าย</t>
  </si>
  <si>
    <t>เงินที่พี่จะได้รับ</t>
  </si>
  <si>
    <t>ไฟรถ</t>
  </si>
  <si>
    <t>ส่วนต่างแผงโซล่า</t>
  </si>
  <si>
    <t>กล้อง</t>
  </si>
  <si>
    <t>เครื่องซักผ้า น่าจะ 4000</t>
  </si>
  <si>
    <t>CITI ปิด</t>
  </si>
  <si>
    <t>Robot</t>
  </si>
  <si>
    <t>1066.66</t>
  </si>
  <si>
    <t>tqm</t>
  </si>
  <si>
    <t>ที่นอน</t>
  </si>
  <si>
    <t>กันสาด</t>
  </si>
  <si>
    <t>krungsri 1 Choice</t>
  </si>
  <si>
    <t>15</t>
  </si>
  <si>
    <t>iPhone 15 PM</t>
  </si>
  <si>
    <t>ค่าไฟ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</si>
</sst>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&quot;฿&quot;#,##0.00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6"/>
      <color theme="0"/>
      <name val="Calibri"/>
      <family val="2"/>
      <charset val="222"/>
      <scheme val="minor"/>
    </font>
    <font>
      <sz val="16"/>
      <color theme="0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sz val="14"/>
      <color rgb="FF0061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rgb="FF80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6100"/>
      <name val="Calibri"/>
      <family val="2"/>
      <charset val="222"/>
      <scheme val="minor"/>
    </font>
    <font>
      <sz val="16"/>
      <color rgb="FF9C0006"/>
      <name val="Calibri"/>
      <family val="2"/>
      <charset val="22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58">
    <xf numFmtId="0" fontId="0" fillId="0" borderId="0" xfId="0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64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ill="1" applyBorder="1" applyAlignment="1">
      <alignment horizontal="left"/>
    </xf>
    <xf numFmtId="44" fontId="0" fillId="17" borderId="4" xfId="0" applyNumberFormat="1" applyFill="1" applyBorder="1"/>
    <xf numFmtId="0" fontId="0" fillId="17" borderId="4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64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0" fontId="0" fillId="18" borderId="4" xfId="0" applyFill="1" applyBorder="1" applyAlignment="1">
      <alignment horizontal="left"/>
    </xf>
    <xf numFmtId="44" fontId="0" fillId="18" borderId="4" xfId="0" applyNumberFormat="1" applyFill="1" applyBorder="1"/>
    <xf numFmtId="0" fontId="0" fillId="18" borderId="4" xfId="0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ill="1" applyBorder="1" applyAlignment="1">
      <alignment horizontal="left"/>
    </xf>
    <xf numFmtId="44" fontId="0" fillId="19" borderId="4" xfId="0" applyNumberFormat="1" applyFill="1" applyBorder="1"/>
    <xf numFmtId="0" fontId="0" fillId="19" borderId="4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5" fillId="5" borderId="4" xfId="5" applyNumberFormat="1" applyBorder="1" applyAlignment="1">
      <alignment horizontal="center"/>
    </xf>
    <xf numFmtId="0" fontId="0" fillId="20" borderId="4" xfId="0" applyFill="1" applyBorder="1" applyAlignment="1">
      <alignment horizontal="left"/>
    </xf>
    <xf numFmtId="44" fontId="0" fillId="20" borderId="4" xfId="0" applyNumberFormat="1" applyFill="1" applyBorder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64" fontId="0" fillId="0" borderId="7" xfId="0" applyNumberFormat="1" applyBorder="1"/>
    <xf numFmtId="164" fontId="0" fillId="0" borderId="4" xfId="0" applyNumberFormat="1" applyBorder="1"/>
    <xf numFmtId="0" fontId="6" fillId="0" borderId="1" xfId="6" applyFill="1" applyAlignment="1">
      <alignment horizontal="left"/>
    </xf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0" fillId="14" borderId="4" xfId="5" applyFont="1" applyFill="1" applyBorder="1" applyAlignment="1">
      <alignment horizontal="left"/>
    </xf>
    <xf numFmtId="164" fontId="0" fillId="14" borderId="4" xfId="5" applyNumberFormat="1" applyFont="1" applyFill="1" applyBorder="1"/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64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64" fontId="10" fillId="0" borderId="4" xfId="10" applyNumberFormat="1" applyBorder="1" applyAlignment="1">
      <alignment horizontal="center"/>
    </xf>
    <xf numFmtId="164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Border="1" applyAlignment="1">
      <alignment horizontal="left"/>
    </xf>
    <xf numFmtId="164" fontId="8" fillId="0" borderId="4" xfId="0" applyNumberFormat="1" applyFont="1" applyBorder="1"/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64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64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64" fontId="2" fillId="0" borderId="4" xfId="2" applyNumberFormat="1" applyFill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ill="1" applyBorder="1" applyAlignment="1">
      <alignment horizontal="left"/>
    </xf>
    <xf numFmtId="44" fontId="0" fillId="24" borderId="4" xfId="0" applyNumberFormat="1" applyFill="1" applyBorder="1"/>
    <xf numFmtId="0" fontId="0" fillId="24" borderId="4" xfId="0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" fontId="17" fillId="0" borderId="4" xfId="0" applyNumberFormat="1" applyFont="1" applyBorder="1" applyAlignment="1">
      <alignment horizontal="left"/>
    </xf>
    <xf numFmtId="44" fontId="3" fillId="3" borderId="4" xfId="3" applyNumberFormat="1" applyBorder="1" applyAlignment="1">
      <alignment vertical="center"/>
    </xf>
    <xf numFmtId="44" fontId="2" fillId="2" borderId="0" xfId="2" applyNumberFormat="1" applyAlignment="1">
      <alignment horizontal="right"/>
    </xf>
    <xf numFmtId="44" fontId="3" fillId="3" borderId="0" xfId="3" applyNumberFormat="1"/>
    <xf numFmtId="44" fontId="0" fillId="0" borderId="0" xfId="0" applyNumberFormat="1" applyAlignment="1">
      <alignment horizontal="center" vertical="center"/>
    </xf>
    <xf numFmtId="0" fontId="3" fillId="3" borderId="4" xfId="3" applyBorder="1"/>
    <xf numFmtId="44" fontId="4" fillId="0" borderId="4" xfId="4" applyNumberFormat="1" applyFill="1" applyBorder="1"/>
    <xf numFmtId="44" fontId="5" fillId="0" borderId="4" xfId="5" applyNumberFormat="1" applyFill="1" applyBorder="1" applyAlignment="1">
      <alignment horizontal="center"/>
    </xf>
    <xf numFmtId="0" fontId="0" fillId="0" borderId="4" xfId="5" applyFont="1" applyFill="1" applyBorder="1" applyAlignment="1">
      <alignment horizontal="left"/>
    </xf>
    <xf numFmtId="0" fontId="0" fillId="20" borderId="0" xfId="0" applyFill="1"/>
    <xf numFmtId="44" fontId="0" fillId="0" borderId="4" xfId="1" applyFont="1" applyBorder="1" applyAlignment="1">
      <alignment horizontal="center"/>
    </xf>
    <xf numFmtId="0" fontId="19" fillId="3" borderId="4" xfId="3" applyFont="1" applyBorder="1" applyAlignment="1">
      <alignment horizontal="center"/>
    </xf>
    <xf numFmtId="0" fontId="28" fillId="4" borderId="4" xfId="4" applyFont="1" applyBorder="1" applyAlignment="1">
      <alignment horizontal="left"/>
    </xf>
    <xf numFmtId="44" fontId="28" fillId="4" borderId="4" xfId="4" applyNumberFormat="1" applyFont="1" applyBorder="1"/>
    <xf numFmtId="0" fontId="28" fillId="4" borderId="4" xfId="4" applyFont="1" applyBorder="1" applyAlignment="1">
      <alignment horizontal="center"/>
    </xf>
    <xf numFmtId="44" fontId="2" fillId="0" borderId="13" xfId="2" applyNumberFormat="1" applyFill="1" applyBorder="1" applyAlignment="1">
      <alignment vertical="center"/>
    </xf>
    <xf numFmtId="44" fontId="2" fillId="0" borderId="8" xfId="2" applyNumberFormat="1" applyFill="1" applyBorder="1" applyAlignment="1">
      <alignment vertical="center"/>
    </xf>
    <xf numFmtId="0" fontId="4" fillId="4" borderId="1" xfId="4" applyBorder="1" applyAlignment="1">
      <alignment horizontal="center"/>
    </xf>
    <xf numFmtId="44" fontId="4" fillId="4" borderId="1" xfId="4" applyNumberFormat="1" applyBorder="1"/>
    <xf numFmtId="0" fontId="2" fillId="2" borderId="1" xfId="2" applyBorder="1" applyAlignment="1">
      <alignment horizontal="center"/>
    </xf>
    <xf numFmtId="44" fontId="2" fillId="2" borderId="1" xfId="2" applyNumberFormat="1" applyBorder="1"/>
    <xf numFmtId="0" fontId="0" fillId="20" borderId="4" xfId="8" applyFont="1" applyFill="1" applyBorder="1" applyAlignment="1">
      <alignment horizontal="center"/>
    </xf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44" fontId="2" fillId="2" borderId="13" xfId="2" applyNumberFormat="1" applyBorder="1" applyAlignment="1">
      <alignment horizontal="center" vertical="center"/>
    </xf>
    <xf numFmtId="44" fontId="2" fillId="2" borderId="8" xfId="2" applyNumberFormat="1" applyBorder="1" applyAlignment="1">
      <alignment horizontal="center" vertical="center"/>
    </xf>
    <xf numFmtId="44" fontId="0" fillId="0" borderId="0" xfId="0" applyNumberFormat="1" applyAlignment="1">
      <alignment horizontal="right"/>
    </xf>
    <xf numFmtId="44" fontId="28" fillId="4" borderId="16" xfId="4" applyNumberFormat="1" applyFont="1" applyBorder="1" applyAlignment="1">
      <alignment horizontal="right"/>
    </xf>
    <xf numFmtId="44" fontId="0" fillId="0" borderId="17" xfId="0" applyNumberFormat="1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16384" width="9" style="11"/>
  </cols>
  <sheetData>
    <row r="1" spans="1:24" s="3" customFormat="1" ht="21">
      <c r="A1" s="225">
        <v>243256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4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>
      <c r="A8" s="17">
        <v>5</v>
      </c>
      <c r="C8" s="16">
        <v>227.78</v>
      </c>
      <c r="D8" s="15"/>
      <c r="E8" s="17">
        <v>31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25</v>
      </c>
      <c r="N8" s="12">
        <v>35</v>
      </c>
      <c r="O8" s="39">
        <f>N8-M8</f>
        <v>10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6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8</v>
      </c>
      <c r="N11" s="57">
        <v>58</v>
      </c>
      <c r="O11" s="16">
        <f>((N11-M11)+1)*K11</f>
        <v>162792</v>
      </c>
      <c r="P11" s="16">
        <f>M11*K11</f>
        <v>25536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>
      <c r="A15" s="17">
        <v>12</v>
      </c>
      <c r="B15" s="63"/>
      <c r="C15" s="16"/>
      <c r="D15" s="15"/>
      <c r="I15" s="69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>SUM(T3:T14)</f>
        <v>54150</v>
      </c>
      <c r="U15" s="74">
        <f>SUM(U3:U14)</f>
        <v>54150</v>
      </c>
      <c r="V15" s="74">
        <f>SUM(V3:V14)</f>
        <v>27075</v>
      </c>
      <c r="W15" s="74">
        <f>SUM(W3:W14)</f>
        <v>36516</v>
      </c>
      <c r="X15" s="74">
        <f>SUM(X3:X14)</f>
        <v>36516</v>
      </c>
    </row>
    <row r="16" spans="1:24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C65</f>
        <v>916.90000000000009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</row>
    <row r="17" spans="1:24">
      <c r="A17" s="17">
        <v>14</v>
      </c>
      <c r="B17" s="63"/>
      <c r="C17" s="16"/>
      <c r="D17" s="15"/>
      <c r="I17" s="23">
        <v>14</v>
      </c>
      <c r="J17" s="182" t="s">
        <v>38</v>
      </c>
      <c r="K17" s="183">
        <v>2140</v>
      </c>
      <c r="L17" s="184" t="s">
        <v>39</v>
      </c>
      <c r="M17" s="185">
        <v>5</v>
      </c>
      <c r="N17" s="185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</f>
        <v>227207</v>
      </c>
      <c r="U17" s="234"/>
      <c r="V17" s="234"/>
      <c r="W17" s="234"/>
      <c r="X17" s="235"/>
    </row>
    <row r="18" spans="1:24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4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116</v>
      </c>
      <c r="L19" s="79"/>
      <c r="O19" s="16"/>
      <c r="P19" s="16"/>
      <c r="Q19" s="40"/>
      <c r="R19" s="40"/>
      <c r="S19" s="91"/>
      <c r="T19" s="92"/>
      <c r="U19" s="92"/>
    </row>
    <row r="20" spans="1:24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4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26</v>
      </c>
      <c r="O21" s="90"/>
      <c r="P21" s="75"/>
      <c r="Q21" s="16"/>
      <c r="R21" s="16"/>
      <c r="S21" s="91"/>
      <c r="T21" s="92"/>
      <c r="U21" s="92"/>
    </row>
    <row r="22" spans="1:24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4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1200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4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8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4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4">
      <c r="A26" s="17">
        <v>23</v>
      </c>
      <c r="C26" s="16"/>
      <c r="F26" s="16"/>
      <c r="G26" s="16"/>
      <c r="I26" s="69">
        <v>23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4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4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4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4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4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4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36">
        <f>C4+C5+C6+C7+C8+C9+C10+C11+C12+C13+C14+C15+C16+C17+C18+C19+C20+C21</f>
        <v>26497.78</v>
      </c>
      <c r="D35" s="236"/>
      <c r="J35" s="124" t="s">
        <v>52</v>
      </c>
      <c r="K35" s="237">
        <f>SUM(K4:K34)</f>
        <v>24874.481599999999</v>
      </c>
      <c r="L35" s="238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39">
        <f>C35-K35</f>
        <v>1623.2983999999997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9086.8616000000002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4</v>
      </c>
      <c r="B45" s="146">
        <v>12</v>
      </c>
      <c r="C45" s="136">
        <v>51.36</v>
      </c>
      <c r="D45" s="147">
        <f>(B45-A45)*C45</f>
        <v>410.88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>
        <v>6</v>
      </c>
      <c r="B46" s="148">
        <v>6</v>
      </c>
      <c r="C46" s="22">
        <v>117.33</v>
      </c>
      <c r="D46" s="149">
        <f>(B46-A46)*C46</f>
        <v>0</v>
      </c>
      <c r="E46" s="22"/>
      <c r="F46" s="22">
        <f>C46*B46</f>
        <v>703.98</v>
      </c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1</v>
      </c>
      <c r="B47" s="145">
        <v>12</v>
      </c>
      <c r="C47" s="136">
        <v>75</v>
      </c>
      <c r="D47" s="147">
        <f>(B47-A47)*C47</f>
        <v>825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8</v>
      </c>
      <c r="B48" s="145">
        <v>12</v>
      </c>
      <c r="C48" s="136">
        <v>68.69</v>
      </c>
      <c r="D48" s="147">
        <f>(B48-A48)*C48</f>
        <v>274.76</v>
      </c>
      <c r="E48" s="136"/>
      <c r="F48" s="136">
        <f t="shared" ref="F48:F58" si="2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>
        <v>96</v>
      </c>
      <c r="L50" s="167"/>
      <c r="M50" s="113"/>
      <c r="N50" s="113"/>
      <c r="Q50" s="167"/>
      <c r="R50" s="164"/>
    </row>
    <row r="51" spans="1:18">
      <c r="A51" s="15">
        <v>8</v>
      </c>
      <c r="B51" s="15">
        <v>12</v>
      </c>
      <c r="C51" s="136">
        <v>222.1</v>
      </c>
      <c r="D51" s="147">
        <f t="shared" ref="D51:D58" si="3">(B51-A51)*C51</f>
        <v>888.4</v>
      </c>
      <c r="E51" s="136"/>
      <c r="F51" s="136">
        <f t="shared" si="2"/>
        <v>2665.2</v>
      </c>
      <c r="K51" s="28">
        <v>185</v>
      </c>
      <c r="L51" s="125"/>
      <c r="M51" s="11"/>
      <c r="N51" s="11"/>
      <c r="Q51" s="11"/>
      <c r="R51" s="11"/>
    </row>
    <row r="52" spans="1:18">
      <c r="A52" s="15">
        <v>8</v>
      </c>
      <c r="B52" s="15">
        <v>12</v>
      </c>
      <c r="C52" s="136">
        <v>50.54</v>
      </c>
      <c r="D52" s="147">
        <f t="shared" si="3"/>
        <v>202.16</v>
      </c>
      <c r="E52" s="136"/>
      <c r="F52" s="136">
        <f t="shared" si="2"/>
        <v>606.48</v>
      </c>
      <c r="K52" s="28">
        <v>156</v>
      </c>
      <c r="L52" s="125"/>
      <c r="M52" s="11"/>
      <c r="N52" s="11"/>
      <c r="Q52" s="11"/>
      <c r="R52" s="11"/>
    </row>
    <row r="53" spans="1:18">
      <c r="A53" s="69">
        <v>8</v>
      </c>
      <c r="B53" s="69">
        <v>12</v>
      </c>
      <c r="C53" s="168">
        <v>63.09</v>
      </c>
      <c r="D53" s="147">
        <f t="shared" si="3"/>
        <v>252.36</v>
      </c>
      <c r="E53" s="136"/>
      <c r="F53" s="136">
        <f t="shared" si="2"/>
        <v>757.08</v>
      </c>
      <c r="K53" s="28">
        <v>226</v>
      </c>
      <c r="M53" s="11"/>
      <c r="N53" s="11"/>
      <c r="Q53" s="11"/>
      <c r="R53" s="11"/>
    </row>
    <row r="54" spans="1:18">
      <c r="A54" s="69">
        <v>8</v>
      </c>
      <c r="B54" s="69">
        <v>12</v>
      </c>
      <c r="C54" s="168">
        <v>76.900000000000006</v>
      </c>
      <c r="D54" s="147">
        <f t="shared" si="3"/>
        <v>307.60000000000002</v>
      </c>
      <c r="E54" s="136"/>
      <c r="F54" s="136">
        <f t="shared" si="2"/>
        <v>922.80000000000007</v>
      </c>
      <c r="J54" s="11"/>
      <c r="K54" s="11">
        <v>81</v>
      </c>
      <c r="L54" s="11"/>
      <c r="M54" s="11"/>
      <c r="N54" s="11"/>
      <c r="Q54" s="11"/>
      <c r="R54" s="11"/>
    </row>
    <row r="55" spans="1:18">
      <c r="A55" s="35">
        <v>9</v>
      </c>
      <c r="B55" s="35">
        <v>12</v>
      </c>
      <c r="C55" s="169">
        <v>46.84</v>
      </c>
      <c r="D55" s="147">
        <f t="shared" si="3"/>
        <v>140.52000000000001</v>
      </c>
      <c r="E55" s="136"/>
      <c r="F55" s="136">
        <f t="shared" si="2"/>
        <v>562.08000000000004</v>
      </c>
      <c r="I55" s="11"/>
      <c r="J55" s="11"/>
      <c r="K55" s="170">
        <v>130</v>
      </c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>
        <v>30</v>
      </c>
      <c r="L56" s="11"/>
      <c r="M56" s="11"/>
      <c r="N56" s="11"/>
      <c r="Q56" s="11"/>
      <c r="R56" s="11"/>
    </row>
    <row r="57" spans="1:18" s="173" customFormat="1">
      <c r="A57" s="171">
        <v>11</v>
      </c>
      <c r="B57" s="171">
        <v>12</v>
      </c>
      <c r="C57" s="106">
        <v>47.21</v>
      </c>
      <c r="D57" s="172">
        <f t="shared" si="3"/>
        <v>47.21</v>
      </c>
      <c r="E57" s="106"/>
      <c r="F57" s="106">
        <f t="shared" si="2"/>
        <v>566.52</v>
      </c>
      <c r="I57" s="171"/>
      <c r="K57" s="173">
        <v>139</v>
      </c>
    </row>
    <row r="58" spans="1:18" s="173" customFormat="1">
      <c r="A58" s="174">
        <v>11</v>
      </c>
      <c r="B58" s="174">
        <v>12</v>
      </c>
      <c r="C58" s="106">
        <v>97.84</v>
      </c>
      <c r="D58" s="172">
        <f t="shared" si="3"/>
        <v>97.84</v>
      </c>
      <c r="E58" s="106"/>
      <c r="F58" s="106">
        <f t="shared" si="2"/>
        <v>1174.08</v>
      </c>
      <c r="I58" s="171"/>
      <c r="K58" s="173">
        <v>88</v>
      </c>
    </row>
    <row r="59" spans="1:18">
      <c r="A59" s="154"/>
      <c r="B59" s="154"/>
      <c r="C59" s="169"/>
      <c r="D59" s="175"/>
      <c r="E59" s="169"/>
      <c r="F59" s="169"/>
      <c r="J59" s="11"/>
      <c r="K59" s="11">
        <v>74</v>
      </c>
      <c r="L59" s="11"/>
      <c r="M59" s="11"/>
      <c r="N59" s="11"/>
      <c r="Q59" s="11"/>
      <c r="R59" s="11"/>
    </row>
    <row r="60" spans="1:18">
      <c r="A60" s="154"/>
      <c r="B60" s="154"/>
      <c r="C60" s="169"/>
      <c r="D60" s="242">
        <f>C60+C61+C62</f>
        <v>0</v>
      </c>
      <c r="E60" s="169"/>
      <c r="F60" s="169"/>
      <c r="J60" s="11"/>
      <c r="K60" s="28">
        <f>SUM(K49:K59)</f>
        <v>1205</v>
      </c>
      <c r="L60" s="11"/>
      <c r="M60" s="11"/>
      <c r="N60" s="11"/>
      <c r="Q60" s="11"/>
      <c r="R60" s="11"/>
    </row>
    <row r="61" spans="1:18">
      <c r="A61" s="154"/>
      <c r="B61" s="154"/>
      <c r="C61" s="169"/>
      <c r="D61" s="242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43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916.90000000000009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23">
        <f>C65-E65</f>
        <v>916.90000000000009</v>
      </c>
      <c r="D66" s="224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7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4F4F-2F61-4031-8823-651817DAA05D}">
  <sheetPr>
    <tabColor rgb="FF00B050"/>
  </sheetPr>
  <dimension ref="A1:AA83"/>
  <sheetViews>
    <sheetView topLeftCell="A3" zoomScaleNormal="100" workbookViewId="0">
      <selection activeCell="M29" sqref="M29:N2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243527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280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3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1066.6600000000001</v>
      </c>
      <c r="D11" s="53" t="s">
        <v>106</v>
      </c>
      <c r="E11" s="15">
        <v>1</v>
      </c>
      <c r="F11" s="54"/>
      <c r="I11" s="197">
        <v>8</v>
      </c>
      <c r="J11" s="210" t="s">
        <v>105</v>
      </c>
      <c r="K11" s="87">
        <v>478.2</v>
      </c>
      <c r="L11" s="88" t="s">
        <v>49</v>
      </c>
      <c r="M11" s="89">
        <v>2</v>
      </c>
      <c r="N11" s="89">
        <v>10</v>
      </c>
      <c r="O11" s="16">
        <f>K11*((N11+1)-M11)</f>
        <v>4303.8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0</v>
      </c>
      <c r="D13"/>
      <c r="I13" s="197">
        <v>10</v>
      </c>
      <c r="J13" s="191" t="s">
        <v>108</v>
      </c>
      <c r="K13" s="192">
        <v>322.39999999999998</v>
      </c>
      <c r="L13" s="112" t="s">
        <v>49</v>
      </c>
      <c r="M13" s="17">
        <v>2</v>
      </c>
      <c r="N13" s="17">
        <v>10</v>
      </c>
      <c r="O13" s="16">
        <f>K13*((N13+1)-M13)</f>
        <v>2901.6</v>
      </c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197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197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197">
        <v>13</v>
      </c>
      <c r="J16" s="77" t="s">
        <v>36</v>
      </c>
      <c r="K16" s="78">
        <f>C65</f>
        <v>2041.6699999999998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197">
        <v>14</v>
      </c>
      <c r="J17" s="81" t="s">
        <v>38</v>
      </c>
      <c r="K17" s="82">
        <v>2140</v>
      </c>
      <c r="L17" s="83" t="s">
        <v>39</v>
      </c>
      <c r="M17" s="84">
        <v>14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197">
        <v>15</v>
      </c>
      <c r="J18" s="86" t="s">
        <v>81</v>
      </c>
      <c r="K18" s="87">
        <v>3450</v>
      </c>
      <c r="L18" s="88" t="s">
        <v>42</v>
      </c>
      <c r="M18" s="89"/>
      <c r="N18" s="89"/>
      <c r="O18" s="90">
        <v>113817.14</v>
      </c>
      <c r="P18" s="30">
        <v>0</v>
      </c>
      <c r="Q18" s="67">
        <f>O18+P18</f>
        <v>113817.14</v>
      </c>
      <c r="R18" s="68">
        <f>Q18*0.03</f>
        <v>3414.5142000000001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197">
        <v>16</v>
      </c>
      <c r="J19" s="77" t="b">
        <v>1</v>
      </c>
      <c r="K19" s="78">
        <v>150.34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197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18" t="s">
        <v>48</v>
      </c>
      <c r="K21" s="16">
        <f>2940</f>
        <v>2940</v>
      </c>
      <c r="L21" s="76" t="s">
        <v>48</v>
      </c>
      <c r="M21" s="15">
        <v>17</v>
      </c>
      <c r="N21" s="15">
        <v>60</v>
      </c>
      <c r="O21" s="16">
        <v>84154.9</v>
      </c>
      <c r="P21" s="75"/>
      <c r="Q21" s="16"/>
      <c r="R21" s="16">
        <f>K21/2</f>
        <v>1470</v>
      </c>
      <c r="S21" s="91"/>
      <c r="T21" s="92"/>
      <c r="U21" s="92"/>
    </row>
    <row r="22" spans="1:25">
      <c r="A22" s="17">
        <v>19</v>
      </c>
      <c r="C22" s="16"/>
      <c r="I22" s="197">
        <v>19</v>
      </c>
      <c r="J22" s="99" t="s">
        <v>46</v>
      </c>
      <c r="K22" s="100">
        <v>550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197">
        <v>20</v>
      </c>
      <c r="J23" s="191" t="s">
        <v>84</v>
      </c>
      <c r="K23" s="200">
        <v>325.89999999999998</v>
      </c>
      <c r="L23" s="112" t="s">
        <v>49</v>
      </c>
      <c r="M23" s="114">
        <v>5</v>
      </c>
      <c r="N23" s="24" t="s">
        <v>85</v>
      </c>
      <c r="O23" s="16">
        <f>625.9*((N23+1)-M23)</f>
        <v>3755.3999999999996</v>
      </c>
      <c r="P23" s="207"/>
      <c r="Q23" s="40"/>
      <c r="R23" s="208"/>
      <c r="S23" s="91"/>
      <c r="T23" s="92"/>
      <c r="U23" s="92"/>
    </row>
    <row r="24" spans="1:25">
      <c r="A24" s="17">
        <v>21</v>
      </c>
      <c r="C24" s="16"/>
      <c r="F24" s="107"/>
      <c r="I24" s="197">
        <v>21</v>
      </c>
      <c r="J24" s="133" t="s">
        <v>86</v>
      </c>
      <c r="K24" s="74">
        <v>220</v>
      </c>
      <c r="L24" s="212"/>
      <c r="M24" s="15"/>
      <c r="N24" s="15"/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197">
        <v>22</v>
      </c>
      <c r="J25" s="213" t="s">
        <v>71</v>
      </c>
      <c r="K25" s="214">
        <f>5350-1470-300</f>
        <v>3580</v>
      </c>
      <c r="L25" s="215" t="s">
        <v>88</v>
      </c>
      <c r="M25" s="17">
        <v>8</v>
      </c>
      <c r="N25" s="17">
        <f>12*24</f>
        <v>288</v>
      </c>
      <c r="O25" s="253">
        <f>K25+K26</f>
        <v>4980</v>
      </c>
      <c r="P25" s="30">
        <v>0</v>
      </c>
      <c r="Q25" s="16"/>
      <c r="R25" s="16">
        <f>O25*0.05</f>
        <v>249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197">
        <v>23</v>
      </c>
      <c r="J26" s="213" t="s">
        <v>72</v>
      </c>
      <c r="K26" s="214">
        <v>1400</v>
      </c>
      <c r="L26" s="215"/>
      <c r="M26" s="17">
        <v>7</v>
      </c>
      <c r="N26" s="24" t="s">
        <v>78</v>
      </c>
      <c r="O26" s="254"/>
      <c r="P26" s="30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197">
        <v>24</v>
      </c>
      <c r="J27" s="49" t="s">
        <v>109</v>
      </c>
      <c r="K27" s="50">
        <f>P27/2</f>
        <v>300</v>
      </c>
      <c r="L27" s="51" t="s">
        <v>110</v>
      </c>
      <c r="O27" s="216">
        <v>20000</v>
      </c>
      <c r="P27" s="16">
        <f>O27*0.03</f>
        <v>600</v>
      </c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197">
        <v>25</v>
      </c>
      <c r="J28" s="86" t="s">
        <v>112</v>
      </c>
      <c r="K28" s="87">
        <v>3260</v>
      </c>
      <c r="L28" s="222" t="s">
        <v>110</v>
      </c>
      <c r="M28" s="17">
        <v>1</v>
      </c>
      <c r="N28" s="24" t="s">
        <v>111</v>
      </c>
      <c r="O28" s="16">
        <f>K28*((N28+1)-M28)</f>
        <v>48900</v>
      </c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J29" s="18" t="s">
        <v>113</v>
      </c>
      <c r="K29" s="16">
        <v>700</v>
      </c>
      <c r="O29" s="16"/>
      <c r="P29" s="202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K30" s="16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6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34635.660000000003</v>
      </c>
      <c r="D35" s="236"/>
      <c r="J35" s="124" t="s">
        <v>52</v>
      </c>
      <c r="K35" s="237">
        <f>SUM(K4:K34)</f>
        <v>26824.510000000002</v>
      </c>
      <c r="L35" s="238"/>
      <c r="N35" s="24"/>
      <c r="O35" s="16"/>
      <c r="P35" s="30">
        <f>P18+P25+P26+P29+P30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7811.1500000000015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50000</v>
      </c>
      <c r="D38" s="130"/>
      <c r="E38" s="131"/>
      <c r="F38" s="131"/>
      <c r="G38" s="131"/>
      <c r="H38" s="131"/>
      <c r="I38" s="132"/>
      <c r="K38" s="28">
        <f>1767+2275</f>
        <v>4042</v>
      </c>
      <c r="N38" s="24"/>
      <c r="O38" s="16">
        <f>K17+K18+K23+1000</f>
        <v>6915.9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50000</v>
      </c>
      <c r="D41" s="137"/>
      <c r="E41" s="92"/>
      <c r="J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211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211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6</v>
      </c>
      <c r="C45" s="58">
        <v>44.73</v>
      </c>
      <c r="D45" s="58">
        <f>(B45-A45)*C45</f>
        <v>134.19</v>
      </c>
      <c r="F45" s="58">
        <f>C45*B45</f>
        <v>268.38</v>
      </c>
      <c r="G45" s="248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6</v>
      </c>
      <c r="C46" s="58">
        <v>138.88</v>
      </c>
      <c r="D46" s="58">
        <f t="shared" ref="D46:D61" si="3">(B46-A46)*C46</f>
        <v>416.64</v>
      </c>
      <c r="F46" s="58">
        <f t="shared" ref="F46:F61" si="4">C46*B46</f>
        <v>833.28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184.48</v>
      </c>
      <c r="D47" s="58">
        <f t="shared" si="3"/>
        <v>553.43999999999994</v>
      </c>
      <c r="F47" s="58">
        <f t="shared" si="4"/>
        <v>1106.8799999999999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13.4</v>
      </c>
      <c r="D48" s="58">
        <f t="shared" si="3"/>
        <v>40.200000000000003</v>
      </c>
      <c r="F48" s="58">
        <f t="shared" si="4"/>
        <v>80.400000000000006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3</v>
      </c>
      <c r="B49" s="34">
        <v>6</v>
      </c>
      <c r="C49" s="58">
        <v>96.24</v>
      </c>
      <c r="D49" s="58">
        <f t="shared" si="3"/>
        <v>288.71999999999997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4</v>
      </c>
      <c r="B50" s="34">
        <v>6</v>
      </c>
      <c r="C50" s="58">
        <v>66.13</v>
      </c>
      <c r="D50" s="58">
        <f t="shared" si="3"/>
        <v>132.26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/>
      <c r="B51" s="34"/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33">
        <f>T49+U49+V49+W49+X49+T50+U50+V50+W50+X50+Y49+Y50</f>
        <v>15000</v>
      </c>
      <c r="U51" s="234"/>
      <c r="V51" s="234"/>
      <c r="W51" s="234"/>
      <c r="X51" s="234"/>
      <c r="Y51" s="235"/>
      <c r="Z51" s="58">
        <v>260000</v>
      </c>
    </row>
    <row r="52" spans="1:27" s="58" customFormat="1">
      <c r="A52" s="218">
        <v>5</v>
      </c>
      <c r="B52" s="218">
        <v>6</v>
      </c>
      <c r="C52" s="219">
        <v>36.549999999999997</v>
      </c>
      <c r="D52" s="219">
        <f t="shared" si="3"/>
        <v>36.549999999999997</v>
      </c>
      <c r="E52" s="219"/>
      <c r="F52" s="219">
        <f t="shared" si="4"/>
        <v>219.29999999999998</v>
      </c>
      <c r="K52" s="58">
        <v>882</v>
      </c>
      <c r="L52" s="58">
        <f>K56</f>
        <v>950.3</v>
      </c>
      <c r="S52" s="256" t="s">
        <v>74</v>
      </c>
      <c r="T52" s="256"/>
      <c r="U52" s="256"/>
      <c r="V52" s="256"/>
      <c r="W52" s="256"/>
      <c r="X52" s="256"/>
      <c r="Y52" s="194">
        <f>T17-T51</f>
        <v>271359</v>
      </c>
      <c r="Z52" s="58">
        <v>256950</v>
      </c>
    </row>
    <row r="53" spans="1:27" s="58" customFormat="1">
      <c r="A53" s="218">
        <v>5</v>
      </c>
      <c r="B53" s="218">
        <v>6</v>
      </c>
      <c r="C53" s="219">
        <v>70.83</v>
      </c>
      <c r="D53" s="219">
        <f t="shared" si="3"/>
        <v>70.83</v>
      </c>
      <c r="E53" s="219"/>
      <c r="F53" s="219">
        <f t="shared" si="4"/>
        <v>424.98</v>
      </c>
      <c r="K53" s="58">
        <v>625.9</v>
      </c>
      <c r="L53" s="58">
        <f>K52</f>
        <v>882</v>
      </c>
      <c r="S53" s="255" t="s">
        <v>75</v>
      </c>
      <c r="T53" s="255"/>
      <c r="U53" s="255"/>
      <c r="V53" s="255"/>
      <c r="W53" s="255"/>
      <c r="X53" s="255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218">
        <v>5</v>
      </c>
      <c r="B54" s="218">
        <v>6</v>
      </c>
      <c r="C54" s="219">
        <v>85.97</v>
      </c>
      <c r="D54" s="219">
        <f t="shared" si="3"/>
        <v>85.97</v>
      </c>
      <c r="E54" s="219"/>
      <c r="F54" s="219">
        <f t="shared" si="4"/>
        <v>515.81999999999994</v>
      </c>
      <c r="K54" s="58">
        <v>835</v>
      </c>
      <c r="S54" s="255" t="s">
        <v>76</v>
      </c>
      <c r="T54" s="255"/>
      <c r="U54" s="255"/>
      <c r="V54" s="255"/>
      <c r="W54" s="255"/>
      <c r="X54" s="255"/>
      <c r="Y54" s="58">
        <v>18925</v>
      </c>
    </row>
    <row r="55" spans="1:27" s="58" customFormat="1">
      <c r="A55" s="218">
        <v>5</v>
      </c>
      <c r="B55" s="218">
        <v>6</v>
      </c>
      <c r="C55" s="219">
        <v>57.95</v>
      </c>
      <c r="D55" s="219">
        <f t="shared" si="3"/>
        <v>57.95</v>
      </c>
      <c r="E55" s="219"/>
      <c r="F55" s="219">
        <f t="shared" si="4"/>
        <v>347.70000000000005</v>
      </c>
      <c r="K55" s="58">
        <v>686.4</v>
      </c>
      <c r="X55" s="203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220">
        <v>6</v>
      </c>
      <c r="B56" s="220">
        <v>6</v>
      </c>
      <c r="C56" s="221">
        <v>39.03</v>
      </c>
      <c r="D56" s="221">
        <f t="shared" si="3"/>
        <v>0</v>
      </c>
      <c r="E56" s="221"/>
      <c r="F56" s="221">
        <f t="shared" si="4"/>
        <v>234.18</v>
      </c>
      <c r="K56" s="58">
        <v>950.3</v>
      </c>
      <c r="U56" s="58" t="s">
        <v>92</v>
      </c>
      <c r="X56" s="58" t="s">
        <v>90</v>
      </c>
      <c r="Y56" s="58">
        <v>2292</v>
      </c>
    </row>
    <row r="57" spans="1:27" s="58" customFormat="1">
      <c r="A57" s="220">
        <v>6</v>
      </c>
      <c r="B57" s="220">
        <v>6</v>
      </c>
      <c r="C57" s="221">
        <v>34.15</v>
      </c>
      <c r="D57" s="221">
        <f t="shared" si="3"/>
        <v>0</v>
      </c>
      <c r="E57" s="221"/>
      <c r="F57" s="221">
        <f t="shared" si="4"/>
        <v>204.89999999999998</v>
      </c>
      <c r="K57" s="58">
        <v>77.7</v>
      </c>
      <c r="S57" s="58" t="s">
        <v>91</v>
      </c>
      <c r="T57" s="58">
        <v>2178</v>
      </c>
      <c r="U57" s="58">
        <v>3</v>
      </c>
      <c r="V57" s="249">
        <f>T57+T58+T59</f>
        <v>7497</v>
      </c>
    </row>
    <row r="58" spans="1:27" s="58" customFormat="1">
      <c r="A58" s="220">
        <v>6</v>
      </c>
      <c r="B58" s="220">
        <v>6</v>
      </c>
      <c r="C58" s="221">
        <v>64.81</v>
      </c>
      <c r="D58" s="221">
        <f t="shared" si="3"/>
        <v>0</v>
      </c>
      <c r="E58" s="221"/>
      <c r="F58" s="221">
        <f t="shared" si="4"/>
        <v>388.86</v>
      </c>
      <c r="K58" s="58">
        <v>5.18</v>
      </c>
      <c r="T58" s="58">
        <v>2685</v>
      </c>
      <c r="V58" s="249"/>
    </row>
    <row r="59" spans="1:27" s="58" customFormat="1">
      <c r="A59" s="34">
        <v>9</v>
      </c>
      <c r="B59" s="34">
        <v>12</v>
      </c>
      <c r="C59" s="58">
        <v>54.88</v>
      </c>
      <c r="D59" s="58">
        <f t="shared" si="3"/>
        <v>164.64000000000001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49"/>
      <c r="Y59" s="58" t="s">
        <v>96</v>
      </c>
      <c r="Z59" s="58">
        <v>260000</v>
      </c>
    </row>
    <row r="60" spans="1:27" s="58" customFormat="1">
      <c r="A60" s="34">
        <v>9</v>
      </c>
      <c r="B60" s="34">
        <v>12</v>
      </c>
      <c r="C60" s="58">
        <v>62.64</v>
      </c>
      <c r="D60" s="58">
        <f t="shared" si="3"/>
        <v>187.92000000000002</v>
      </c>
      <c r="F60" s="58">
        <f t="shared" si="4"/>
        <v>751.68000000000006</v>
      </c>
      <c r="O60" s="58">
        <f>793/2</f>
        <v>396.5</v>
      </c>
      <c r="S60" s="204" t="s">
        <v>93</v>
      </c>
      <c r="T60" s="204">
        <v>2697</v>
      </c>
      <c r="U60" s="204">
        <v>3</v>
      </c>
      <c r="V60" s="204">
        <f>T60/3</f>
        <v>899</v>
      </c>
      <c r="W60" s="58">
        <f>V61-T60</f>
        <v>1544</v>
      </c>
      <c r="Y60" s="58" t="s">
        <v>97</v>
      </c>
      <c r="Z60" s="58">
        <v>3050</v>
      </c>
      <c r="AA60" s="58">
        <f>Z60/2</f>
        <v>1525</v>
      </c>
    </row>
    <row r="61" spans="1:27" s="58" customFormat="1">
      <c r="A61" s="34">
        <v>10</v>
      </c>
      <c r="B61" s="34">
        <v>12</v>
      </c>
      <c r="C61" s="58">
        <v>75</v>
      </c>
      <c r="D61" s="58">
        <f t="shared" si="3"/>
        <v>150</v>
      </c>
      <c r="F61" s="58">
        <f t="shared" si="4"/>
        <v>900</v>
      </c>
      <c r="S61" s="58" t="s">
        <v>94</v>
      </c>
      <c r="T61" s="58">
        <v>1014</v>
      </c>
      <c r="V61" s="249">
        <f>T61+T62+T63</f>
        <v>4241</v>
      </c>
      <c r="Y61" s="58" t="s">
        <v>53</v>
      </c>
      <c r="Z61" s="58">
        <f>Z59-Z60</f>
        <v>256950</v>
      </c>
    </row>
    <row r="62" spans="1:27">
      <c r="A62" s="34"/>
      <c r="B62" s="34"/>
      <c r="C62" s="58"/>
      <c r="D62" s="58"/>
      <c r="E62" s="58"/>
      <c r="F62" s="58"/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49"/>
      <c r="Y62" s="11" t="s">
        <v>98</v>
      </c>
      <c r="Z62" s="16">
        <f>Z61-Y55</f>
        <v>20116</v>
      </c>
    </row>
    <row r="63" spans="1:27">
      <c r="A63" s="34"/>
      <c r="B63" s="34" t="s">
        <v>82</v>
      </c>
      <c r="C63" s="58">
        <f>C83</f>
        <v>916</v>
      </c>
      <c r="D63" s="58"/>
      <c r="E63" s="58"/>
      <c r="F63" s="58"/>
      <c r="G63" s="58"/>
      <c r="M63" s="11"/>
      <c r="N63" s="11"/>
      <c r="Q63" s="11"/>
      <c r="R63" s="11"/>
      <c r="S63" s="11" t="s">
        <v>95</v>
      </c>
      <c r="T63" s="136">
        <v>1750</v>
      </c>
      <c r="V63" s="257"/>
      <c r="Y63" s="150" t="s">
        <v>99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269.75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2041.6699999999998</v>
      </c>
      <c r="E65" s="74">
        <f>SUM(E47:E64)</f>
        <v>0</v>
      </c>
      <c r="M65" s="11"/>
      <c r="N65" s="11"/>
      <c r="Q65" s="11"/>
      <c r="R65" s="11"/>
      <c r="Y65" s="16" t="s">
        <v>100</v>
      </c>
      <c r="Z65" s="136">
        <v>5000</v>
      </c>
    </row>
    <row r="66" spans="1:27">
      <c r="B66" s="180" t="s">
        <v>65</v>
      </c>
      <c r="C66" s="223">
        <f>C65-E65</f>
        <v>2041.6699999999998</v>
      </c>
      <c r="D66" s="224"/>
      <c r="E66" s="181"/>
      <c r="M66" s="11"/>
      <c r="N66" s="11"/>
      <c r="Q66" s="11"/>
      <c r="R66" s="11"/>
      <c r="Y66" s="206" t="s">
        <v>101</v>
      </c>
      <c r="Z66" s="30">
        <v>-206</v>
      </c>
    </row>
    <row r="67" spans="1:27">
      <c r="B67" s="250" t="s">
        <v>82</v>
      </c>
      <c r="C67" s="28">
        <v>89</v>
      </c>
      <c r="Y67" s="11" t="s">
        <v>102</v>
      </c>
      <c r="Z67" s="136">
        <v>2292</v>
      </c>
    </row>
    <row r="68" spans="1:27">
      <c r="B68" s="251"/>
      <c r="C68" s="28">
        <v>105</v>
      </c>
      <c r="Y68" s="11" t="s">
        <v>103</v>
      </c>
      <c r="Z68" s="136">
        <v>2000</v>
      </c>
      <c r="AA68" s="136">
        <f>4000/2</f>
        <v>2000</v>
      </c>
    </row>
    <row r="69" spans="1:27">
      <c r="B69" s="251"/>
      <c r="C69" s="28">
        <v>131</v>
      </c>
      <c r="Z69" s="136"/>
    </row>
    <row r="70" spans="1:27">
      <c r="B70" s="251"/>
      <c r="C70" s="28">
        <v>132</v>
      </c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51"/>
      <c r="C71" s="28">
        <v>105</v>
      </c>
      <c r="Z71" s="136"/>
    </row>
    <row r="72" spans="1:27">
      <c r="B72" s="251"/>
      <c r="C72" s="28">
        <v>100</v>
      </c>
    </row>
    <row r="73" spans="1:27">
      <c r="B73" s="251"/>
      <c r="C73" s="28">
        <v>50</v>
      </c>
    </row>
    <row r="74" spans="1:27">
      <c r="B74" s="251"/>
      <c r="C74" s="28">
        <v>204</v>
      </c>
    </row>
    <row r="75" spans="1:27">
      <c r="B75" s="251"/>
    </row>
    <row r="76" spans="1:27">
      <c r="B76" s="251"/>
    </row>
    <row r="77" spans="1:27">
      <c r="B77" s="251"/>
    </row>
    <row r="78" spans="1:27">
      <c r="B78" s="251"/>
    </row>
    <row r="79" spans="1:27">
      <c r="B79" s="251"/>
    </row>
    <row r="80" spans="1:27">
      <c r="B80" s="251"/>
    </row>
    <row r="81" spans="2:3">
      <c r="B81" s="251"/>
    </row>
    <row r="82" spans="2:3">
      <c r="B82" s="252"/>
    </row>
    <row r="83" spans="2:3">
      <c r="C83" s="28">
        <f>SUM(C67:C82)</f>
        <v>916</v>
      </c>
    </row>
  </sheetData>
  <mergeCells count="21">
    <mergeCell ref="M3:N3"/>
    <mergeCell ref="A1:G1"/>
    <mergeCell ref="H1:P1"/>
    <mergeCell ref="S1:X1"/>
    <mergeCell ref="A2:G2"/>
    <mergeCell ref="I2:P2"/>
    <mergeCell ref="T17:Y17"/>
    <mergeCell ref="O25:O26"/>
    <mergeCell ref="C35:D35"/>
    <mergeCell ref="K35:L35"/>
    <mergeCell ref="S35:X35"/>
    <mergeCell ref="V57:V59"/>
    <mergeCell ref="V61:V63"/>
    <mergeCell ref="C66:D66"/>
    <mergeCell ref="B67:B82"/>
    <mergeCell ref="C37:L37"/>
    <mergeCell ref="G45:G48"/>
    <mergeCell ref="T51:Y51"/>
    <mergeCell ref="S52:X52"/>
    <mergeCell ref="S53:X53"/>
    <mergeCell ref="S54:X54"/>
  </mergeCells>
  <hyperlinks>
    <hyperlink ref="Q40" r:id="rId1" xr:uid="{915E9D1C-C9EF-4934-ACC9-F9D42BE5BD7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261A-AC7C-4667-83BA-AFD29B49E3AE}">
  <dimension ref="A1:AA83"/>
  <sheetViews>
    <sheetView tabSelected="1" topLeftCell="A6" workbookViewId="0">
      <selection activeCell="P19" sqref="P1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243558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280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4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106</v>
      </c>
      <c r="E11" s="15">
        <v>0</v>
      </c>
      <c r="F11" s="54"/>
      <c r="I11" s="34">
        <v>8</v>
      </c>
      <c r="J11" s="210" t="s">
        <v>105</v>
      </c>
      <c r="K11" s="87">
        <v>478.2</v>
      </c>
      <c r="L11" s="88" t="s">
        <v>49</v>
      </c>
      <c r="M11" s="89">
        <v>3</v>
      </c>
      <c r="N11" s="89">
        <v>10</v>
      </c>
      <c r="O11" s="16">
        <f>K11*((N11+1)-M11)</f>
        <v>3825.6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0</v>
      </c>
      <c r="D13"/>
      <c r="I13" s="34">
        <v>10</v>
      </c>
      <c r="J13" s="191" t="s">
        <v>108</v>
      </c>
      <c r="K13" s="192">
        <v>322.39999999999998</v>
      </c>
      <c r="L13" s="112" t="s">
        <v>49</v>
      </c>
      <c r="M13" s="17">
        <v>3</v>
      </c>
      <c r="N13" s="17">
        <v>10</v>
      </c>
      <c r="O13" s="16">
        <f>K13*((N13+1)-M13)</f>
        <v>2579.1999999999998</v>
      </c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C65</f>
        <v>990.14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15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34">
        <v>15</v>
      </c>
      <c r="J18" s="86" t="s">
        <v>81</v>
      </c>
      <c r="K18" s="87">
        <f>R18</f>
        <v>3761.0141999999996</v>
      </c>
      <c r="L18" s="88" t="s">
        <v>42</v>
      </c>
      <c r="M18" s="89"/>
      <c r="N18" s="89"/>
      <c r="O18" s="67">
        <v>110367.14</v>
      </c>
      <c r="P18" s="30">
        <v>15000</v>
      </c>
      <c r="Q18" s="67">
        <f>O18+P18</f>
        <v>125367.14</v>
      </c>
      <c r="R18" s="68">
        <f>Q18*0.03</f>
        <v>3761.0141999999996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>
        <v>162500</v>
      </c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>
        <f>S19-52132.86</f>
        <v>110367.14</v>
      </c>
      <c r="T20" s="92"/>
      <c r="U20" s="92"/>
    </row>
    <row r="21" spans="1:25">
      <c r="A21" s="17">
        <v>18</v>
      </c>
      <c r="C21" s="16"/>
      <c r="I21" s="34">
        <v>18</v>
      </c>
      <c r="J21" s="18" t="s">
        <v>48</v>
      </c>
      <c r="K21" s="16">
        <v>2100</v>
      </c>
      <c r="L21" s="76" t="s">
        <v>48</v>
      </c>
      <c r="M21" s="15">
        <v>18</v>
      </c>
      <c r="N21" s="15">
        <v>60</v>
      </c>
      <c r="O21" s="16">
        <v>84154.9</v>
      </c>
      <c r="P21" s="75"/>
      <c r="Q21" s="16"/>
      <c r="R21" s="16">
        <f>K21/2</f>
        <v>1050</v>
      </c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550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191" t="s">
        <v>84</v>
      </c>
      <c r="K23" s="200">
        <v>325.89999999999998</v>
      </c>
      <c r="L23" s="112" t="s">
        <v>49</v>
      </c>
      <c r="M23" s="114">
        <v>6</v>
      </c>
      <c r="N23" s="24" t="s">
        <v>85</v>
      </c>
      <c r="O23" s="16">
        <f>625.9*((N23+1)-M23)</f>
        <v>3129.5</v>
      </c>
      <c r="P23" s="207"/>
      <c r="Q23" s="40"/>
      <c r="R23" s="208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33" t="s">
        <v>86</v>
      </c>
      <c r="K24" s="74">
        <v>220</v>
      </c>
      <c r="L24" s="212"/>
      <c r="M24" s="15"/>
      <c r="N24" s="15"/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213" t="s">
        <v>71</v>
      </c>
      <c r="K25" s="214">
        <f>5350-300</f>
        <v>5050</v>
      </c>
      <c r="L25" s="215" t="s">
        <v>88</v>
      </c>
      <c r="M25" s="17">
        <v>9</v>
      </c>
      <c r="N25" s="17">
        <f>12*24</f>
        <v>288</v>
      </c>
      <c r="O25" s="253">
        <f>K25+K26</f>
        <v>6450</v>
      </c>
      <c r="P25" s="30">
        <v>0</v>
      </c>
      <c r="Q25" s="16"/>
      <c r="R25" s="16">
        <f>O25*0.05</f>
        <v>322.5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23</v>
      </c>
      <c r="J26" s="213" t="s">
        <v>72</v>
      </c>
      <c r="K26" s="214">
        <v>1400</v>
      </c>
      <c r="L26" s="215"/>
      <c r="M26" s="17">
        <v>8</v>
      </c>
      <c r="N26" s="24" t="s">
        <v>78</v>
      </c>
      <c r="O26" s="254"/>
      <c r="P26" s="30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49" t="s">
        <v>109</v>
      </c>
      <c r="K27" s="50">
        <f>P27/2</f>
        <v>300</v>
      </c>
      <c r="L27" s="51" t="s">
        <v>110</v>
      </c>
      <c r="O27" s="216">
        <v>20000</v>
      </c>
      <c r="P27" s="16">
        <f>O27*0.03</f>
        <v>600</v>
      </c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86" t="s">
        <v>112</v>
      </c>
      <c r="K28" s="87">
        <v>3260</v>
      </c>
      <c r="L28" s="222" t="s">
        <v>110</v>
      </c>
      <c r="M28" s="17">
        <v>2</v>
      </c>
      <c r="N28" s="24" t="s">
        <v>111</v>
      </c>
      <c r="O28" s="16">
        <f>K28*((N28+1)-M28)</f>
        <v>45640</v>
      </c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J29" s="18" t="s">
        <v>113</v>
      </c>
      <c r="K29" s="16">
        <v>700</v>
      </c>
      <c r="O29" s="16"/>
      <c r="P29" s="202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K30" s="16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6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33569</v>
      </c>
      <c r="D35" s="236"/>
      <c r="J35" s="124" t="s">
        <v>52</v>
      </c>
      <c r="K35" s="237">
        <f>SUM(K4:K34)</f>
        <v>26670.654199999997</v>
      </c>
      <c r="L35" s="238"/>
      <c r="N35" s="24"/>
      <c r="O35" s="16"/>
      <c r="P35" s="30">
        <f>P18+P25+P26+P29+P30</f>
        <v>15000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6898.3458000000028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50000</v>
      </c>
      <c r="D38" s="130"/>
      <c r="E38" s="131"/>
      <c r="F38" s="131"/>
      <c r="G38" s="131"/>
      <c r="H38" s="131"/>
      <c r="I38" s="132"/>
      <c r="K38" s="28">
        <f>1767+2275</f>
        <v>4042</v>
      </c>
      <c r="N38" s="24"/>
      <c r="O38" s="16">
        <f>K17+K18+K23+1000</f>
        <v>7226.9141999999993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15000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35000</v>
      </c>
      <c r="D41" s="137"/>
      <c r="E41" s="92"/>
      <c r="J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211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211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4</v>
      </c>
      <c r="B45" s="34">
        <v>6</v>
      </c>
      <c r="C45" s="58">
        <v>44.73</v>
      </c>
      <c r="D45" s="58">
        <f>(B45-A45)*C45</f>
        <v>89.46</v>
      </c>
      <c r="F45" s="58">
        <f>C45*B45</f>
        <v>268.38</v>
      </c>
      <c r="G45" s="248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4</v>
      </c>
      <c r="B46" s="34">
        <v>6</v>
      </c>
      <c r="C46" s="58">
        <v>138.88</v>
      </c>
      <c r="D46" s="58">
        <f t="shared" ref="D46:D61" si="3">(B46-A46)*C46</f>
        <v>277.76</v>
      </c>
      <c r="F46" s="58">
        <f t="shared" ref="F46:F61" si="4">C46*B46</f>
        <v>833.28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4</v>
      </c>
      <c r="B47" s="34">
        <v>6</v>
      </c>
      <c r="C47" s="58">
        <v>184.48</v>
      </c>
      <c r="D47" s="58">
        <f t="shared" si="3"/>
        <v>368.96</v>
      </c>
      <c r="F47" s="58">
        <f t="shared" si="4"/>
        <v>1106.8799999999999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4</v>
      </c>
      <c r="B48" s="34">
        <v>6</v>
      </c>
      <c r="C48" s="58">
        <v>13.4</v>
      </c>
      <c r="D48" s="58">
        <f t="shared" si="3"/>
        <v>26.8</v>
      </c>
      <c r="F48" s="58">
        <f t="shared" si="4"/>
        <v>80.400000000000006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4</v>
      </c>
      <c r="B49" s="34">
        <v>6</v>
      </c>
      <c r="C49" s="58">
        <v>96.24</v>
      </c>
      <c r="D49" s="58">
        <f t="shared" si="3"/>
        <v>192.48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5</v>
      </c>
      <c r="B50" s="34">
        <v>6</v>
      </c>
      <c r="C50" s="58">
        <v>66.13</v>
      </c>
      <c r="D50" s="58">
        <f t="shared" si="3"/>
        <v>66.13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/>
      <c r="B51" s="34"/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33">
        <f>T49+U49+V49+W49+X49+T50+U50+V50+W50+X50+Y49+Y50</f>
        <v>15000</v>
      </c>
      <c r="U51" s="234"/>
      <c r="V51" s="234"/>
      <c r="W51" s="234"/>
      <c r="X51" s="234"/>
      <c r="Y51" s="235"/>
      <c r="Z51" s="58">
        <v>260000</v>
      </c>
    </row>
    <row r="52" spans="1:27" s="58" customFormat="1">
      <c r="A52" s="218">
        <v>6</v>
      </c>
      <c r="B52" s="218">
        <v>6</v>
      </c>
      <c r="C52" s="219">
        <v>35.96</v>
      </c>
      <c r="D52" s="219">
        <f t="shared" si="3"/>
        <v>0</v>
      </c>
      <c r="E52" s="219"/>
      <c r="F52" s="219">
        <f t="shared" si="4"/>
        <v>215.76</v>
      </c>
      <c r="K52" s="58">
        <v>882</v>
      </c>
      <c r="L52" s="58">
        <f>K56</f>
        <v>950.3</v>
      </c>
      <c r="S52" s="256" t="s">
        <v>74</v>
      </c>
      <c r="T52" s="256"/>
      <c r="U52" s="256"/>
      <c r="V52" s="256"/>
      <c r="W52" s="256"/>
      <c r="X52" s="256"/>
      <c r="Y52" s="194">
        <f>T17-T51</f>
        <v>271359</v>
      </c>
      <c r="Z52" s="58">
        <v>256950</v>
      </c>
    </row>
    <row r="53" spans="1:27" s="58" customFormat="1">
      <c r="A53" s="218">
        <v>6</v>
      </c>
      <c r="B53" s="218">
        <v>6</v>
      </c>
      <c r="C53" s="219">
        <v>70.62</v>
      </c>
      <c r="D53" s="219">
        <f t="shared" si="3"/>
        <v>0</v>
      </c>
      <c r="E53" s="219"/>
      <c r="F53" s="219">
        <f t="shared" si="4"/>
        <v>423.72</v>
      </c>
      <c r="K53" s="58">
        <v>625.9</v>
      </c>
      <c r="L53" s="58">
        <f>K52</f>
        <v>882</v>
      </c>
      <c r="S53" s="255" t="s">
        <v>75</v>
      </c>
      <c r="T53" s="255"/>
      <c r="U53" s="255"/>
      <c r="V53" s="255"/>
      <c r="W53" s="255"/>
      <c r="X53" s="255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218">
        <v>6</v>
      </c>
      <c r="B54" s="218">
        <v>6</v>
      </c>
      <c r="C54" s="219">
        <v>87.47</v>
      </c>
      <c r="D54" s="219">
        <f t="shared" si="3"/>
        <v>0</v>
      </c>
      <c r="E54" s="219"/>
      <c r="F54" s="219">
        <f t="shared" si="4"/>
        <v>524.81999999999994</v>
      </c>
      <c r="K54" s="58">
        <v>835</v>
      </c>
      <c r="S54" s="255" t="s">
        <v>76</v>
      </c>
      <c r="T54" s="255"/>
      <c r="U54" s="255"/>
      <c r="V54" s="255"/>
      <c r="W54" s="255"/>
      <c r="X54" s="255"/>
      <c r="Y54" s="58">
        <v>18925</v>
      </c>
    </row>
    <row r="55" spans="1:27" s="58" customFormat="1">
      <c r="A55" s="218">
        <v>6</v>
      </c>
      <c r="B55" s="218">
        <v>6</v>
      </c>
      <c r="C55" s="219">
        <v>59.71</v>
      </c>
      <c r="D55" s="219">
        <f t="shared" si="3"/>
        <v>0</v>
      </c>
      <c r="E55" s="219"/>
      <c r="F55" s="219">
        <f t="shared" si="4"/>
        <v>358.26</v>
      </c>
      <c r="K55" s="58">
        <v>686.4</v>
      </c>
      <c r="X55" s="203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220"/>
      <c r="B56" s="220"/>
      <c r="C56" s="221"/>
      <c r="D56" s="221">
        <f t="shared" si="3"/>
        <v>0</v>
      </c>
      <c r="E56" s="221"/>
      <c r="F56" s="221">
        <f t="shared" si="4"/>
        <v>0</v>
      </c>
      <c r="K56" s="58">
        <v>950.3</v>
      </c>
      <c r="U56" s="58" t="s">
        <v>92</v>
      </c>
      <c r="X56" s="58" t="s">
        <v>90</v>
      </c>
      <c r="Y56" s="58">
        <v>2292</v>
      </c>
    </row>
    <row r="57" spans="1:27" s="58" customFormat="1">
      <c r="A57" s="220"/>
      <c r="B57" s="220"/>
      <c r="C57" s="221"/>
      <c r="D57" s="221">
        <f t="shared" si="3"/>
        <v>0</v>
      </c>
      <c r="E57" s="221"/>
      <c r="F57" s="221">
        <f t="shared" si="4"/>
        <v>0</v>
      </c>
      <c r="K57" s="58">
        <v>77.7</v>
      </c>
      <c r="S57" s="58" t="s">
        <v>91</v>
      </c>
      <c r="T57" s="58">
        <v>2178</v>
      </c>
      <c r="U57" s="58">
        <v>3</v>
      </c>
      <c r="V57" s="249">
        <f>T57+T58+T59</f>
        <v>7497</v>
      </c>
    </row>
    <row r="58" spans="1:27" s="58" customFormat="1">
      <c r="A58" s="220"/>
      <c r="B58" s="220"/>
      <c r="C58" s="221"/>
      <c r="D58" s="221">
        <f t="shared" si="3"/>
        <v>0</v>
      </c>
      <c r="E58" s="221"/>
      <c r="F58" s="221">
        <f t="shared" si="4"/>
        <v>0</v>
      </c>
      <c r="K58" s="58">
        <v>5.18</v>
      </c>
      <c r="T58" s="58">
        <v>2685</v>
      </c>
      <c r="V58" s="249"/>
    </row>
    <row r="59" spans="1:27" s="58" customFormat="1">
      <c r="A59" s="34">
        <v>10</v>
      </c>
      <c r="B59" s="34">
        <v>12</v>
      </c>
      <c r="C59" s="58">
        <v>54.88</v>
      </c>
      <c r="D59" s="58">
        <f t="shared" si="3"/>
        <v>109.76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49"/>
      <c r="Y59" s="58" t="s">
        <v>96</v>
      </c>
      <c r="Z59" s="58">
        <v>260000</v>
      </c>
    </row>
    <row r="60" spans="1:27" s="58" customFormat="1">
      <c r="A60" s="34">
        <v>10</v>
      </c>
      <c r="B60" s="34">
        <v>12</v>
      </c>
      <c r="C60" s="58">
        <v>62.64</v>
      </c>
      <c r="D60" s="58">
        <f t="shared" si="3"/>
        <v>125.28</v>
      </c>
      <c r="F60" s="58">
        <f t="shared" si="4"/>
        <v>751.68000000000006</v>
      </c>
      <c r="O60" s="58">
        <f>793/2</f>
        <v>396.5</v>
      </c>
      <c r="S60" s="204" t="s">
        <v>93</v>
      </c>
      <c r="T60" s="204">
        <v>2697</v>
      </c>
      <c r="U60" s="204">
        <v>3</v>
      </c>
      <c r="V60" s="204">
        <f>T60/3</f>
        <v>899</v>
      </c>
      <c r="W60" s="58">
        <f>V61-T60</f>
        <v>1544</v>
      </c>
      <c r="Y60" s="58" t="s">
        <v>97</v>
      </c>
      <c r="Z60" s="58">
        <v>3050</v>
      </c>
      <c r="AA60" s="58">
        <f>Z60/2</f>
        <v>1525</v>
      </c>
    </row>
    <row r="61" spans="1:27" s="58" customFormat="1">
      <c r="A61" s="34">
        <v>11</v>
      </c>
      <c r="B61" s="34">
        <v>12</v>
      </c>
      <c r="C61" s="58">
        <v>75</v>
      </c>
      <c r="D61" s="58">
        <f t="shared" si="3"/>
        <v>75</v>
      </c>
      <c r="F61" s="58">
        <f t="shared" si="4"/>
        <v>900</v>
      </c>
      <c r="S61" s="58" t="s">
        <v>94</v>
      </c>
      <c r="T61" s="58">
        <v>1014</v>
      </c>
      <c r="V61" s="249">
        <f>T61+T62+T63</f>
        <v>4241</v>
      </c>
      <c r="Y61" s="58" t="s">
        <v>53</v>
      </c>
      <c r="Z61" s="58">
        <f>Z59-Z60</f>
        <v>256950</v>
      </c>
    </row>
    <row r="62" spans="1:27">
      <c r="A62" s="34"/>
      <c r="B62" s="34"/>
      <c r="C62" s="58"/>
      <c r="D62" s="58"/>
      <c r="E62" s="58"/>
      <c r="F62" s="58"/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49"/>
      <c r="Y62" s="11" t="s">
        <v>98</v>
      </c>
      <c r="Z62" s="16">
        <f>Z61-Y55</f>
        <v>20116</v>
      </c>
    </row>
    <row r="63" spans="1:27">
      <c r="A63" s="34"/>
      <c r="B63" s="34" t="s">
        <v>82</v>
      </c>
      <c r="C63" s="58">
        <f>C83</f>
        <v>0</v>
      </c>
      <c r="D63" s="58"/>
      <c r="E63" s="58"/>
      <c r="F63" s="58"/>
      <c r="G63" s="58"/>
      <c r="M63" s="11"/>
      <c r="N63" s="11"/>
      <c r="Q63" s="11"/>
      <c r="R63" s="11"/>
      <c r="S63" s="11" t="s">
        <v>95</v>
      </c>
      <c r="T63" s="136">
        <v>1750</v>
      </c>
      <c r="V63" s="257"/>
      <c r="Y63" s="150" t="s">
        <v>99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268.95000000000005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990.14</v>
      </c>
      <c r="E65" s="74">
        <f>SUM(E47:E64)</f>
        <v>0</v>
      </c>
      <c r="M65" s="11"/>
      <c r="N65" s="11"/>
      <c r="Q65" s="11"/>
      <c r="R65" s="11"/>
      <c r="Y65" s="16" t="s">
        <v>100</v>
      </c>
      <c r="Z65" s="136">
        <v>5000</v>
      </c>
    </row>
    <row r="66" spans="1:27">
      <c r="B66" s="180" t="s">
        <v>65</v>
      </c>
      <c r="C66" s="223">
        <f>C65-E65</f>
        <v>990.14</v>
      </c>
      <c r="D66" s="224"/>
      <c r="E66" s="181"/>
      <c r="M66" s="11"/>
      <c r="N66" s="11"/>
      <c r="Q66" s="11"/>
      <c r="R66" s="11"/>
      <c r="Y66" s="206" t="s">
        <v>101</v>
      </c>
      <c r="Z66" s="30">
        <v>-206</v>
      </c>
    </row>
    <row r="67" spans="1:27">
      <c r="B67" s="250" t="s">
        <v>82</v>
      </c>
      <c r="Y67" s="11" t="s">
        <v>102</v>
      </c>
      <c r="Z67" s="136">
        <v>2292</v>
      </c>
    </row>
    <row r="68" spans="1:27">
      <c r="B68" s="251"/>
      <c r="Y68" s="11" t="s">
        <v>103</v>
      </c>
      <c r="Z68" s="136">
        <v>2000</v>
      </c>
      <c r="AA68" s="136">
        <f>4000/2</f>
        <v>2000</v>
      </c>
    </row>
    <row r="69" spans="1:27">
      <c r="B69" s="251"/>
      <c r="Z69" s="136"/>
    </row>
    <row r="70" spans="1:27">
      <c r="B70" s="251"/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51"/>
      <c r="Z71" s="136"/>
    </row>
    <row r="72" spans="1:27">
      <c r="B72" s="251"/>
    </row>
    <row r="73" spans="1:27">
      <c r="B73" s="251"/>
    </row>
    <row r="74" spans="1:27">
      <c r="B74" s="251"/>
    </row>
    <row r="75" spans="1:27">
      <c r="B75" s="251"/>
    </row>
    <row r="76" spans="1:27">
      <c r="B76" s="251"/>
    </row>
    <row r="77" spans="1:27">
      <c r="B77" s="251"/>
    </row>
    <row r="78" spans="1:27">
      <c r="B78" s="251"/>
    </row>
    <row r="79" spans="1:27">
      <c r="B79" s="251"/>
    </row>
    <row r="80" spans="1:27">
      <c r="B80" s="251"/>
    </row>
    <row r="81" spans="2:3">
      <c r="B81" s="251"/>
    </row>
    <row r="82" spans="2:3">
      <c r="B82" s="252"/>
    </row>
    <row r="83" spans="2:3">
      <c r="C83" s="28">
        <f>SUM(C67:C82)</f>
        <v>0</v>
      </c>
    </row>
  </sheetData>
  <mergeCells count="21">
    <mergeCell ref="C66:D66"/>
    <mergeCell ref="B67:B82"/>
    <mergeCell ref="M3:N3"/>
    <mergeCell ref="A1:G1"/>
    <mergeCell ref="H1:P1"/>
    <mergeCell ref="S1:X1"/>
    <mergeCell ref="A2:G2"/>
    <mergeCell ref="I2:P2"/>
    <mergeCell ref="G45:G48"/>
    <mergeCell ref="T51:Y51"/>
    <mergeCell ref="T17:Y17"/>
    <mergeCell ref="C35:D35"/>
    <mergeCell ref="S35:X35"/>
    <mergeCell ref="O25:O26"/>
    <mergeCell ref="K35:L35"/>
    <mergeCell ref="C37:L37"/>
    <mergeCell ref="S52:X52"/>
    <mergeCell ref="S53:X53"/>
    <mergeCell ref="S54:X54"/>
    <mergeCell ref="V57:V59"/>
    <mergeCell ref="V61:V63"/>
  </mergeCells>
  <hyperlinks>
    <hyperlink ref="Q40" r:id="rId1" xr:uid="{0FB7F492-608A-432D-8F24-96507843A91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7A3D-FD27-4126-82E2-757AF629914D}">
  <dimension ref="A1:AA83"/>
  <sheetViews>
    <sheetView topLeftCell="A9" workbookViewId="0">
      <selection activeCell="D25" sqref="D25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243558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280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4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106</v>
      </c>
      <c r="E11" s="15">
        <v>0</v>
      </c>
      <c r="F11" s="54"/>
      <c r="I11" s="34">
        <v>8</v>
      </c>
      <c r="J11" s="210" t="s">
        <v>105</v>
      </c>
      <c r="K11" s="87">
        <v>478.2</v>
      </c>
      <c r="L11" s="88" t="s">
        <v>49</v>
      </c>
      <c r="M11" s="89">
        <v>2</v>
      </c>
      <c r="N11" s="89">
        <v>10</v>
      </c>
      <c r="O11" s="16">
        <f>K11*((N11+1)-M11)</f>
        <v>4303.8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0</v>
      </c>
      <c r="D13"/>
      <c r="I13" s="34">
        <v>10</v>
      </c>
      <c r="J13" s="191" t="s">
        <v>108</v>
      </c>
      <c r="K13" s="192">
        <v>322.39999999999998</v>
      </c>
      <c r="L13" s="112" t="s">
        <v>49</v>
      </c>
      <c r="M13" s="17">
        <v>2</v>
      </c>
      <c r="N13" s="17">
        <v>10</v>
      </c>
      <c r="O13" s="16">
        <f>K13*((N13+1)-M13)</f>
        <v>2901.6</v>
      </c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F16" s="16">
        <f>K11+K13</f>
        <v>800.59999999999991</v>
      </c>
      <c r="I16" s="34">
        <v>13</v>
      </c>
      <c r="J16" s="77" t="s">
        <v>36</v>
      </c>
      <c r="K16" s="78">
        <f>C65</f>
        <v>987.68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F17" s="16">
        <f>O11+O13</f>
        <v>7205.4</v>
      </c>
      <c r="I17" s="34">
        <v>14</v>
      </c>
      <c r="J17" s="81" t="s">
        <v>38</v>
      </c>
      <c r="K17" s="82">
        <v>2140</v>
      </c>
      <c r="L17" s="83" t="s">
        <v>39</v>
      </c>
      <c r="M17" s="84">
        <v>15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34">
        <v>15</v>
      </c>
      <c r="J18" s="86" t="s">
        <v>81</v>
      </c>
      <c r="K18" s="87">
        <f>R18</f>
        <v>3371.94</v>
      </c>
      <c r="L18" s="88" t="s">
        <v>42</v>
      </c>
      <c r="M18" s="89"/>
      <c r="N18" s="89"/>
      <c r="O18" s="90">
        <v>112398</v>
      </c>
      <c r="P18" s="30">
        <v>0</v>
      </c>
      <c r="Q18" s="67">
        <f>O18+P18</f>
        <v>112398</v>
      </c>
      <c r="R18" s="68">
        <f>Q18*0.03</f>
        <v>3371.94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18" t="s">
        <v>48</v>
      </c>
      <c r="K21" s="16">
        <f>2940</f>
        <v>2940</v>
      </c>
      <c r="L21" s="76" t="s">
        <v>48</v>
      </c>
      <c r="M21" s="15">
        <v>18</v>
      </c>
      <c r="N21" s="15">
        <v>60</v>
      </c>
      <c r="O21" s="16">
        <v>84154.9</v>
      </c>
      <c r="P21" s="75"/>
      <c r="Q21" s="16"/>
      <c r="R21" s="16">
        <f>K21/2</f>
        <v>1470</v>
      </c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191" t="s">
        <v>84</v>
      </c>
      <c r="K23" s="200">
        <v>325.89999999999998</v>
      </c>
      <c r="L23" s="112" t="s">
        <v>49</v>
      </c>
      <c r="M23" s="114">
        <v>6</v>
      </c>
      <c r="N23" s="24" t="s">
        <v>85</v>
      </c>
      <c r="O23" s="16">
        <f>625.9*((N23+1)-M23)</f>
        <v>3129.5</v>
      </c>
      <c r="P23" s="207"/>
      <c r="Q23" s="40"/>
      <c r="R23" s="208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33" t="s">
        <v>86</v>
      </c>
      <c r="K24" s="74">
        <v>220</v>
      </c>
      <c r="L24" s="212"/>
      <c r="M24" s="15"/>
      <c r="N24" s="15"/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213" t="s">
        <v>71</v>
      </c>
      <c r="K25" s="214">
        <f>5350-1470-300</f>
        <v>3580</v>
      </c>
      <c r="L25" s="215" t="s">
        <v>88</v>
      </c>
      <c r="M25" s="17">
        <v>9</v>
      </c>
      <c r="N25" s="17">
        <f>12*24</f>
        <v>288</v>
      </c>
      <c r="O25" s="253">
        <f>K25+K26</f>
        <v>4980</v>
      </c>
      <c r="P25" s="30">
        <v>0</v>
      </c>
      <c r="Q25" s="16"/>
      <c r="R25" s="16">
        <f>O25*0.05</f>
        <v>249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23</v>
      </c>
      <c r="J26" s="213" t="s">
        <v>72</v>
      </c>
      <c r="K26" s="214">
        <v>1400</v>
      </c>
      <c r="L26" s="215"/>
      <c r="M26" s="17">
        <v>8</v>
      </c>
      <c r="N26" s="24" t="s">
        <v>78</v>
      </c>
      <c r="O26" s="254"/>
      <c r="P26" s="30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49" t="s">
        <v>109</v>
      </c>
      <c r="K27" s="50">
        <f>P27/2</f>
        <v>300</v>
      </c>
      <c r="L27" s="51" t="s">
        <v>110</v>
      </c>
      <c r="O27" s="216">
        <v>20000</v>
      </c>
      <c r="P27" s="16">
        <f>O27*0.03</f>
        <v>600</v>
      </c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86" t="s">
        <v>112</v>
      </c>
      <c r="K28" s="87">
        <v>3260</v>
      </c>
      <c r="L28" s="222" t="s">
        <v>110</v>
      </c>
      <c r="M28" s="17">
        <v>2</v>
      </c>
      <c r="N28" s="24" t="s">
        <v>111</v>
      </c>
      <c r="O28" s="16">
        <f>K28*((N28+1)-M28)</f>
        <v>45640</v>
      </c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K29" s="16">
        <v>1412.71</v>
      </c>
      <c r="M29" s="17">
        <v>1</v>
      </c>
      <c r="N29" s="17">
        <v>24</v>
      </c>
      <c r="O29" s="16"/>
      <c r="P29" s="202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K30" s="16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6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33569</v>
      </c>
      <c r="D35" s="236"/>
      <c r="J35" s="124" t="s">
        <v>52</v>
      </c>
      <c r="K35" s="237">
        <f>SUM(K4:K34)</f>
        <v>25611.829999999998</v>
      </c>
      <c r="L35" s="238"/>
      <c r="N35" s="24"/>
      <c r="O35" s="16"/>
      <c r="P35" s="30">
        <f>P18+P25+P26+P29+P30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7957.1700000000019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50000</v>
      </c>
      <c r="D38" s="130"/>
      <c r="E38" s="131"/>
      <c r="F38" s="131"/>
      <c r="G38" s="131"/>
      <c r="H38" s="131"/>
      <c r="I38" s="132"/>
      <c r="K38" s="28">
        <f>1767+2275</f>
        <v>4042</v>
      </c>
      <c r="N38" s="24"/>
      <c r="O38" s="16">
        <f>K17+K18+K23+1000</f>
        <v>6837.84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50000</v>
      </c>
      <c r="D41" s="137"/>
      <c r="E41" s="92"/>
      <c r="J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211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211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6</v>
      </c>
      <c r="C45" s="58">
        <v>44.73</v>
      </c>
      <c r="D45" s="58">
        <f>(B45-A45)*C45</f>
        <v>134.19</v>
      </c>
      <c r="F45" s="58">
        <f>C45*B45</f>
        <v>268.38</v>
      </c>
      <c r="G45" s="248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6</v>
      </c>
      <c r="C46" s="58">
        <v>138.88</v>
      </c>
      <c r="D46" s="58">
        <f t="shared" ref="D46:D61" si="3">(B46-A46)*C46</f>
        <v>416.64</v>
      </c>
      <c r="F46" s="58">
        <f t="shared" ref="F46:F61" si="4">C46*B46</f>
        <v>833.28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184.48</v>
      </c>
      <c r="D47" s="58">
        <f t="shared" si="3"/>
        <v>553.43999999999994</v>
      </c>
      <c r="F47" s="58">
        <f t="shared" si="4"/>
        <v>1106.8799999999999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13.4</v>
      </c>
      <c r="D48" s="58">
        <f t="shared" si="3"/>
        <v>40.200000000000003</v>
      </c>
      <c r="F48" s="58">
        <f t="shared" si="4"/>
        <v>80.400000000000006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3</v>
      </c>
      <c r="B49" s="34">
        <v>6</v>
      </c>
      <c r="C49" s="58">
        <v>96.24</v>
      </c>
      <c r="D49" s="58">
        <f t="shared" si="3"/>
        <v>288.71999999999997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4</v>
      </c>
      <c r="B50" s="34">
        <v>6</v>
      </c>
      <c r="C50" s="58">
        <v>66.13</v>
      </c>
      <c r="D50" s="58">
        <f t="shared" si="3"/>
        <v>132.26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/>
      <c r="B51" s="34"/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33">
        <f>T49+U49+V49+W49+X49+T50+U50+V50+W50+X50+Y49+Y50</f>
        <v>15000</v>
      </c>
      <c r="U51" s="234"/>
      <c r="V51" s="234"/>
      <c r="W51" s="234"/>
      <c r="X51" s="234"/>
      <c r="Y51" s="235"/>
      <c r="Z51" s="58">
        <v>260000</v>
      </c>
    </row>
    <row r="52" spans="1:27" s="58" customFormat="1">
      <c r="A52" s="218">
        <v>6</v>
      </c>
      <c r="B52" s="218">
        <v>6</v>
      </c>
      <c r="C52" s="219">
        <v>36.549999999999997</v>
      </c>
      <c r="D52" s="219">
        <f t="shared" si="3"/>
        <v>0</v>
      </c>
      <c r="E52" s="219"/>
      <c r="F52" s="219">
        <f t="shared" si="4"/>
        <v>219.29999999999998</v>
      </c>
      <c r="K52" s="58">
        <v>882</v>
      </c>
      <c r="L52" s="58">
        <f>K56</f>
        <v>950.3</v>
      </c>
      <c r="S52" s="256" t="s">
        <v>74</v>
      </c>
      <c r="T52" s="256"/>
      <c r="U52" s="256"/>
      <c r="V52" s="256"/>
      <c r="W52" s="256"/>
      <c r="X52" s="256"/>
      <c r="Y52" s="194">
        <f>T17-T51</f>
        <v>271359</v>
      </c>
      <c r="Z52" s="58">
        <v>256950</v>
      </c>
    </row>
    <row r="53" spans="1:27" s="58" customFormat="1">
      <c r="A53" s="218">
        <v>6</v>
      </c>
      <c r="B53" s="218">
        <v>6</v>
      </c>
      <c r="C53" s="219">
        <v>70.83</v>
      </c>
      <c r="D53" s="219">
        <f t="shared" si="3"/>
        <v>0</v>
      </c>
      <c r="E53" s="219"/>
      <c r="F53" s="219">
        <f t="shared" si="4"/>
        <v>424.98</v>
      </c>
      <c r="K53" s="58">
        <v>625.9</v>
      </c>
      <c r="L53" s="58">
        <f>K52</f>
        <v>882</v>
      </c>
      <c r="S53" s="255" t="s">
        <v>75</v>
      </c>
      <c r="T53" s="255"/>
      <c r="U53" s="255"/>
      <c r="V53" s="255"/>
      <c r="W53" s="255"/>
      <c r="X53" s="255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218">
        <v>6</v>
      </c>
      <c r="B54" s="218">
        <v>6</v>
      </c>
      <c r="C54" s="219">
        <v>85.97</v>
      </c>
      <c r="D54" s="219">
        <f t="shared" si="3"/>
        <v>0</v>
      </c>
      <c r="E54" s="219"/>
      <c r="F54" s="219">
        <f t="shared" si="4"/>
        <v>515.81999999999994</v>
      </c>
      <c r="K54" s="58">
        <v>835</v>
      </c>
      <c r="S54" s="255" t="s">
        <v>76</v>
      </c>
      <c r="T54" s="255"/>
      <c r="U54" s="255"/>
      <c r="V54" s="255"/>
      <c r="W54" s="255"/>
      <c r="X54" s="255"/>
      <c r="Y54" s="58">
        <v>18925</v>
      </c>
    </row>
    <row r="55" spans="1:27" s="58" customFormat="1">
      <c r="A55" s="218">
        <v>6</v>
      </c>
      <c r="B55" s="218">
        <v>6</v>
      </c>
      <c r="C55" s="219">
        <v>57.95</v>
      </c>
      <c r="D55" s="219">
        <f t="shared" si="3"/>
        <v>0</v>
      </c>
      <c r="E55" s="219"/>
      <c r="F55" s="219">
        <f t="shared" si="4"/>
        <v>347.70000000000005</v>
      </c>
      <c r="K55" s="58">
        <v>686.4</v>
      </c>
      <c r="X55" s="203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220"/>
      <c r="B56" s="220"/>
      <c r="C56" s="221"/>
      <c r="D56" s="221">
        <f t="shared" si="3"/>
        <v>0</v>
      </c>
      <c r="E56" s="221"/>
      <c r="F56" s="221">
        <f t="shared" si="4"/>
        <v>0</v>
      </c>
      <c r="K56" s="58">
        <v>950.3</v>
      </c>
      <c r="U56" s="58" t="s">
        <v>92</v>
      </c>
      <c r="X56" s="58" t="s">
        <v>90</v>
      </c>
      <c r="Y56" s="58">
        <v>2292</v>
      </c>
    </row>
    <row r="57" spans="1:27" s="58" customFormat="1">
      <c r="A57" s="220"/>
      <c r="B57" s="220"/>
      <c r="C57" s="221"/>
      <c r="D57" s="221">
        <f t="shared" si="3"/>
        <v>0</v>
      </c>
      <c r="E57" s="221"/>
      <c r="F57" s="221">
        <f t="shared" si="4"/>
        <v>0</v>
      </c>
      <c r="K57" s="58">
        <v>77.7</v>
      </c>
      <c r="S57" s="58" t="s">
        <v>91</v>
      </c>
      <c r="T57" s="58">
        <v>2178</v>
      </c>
      <c r="U57" s="58">
        <v>3</v>
      </c>
      <c r="V57" s="249">
        <f>T57+T58+T59</f>
        <v>7497</v>
      </c>
    </row>
    <row r="58" spans="1:27" s="58" customFormat="1">
      <c r="A58" s="220"/>
      <c r="B58" s="220"/>
      <c r="C58" s="221"/>
      <c r="D58" s="221">
        <f t="shared" si="3"/>
        <v>0</v>
      </c>
      <c r="E58" s="221"/>
      <c r="F58" s="221">
        <f t="shared" si="4"/>
        <v>0</v>
      </c>
      <c r="K58" s="58">
        <v>5.18</v>
      </c>
      <c r="T58" s="58">
        <v>2685</v>
      </c>
      <c r="V58" s="249"/>
    </row>
    <row r="59" spans="1:27" s="58" customFormat="1">
      <c r="A59" s="34">
        <v>10</v>
      </c>
      <c r="B59" s="34">
        <v>12</v>
      </c>
      <c r="C59" s="58">
        <v>54.88</v>
      </c>
      <c r="D59" s="58">
        <f t="shared" si="3"/>
        <v>109.76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49"/>
      <c r="Y59" s="58" t="s">
        <v>96</v>
      </c>
      <c r="Z59" s="58">
        <v>260000</v>
      </c>
    </row>
    <row r="60" spans="1:27" s="58" customFormat="1">
      <c r="A60" s="34">
        <v>10</v>
      </c>
      <c r="B60" s="34">
        <v>12</v>
      </c>
      <c r="C60" s="58">
        <v>62.64</v>
      </c>
      <c r="D60" s="58">
        <f t="shared" si="3"/>
        <v>125.28</v>
      </c>
      <c r="F60" s="58">
        <f t="shared" si="4"/>
        <v>751.68000000000006</v>
      </c>
      <c r="O60" s="58">
        <f>793/2</f>
        <v>396.5</v>
      </c>
      <c r="S60" s="204" t="s">
        <v>93</v>
      </c>
      <c r="T60" s="204">
        <v>2697</v>
      </c>
      <c r="U60" s="204">
        <v>3</v>
      </c>
      <c r="V60" s="204">
        <f>T60/3</f>
        <v>899</v>
      </c>
      <c r="W60" s="58">
        <f>V61-T60</f>
        <v>1544</v>
      </c>
      <c r="Y60" s="58" t="s">
        <v>97</v>
      </c>
      <c r="Z60" s="58">
        <v>3050</v>
      </c>
      <c r="AA60" s="58">
        <f>Z60/2</f>
        <v>1525</v>
      </c>
    </row>
    <row r="61" spans="1:27" s="58" customFormat="1">
      <c r="A61" s="34">
        <v>11</v>
      </c>
      <c r="B61" s="34">
        <v>12</v>
      </c>
      <c r="C61" s="58">
        <v>75</v>
      </c>
      <c r="D61" s="58">
        <f t="shared" si="3"/>
        <v>75</v>
      </c>
      <c r="F61" s="58">
        <f t="shared" si="4"/>
        <v>900</v>
      </c>
      <c r="S61" s="58" t="s">
        <v>94</v>
      </c>
      <c r="T61" s="58">
        <v>1014</v>
      </c>
      <c r="V61" s="249">
        <f>T61+T62+T63</f>
        <v>4241</v>
      </c>
      <c r="Y61" s="58" t="s">
        <v>53</v>
      </c>
      <c r="Z61" s="58">
        <f>Z59-Z60</f>
        <v>256950</v>
      </c>
    </row>
    <row r="62" spans="1:27">
      <c r="A62" s="34"/>
      <c r="B62" s="34"/>
      <c r="C62" s="58"/>
      <c r="D62" s="58"/>
      <c r="E62" s="58"/>
      <c r="F62" s="58"/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49"/>
      <c r="Y62" s="11" t="s">
        <v>98</v>
      </c>
      <c r="Z62" s="16">
        <f>Z61-Y55</f>
        <v>20116</v>
      </c>
    </row>
    <row r="63" spans="1:27">
      <c r="A63" s="34"/>
      <c r="B63" s="34" t="s">
        <v>82</v>
      </c>
      <c r="C63" s="58">
        <f>C83</f>
        <v>0</v>
      </c>
      <c r="D63" s="58"/>
      <c r="E63" s="58"/>
      <c r="F63" s="58"/>
      <c r="G63" s="58"/>
      <c r="M63" s="11"/>
      <c r="N63" s="11"/>
      <c r="Q63" s="11"/>
      <c r="R63" s="11"/>
      <c r="S63" s="11" t="s">
        <v>95</v>
      </c>
      <c r="T63" s="136">
        <v>1750</v>
      </c>
      <c r="V63" s="257"/>
      <c r="Y63" s="150" t="s">
        <v>99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269.75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987.68</v>
      </c>
      <c r="E65" s="74">
        <f>SUM(E47:E64)</f>
        <v>0</v>
      </c>
      <c r="M65" s="11"/>
      <c r="N65" s="11"/>
      <c r="Q65" s="11"/>
      <c r="R65" s="11"/>
      <c r="Y65" s="16" t="s">
        <v>100</v>
      </c>
      <c r="Z65" s="136">
        <v>5000</v>
      </c>
    </row>
    <row r="66" spans="1:27">
      <c r="B66" s="180" t="s">
        <v>65</v>
      </c>
      <c r="C66" s="223">
        <f>C65-E65</f>
        <v>987.68</v>
      </c>
      <c r="D66" s="224"/>
      <c r="E66" s="181"/>
      <c r="M66" s="11"/>
      <c r="N66" s="11"/>
      <c r="Q66" s="11"/>
      <c r="R66" s="11"/>
      <c r="Y66" s="206" t="s">
        <v>101</v>
      </c>
      <c r="Z66" s="30">
        <v>-206</v>
      </c>
    </row>
    <row r="67" spans="1:27">
      <c r="B67" s="250" t="s">
        <v>82</v>
      </c>
      <c r="Y67" s="11" t="s">
        <v>102</v>
      </c>
      <c r="Z67" s="136">
        <v>2292</v>
      </c>
    </row>
    <row r="68" spans="1:27">
      <c r="B68" s="251"/>
      <c r="Y68" s="11" t="s">
        <v>103</v>
      </c>
      <c r="Z68" s="136">
        <v>2000</v>
      </c>
      <c r="AA68" s="136">
        <f>4000/2</f>
        <v>2000</v>
      </c>
    </row>
    <row r="69" spans="1:27">
      <c r="B69" s="251"/>
      <c r="Z69" s="136"/>
    </row>
    <row r="70" spans="1:27">
      <c r="B70" s="251"/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51"/>
      <c r="Z71" s="136"/>
    </row>
    <row r="72" spans="1:27">
      <c r="B72" s="251"/>
    </row>
    <row r="73" spans="1:27">
      <c r="B73" s="251"/>
    </row>
    <row r="74" spans="1:27">
      <c r="B74" s="251"/>
    </row>
    <row r="75" spans="1:27">
      <c r="B75" s="251"/>
    </row>
    <row r="76" spans="1:27">
      <c r="B76" s="251"/>
    </row>
    <row r="77" spans="1:27">
      <c r="B77" s="251"/>
    </row>
    <row r="78" spans="1:27">
      <c r="B78" s="251"/>
    </row>
    <row r="79" spans="1:27">
      <c r="B79" s="251"/>
    </row>
    <row r="80" spans="1:27">
      <c r="B80" s="251"/>
    </row>
    <row r="81" spans="2:3">
      <c r="B81" s="251"/>
    </row>
    <row r="82" spans="2:3">
      <c r="B82" s="252"/>
    </row>
    <row r="83" spans="2:3">
      <c r="C83" s="28">
        <f>SUM(C67:C82)</f>
        <v>0</v>
      </c>
    </row>
  </sheetData>
  <mergeCells count="21">
    <mergeCell ref="C37:L37"/>
    <mergeCell ref="A1:G1"/>
    <mergeCell ref="H1:P1"/>
    <mergeCell ref="S1:X1"/>
    <mergeCell ref="A2:G2"/>
    <mergeCell ref="I2:P2"/>
    <mergeCell ref="M3:N3"/>
    <mergeCell ref="T17:Y17"/>
    <mergeCell ref="O25:O26"/>
    <mergeCell ref="C35:D35"/>
    <mergeCell ref="K35:L35"/>
    <mergeCell ref="S35:X35"/>
    <mergeCell ref="V61:V63"/>
    <mergeCell ref="C66:D66"/>
    <mergeCell ref="B67:B82"/>
    <mergeCell ref="G45:G48"/>
    <mergeCell ref="T51:Y51"/>
    <mergeCell ref="S52:X52"/>
    <mergeCell ref="S53:X53"/>
    <mergeCell ref="S54:X54"/>
    <mergeCell ref="V57:V59"/>
  </mergeCells>
  <hyperlinks>
    <hyperlink ref="Q40" r:id="rId1" xr:uid="{B99119A4-B159-4363-B10D-7CF2410987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4" style="11" bestFit="1" customWidth="1"/>
    <col min="26" max="16384" width="9" style="11"/>
  </cols>
  <sheetData>
    <row r="1" spans="1:25" s="3" customFormat="1" ht="21">
      <c r="A1" s="225">
        <v>243287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5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>
      <c r="A8" s="17">
        <v>5</v>
      </c>
      <c r="C8" s="16">
        <v>227.78</v>
      </c>
      <c r="D8" s="15"/>
      <c r="E8" s="17">
        <v>32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26</v>
      </c>
      <c r="N8" s="12">
        <v>35</v>
      </c>
      <c r="O8" s="39">
        <f>N8-M8</f>
        <v>9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7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9</v>
      </c>
      <c r="N11" s="57">
        <v>58</v>
      </c>
      <c r="O11" s="16">
        <f>((N11-M11)+1)*K11</f>
        <v>159600</v>
      </c>
      <c r="P11" s="16">
        <f>M11*K11</f>
        <v>28728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36516</v>
      </c>
    </row>
    <row r="16" spans="1:25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v>1050.3599999999999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6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263723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27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1520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9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69">
        <v>23</v>
      </c>
      <c r="K26" s="28">
        <v>300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36">
        <f>C4+C5+C6+C7+C8+C9+C10+C11+C12+C13+C14+C15+C16+C17+C18+C19+C20+C21</f>
        <v>26497.78</v>
      </c>
      <c r="D35" s="236"/>
      <c r="J35" s="124" t="s">
        <v>52</v>
      </c>
      <c r="K35" s="237">
        <f>SUM(K4:K34)</f>
        <v>26318.941600000002</v>
      </c>
      <c r="L35" s="238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39">
        <f>C35-K35</f>
        <v>178.83839999999691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9406.8616000000002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5</v>
      </c>
      <c r="B45" s="146">
        <v>12</v>
      </c>
      <c r="C45" s="136">
        <v>51.36</v>
      </c>
      <c r="D45" s="147">
        <f>(B45-A45)*C45</f>
        <v>359.52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/>
      <c r="B46" s="148"/>
      <c r="C46" s="22"/>
      <c r="D46" s="149"/>
      <c r="E46" s="22"/>
      <c r="F46" s="22"/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2</v>
      </c>
      <c r="B47" s="145">
        <v>12</v>
      </c>
      <c r="C47" s="136">
        <v>75</v>
      </c>
      <c r="D47" s="147">
        <f>(B47-A47)*C47</f>
        <v>750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9</v>
      </c>
      <c r="B48" s="145">
        <v>12</v>
      </c>
      <c r="C48" s="136">
        <v>68.69</v>
      </c>
      <c r="D48" s="147">
        <f>(B48-A48)*C48</f>
        <v>206.07</v>
      </c>
      <c r="E48" s="136"/>
      <c r="F48" s="136">
        <f t="shared" ref="F48:F58" si="3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/>
      <c r="L50" s="167"/>
      <c r="M50" s="113"/>
      <c r="N50" s="113"/>
      <c r="Q50" s="167"/>
      <c r="R50" s="164"/>
    </row>
    <row r="51" spans="1:18">
      <c r="A51" s="15">
        <v>9</v>
      </c>
      <c r="B51" s="15">
        <v>12</v>
      </c>
      <c r="C51" s="136">
        <v>222.1</v>
      </c>
      <c r="D51" s="147">
        <f t="shared" ref="D51:D58" si="4">(B51-A51)*C51</f>
        <v>666.3</v>
      </c>
      <c r="E51" s="136"/>
      <c r="F51" s="136">
        <f t="shared" si="3"/>
        <v>2665.2</v>
      </c>
      <c r="L51" s="125"/>
      <c r="M51" s="11"/>
      <c r="N51" s="11"/>
      <c r="Q51" s="11"/>
      <c r="R51" s="11"/>
    </row>
    <row r="52" spans="1:18">
      <c r="A52" s="15">
        <v>9</v>
      </c>
      <c r="B52" s="15">
        <v>12</v>
      </c>
      <c r="C52" s="136">
        <v>50.54</v>
      </c>
      <c r="D52" s="147">
        <f t="shared" si="4"/>
        <v>151.62</v>
      </c>
      <c r="E52" s="136"/>
      <c r="F52" s="136">
        <f t="shared" si="3"/>
        <v>606.48</v>
      </c>
      <c r="L52" s="125"/>
      <c r="M52" s="11"/>
      <c r="N52" s="11"/>
      <c r="Q52" s="11"/>
      <c r="R52" s="11"/>
    </row>
    <row r="53" spans="1:18">
      <c r="A53" s="69">
        <v>9</v>
      </c>
      <c r="B53" s="69">
        <v>12</v>
      </c>
      <c r="C53" s="168">
        <v>63.09</v>
      </c>
      <c r="D53" s="147">
        <f t="shared" si="4"/>
        <v>189.27</v>
      </c>
      <c r="E53" s="136"/>
      <c r="F53" s="136">
        <f t="shared" si="3"/>
        <v>757.08</v>
      </c>
      <c r="M53" s="11"/>
      <c r="N53" s="11"/>
      <c r="Q53" s="11"/>
      <c r="R53" s="11"/>
    </row>
    <row r="54" spans="1:18">
      <c r="A54" s="69">
        <v>9</v>
      </c>
      <c r="B54" s="69">
        <v>12</v>
      </c>
      <c r="C54" s="168">
        <v>76.900000000000006</v>
      </c>
      <c r="D54" s="147">
        <f t="shared" si="4"/>
        <v>230.70000000000002</v>
      </c>
      <c r="E54" s="136"/>
      <c r="F54" s="136">
        <f t="shared" si="3"/>
        <v>922.80000000000007</v>
      </c>
      <c r="J54" s="11"/>
      <c r="K54" s="11"/>
      <c r="L54" s="11"/>
      <c r="M54" s="11"/>
      <c r="N54" s="11"/>
      <c r="Q54" s="11"/>
      <c r="R54" s="11"/>
    </row>
    <row r="55" spans="1:18">
      <c r="A55" s="35">
        <v>10</v>
      </c>
      <c r="B55" s="35">
        <v>12</v>
      </c>
      <c r="C55" s="169">
        <v>46.84</v>
      </c>
      <c r="D55" s="147">
        <f t="shared" si="4"/>
        <v>93.68</v>
      </c>
      <c r="E55" s="136"/>
      <c r="F55" s="136">
        <f t="shared" si="3"/>
        <v>562.08000000000004</v>
      </c>
      <c r="I55" s="11"/>
      <c r="J55" s="11"/>
      <c r="K55" s="170"/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/>
      <c r="L56" s="11"/>
      <c r="M56" s="11"/>
      <c r="N56" s="11"/>
      <c r="Q56" s="11"/>
      <c r="R56" s="11"/>
    </row>
    <row r="57" spans="1:18" s="173" customFormat="1">
      <c r="A57" s="171">
        <v>12</v>
      </c>
      <c r="B57" s="171">
        <v>12</v>
      </c>
      <c r="C57" s="106">
        <v>47.21</v>
      </c>
      <c r="D57" s="172">
        <f t="shared" si="4"/>
        <v>0</v>
      </c>
      <c r="E57" s="106"/>
      <c r="F57" s="106">
        <f t="shared" si="3"/>
        <v>566.52</v>
      </c>
      <c r="I57" s="171"/>
    </row>
    <row r="58" spans="1:18" s="173" customFormat="1">
      <c r="A58" s="174">
        <v>12</v>
      </c>
      <c r="B58" s="174">
        <v>12</v>
      </c>
      <c r="C58" s="106">
        <v>97.84</v>
      </c>
      <c r="D58" s="172">
        <f t="shared" si="4"/>
        <v>0</v>
      </c>
      <c r="E58" s="106"/>
      <c r="F58" s="106">
        <f t="shared" si="3"/>
        <v>1174.08</v>
      </c>
      <c r="I58" s="171"/>
    </row>
    <row r="59" spans="1:18">
      <c r="A59" s="154"/>
      <c r="B59" s="154"/>
      <c r="C59" s="169"/>
      <c r="D59" s="175"/>
      <c r="E59" s="169"/>
      <c r="F59" s="169"/>
      <c r="J59" s="11"/>
      <c r="K59" s="11"/>
      <c r="L59" s="11"/>
      <c r="M59" s="11"/>
      <c r="N59" s="11"/>
      <c r="Q59" s="11"/>
      <c r="R59" s="11"/>
    </row>
    <row r="60" spans="1:18">
      <c r="A60" s="154"/>
      <c r="B60" s="154"/>
      <c r="C60" s="169"/>
      <c r="D60" s="242">
        <f>C60+C61+C62</f>
        <v>0</v>
      </c>
      <c r="E60" s="169"/>
      <c r="F60" s="169"/>
      <c r="J60" s="11"/>
      <c r="K60" s="11"/>
      <c r="L60" s="11"/>
      <c r="M60" s="11"/>
      <c r="N60" s="11"/>
      <c r="Q60" s="11"/>
      <c r="R60" s="11"/>
    </row>
    <row r="61" spans="1:18">
      <c r="A61" s="154"/>
      <c r="B61" s="154"/>
      <c r="C61" s="169"/>
      <c r="D61" s="242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43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799.57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23">
        <f>C65-E65</f>
        <v>799.57</v>
      </c>
      <c r="D66" s="224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6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workbookViewId="0">
      <selection activeCell="AA49" sqref="AA4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243315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33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1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8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1099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10</v>
      </c>
      <c r="N11" s="57">
        <v>58</v>
      </c>
      <c r="O11" s="16">
        <f>((N11-M11)+1)*K11</f>
        <v>156408</v>
      </c>
      <c r="P11" s="16">
        <f>M11*K11</f>
        <v>31920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v>751.14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800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3818.04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7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4491.338999999999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149711.29999999999</v>
      </c>
      <c r="R18" s="68">
        <f>Q18*0.03</f>
        <v>4491.338999999999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28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1493.41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10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1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1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37396.78</v>
      </c>
      <c r="D35" s="236"/>
      <c r="J35" s="124" t="s">
        <v>52</v>
      </c>
      <c r="K35" s="237">
        <f>SUM(K4:K34)</f>
        <v>31005.719000000001</v>
      </c>
      <c r="L35" s="238"/>
      <c r="N35" s="24"/>
      <c r="O35" s="16"/>
      <c r="P35" s="30">
        <f>P23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6391.0609999999979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9124.7489999999998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2859</v>
      </c>
      <c r="L40" s="139"/>
      <c r="M40" s="113"/>
      <c r="N40" s="24"/>
      <c r="Q40" s="140" t="s">
        <v>59</v>
      </c>
      <c r="S40" s="27">
        <v>4</v>
      </c>
      <c r="T40" s="16"/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12</v>
      </c>
      <c r="C45" s="58">
        <v>54.88</v>
      </c>
      <c r="D45" s="58">
        <f t="shared" ref="D45:D50" si="3">(B45-A45)*C45</f>
        <v>548.80000000000007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12</v>
      </c>
      <c r="C46" s="58">
        <v>62.64</v>
      </c>
      <c r="D46" s="58">
        <f t="shared" si="3"/>
        <v>626.4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12</v>
      </c>
      <c r="C47" s="58">
        <v>75</v>
      </c>
      <c r="D47" s="58">
        <f t="shared" si="3"/>
        <v>675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6</v>
      </c>
      <c r="B48" s="34">
        <v>12</v>
      </c>
      <c r="C48" s="58">
        <v>51.36</v>
      </c>
      <c r="D48" s="58">
        <f t="shared" si="3"/>
        <v>308.15999999999997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10</v>
      </c>
      <c r="B49" s="34">
        <v>12</v>
      </c>
      <c r="C49" s="58">
        <v>68.69</v>
      </c>
      <c r="D49" s="58">
        <f t="shared" si="3"/>
        <v>137.38</v>
      </c>
      <c r="F49" s="58">
        <f t="shared" si="4"/>
        <v>824.28</v>
      </c>
      <c r="S49" s="73" t="s">
        <v>12</v>
      </c>
      <c r="T49" s="74">
        <f t="shared" ref="T49:Y49" si="5">SUM(T37:T48)</f>
        <v>3000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10</v>
      </c>
      <c r="B50" s="34">
        <v>12</v>
      </c>
      <c r="C50" s="58">
        <v>222.1</v>
      </c>
      <c r="D50" s="58">
        <f t="shared" si="3"/>
        <v>444.2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10</v>
      </c>
      <c r="B51" s="34">
        <v>12</v>
      </c>
      <c r="C51" s="58">
        <v>63.09</v>
      </c>
      <c r="D51" s="58">
        <f t="shared" ref="D51:D54" si="6">(B51-A51)*C51</f>
        <v>126.18</v>
      </c>
      <c r="F51" s="58">
        <f t="shared" ref="F51:F54" si="7">C51*B51</f>
        <v>757.08</v>
      </c>
      <c r="S51" s="73" t="s">
        <v>40</v>
      </c>
      <c r="T51" s="233">
        <f>T49+U49+V49+W49+X49+T50+U50+V50+W50+X50+Y49+Y50</f>
        <v>3000</v>
      </c>
      <c r="U51" s="234"/>
      <c r="V51" s="234"/>
      <c r="W51" s="234"/>
      <c r="X51" s="234"/>
      <c r="Y51" s="235"/>
    </row>
    <row r="52" spans="1:25" s="58" customFormat="1">
      <c r="A52" s="34">
        <v>10</v>
      </c>
      <c r="B52" s="34">
        <v>12</v>
      </c>
      <c r="C52" s="58">
        <v>50.54</v>
      </c>
      <c r="D52" s="58">
        <f t="shared" si="6"/>
        <v>101.08</v>
      </c>
      <c r="F52" s="58">
        <f t="shared" si="7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283359</v>
      </c>
    </row>
    <row r="53" spans="1:25" s="58" customFormat="1">
      <c r="A53" s="34">
        <v>10</v>
      </c>
      <c r="B53" s="34">
        <v>12</v>
      </c>
      <c r="C53" s="58">
        <v>76.900000000000006</v>
      </c>
      <c r="D53" s="58">
        <f t="shared" si="6"/>
        <v>153.80000000000001</v>
      </c>
      <c r="F53" s="58">
        <f t="shared" si="7"/>
        <v>922.80000000000007</v>
      </c>
      <c r="S53" s="244" t="s">
        <v>75</v>
      </c>
      <c r="T53" s="245"/>
      <c r="U53" s="245"/>
      <c r="V53" s="245"/>
      <c r="W53" s="245"/>
      <c r="X53" s="246"/>
      <c r="Y53" s="195">
        <v>15600</v>
      </c>
    </row>
    <row r="54" spans="1:25" s="58" customFormat="1">
      <c r="A54" s="34">
        <v>11</v>
      </c>
      <c r="B54" s="34">
        <v>12</v>
      </c>
      <c r="C54" s="58">
        <v>46.84</v>
      </c>
      <c r="D54" s="58">
        <f t="shared" si="6"/>
        <v>46.84</v>
      </c>
      <c r="F54" s="58">
        <f t="shared" si="7"/>
        <v>562.08000000000004</v>
      </c>
      <c r="S54" s="244" t="s">
        <v>76</v>
      </c>
      <c r="T54" s="245"/>
      <c r="U54" s="245"/>
      <c r="V54" s="245"/>
      <c r="W54" s="245"/>
      <c r="X54" s="246"/>
      <c r="Y54" s="195">
        <v>18925</v>
      </c>
    </row>
    <row r="55" spans="1:25" s="58" customFormat="1">
      <c r="A55" s="34"/>
      <c r="B55" s="34"/>
      <c r="C55" s="58">
        <v>215</v>
      </c>
      <c r="S55" s="247" t="s">
        <v>74</v>
      </c>
      <c r="T55" s="247"/>
      <c r="U55" s="247"/>
      <c r="V55" s="247"/>
      <c r="W55" s="247"/>
      <c r="X55" s="247"/>
      <c r="Y55" s="194">
        <f>Y52-(Y53+Y54)</f>
        <v>248834</v>
      </c>
    </row>
    <row r="56" spans="1:25" s="58" customFormat="1">
      <c r="A56" s="34"/>
      <c r="B56" s="34"/>
      <c r="C56" s="58">
        <v>71</v>
      </c>
    </row>
    <row r="57" spans="1:25" s="58" customFormat="1">
      <c r="A57" s="34"/>
      <c r="B57" s="34"/>
      <c r="C57" s="58">
        <v>116</v>
      </c>
    </row>
    <row r="58" spans="1:25" s="58" customFormat="1">
      <c r="A58" s="34"/>
      <c r="B58" s="34"/>
      <c r="C58" s="58">
        <v>478</v>
      </c>
    </row>
    <row r="59" spans="1:25" s="58" customFormat="1">
      <c r="A59" s="34"/>
      <c r="B59" s="34"/>
      <c r="C59" s="58">
        <v>2166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3818.04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23">
        <f>C62-E62</f>
        <v>3818.04</v>
      </c>
      <c r="D63" s="22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5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workbookViewId="0">
      <selection activeCell="D28" sqref="D28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243344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34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2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9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1066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11</v>
      </c>
      <c r="N11" s="57">
        <v>58</v>
      </c>
      <c r="O11" s="16">
        <f>((N11-M11)+1)*K11</f>
        <v>153216</v>
      </c>
      <c r="P11" s="16">
        <f>M11*K11</f>
        <v>35112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900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3674.25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8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11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2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1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1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37363.78</v>
      </c>
      <c r="D35" s="236"/>
      <c r="J35" s="124" t="s">
        <v>52</v>
      </c>
      <c r="K35" s="237">
        <f>SUM(K4:K34)</f>
        <v>33204.270000000004</v>
      </c>
      <c r="L35" s="238"/>
      <c r="N35" s="24"/>
      <c r="O35" s="16"/>
      <c r="P35" s="30">
        <f>P23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4159.5099999999948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12</v>
      </c>
      <c r="C45" s="58">
        <v>54.88</v>
      </c>
      <c r="D45" s="58">
        <f t="shared" ref="D45:D54" si="3">(B45-A45)*C45</f>
        <v>493.92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12</v>
      </c>
      <c r="C46" s="58">
        <v>62.64</v>
      </c>
      <c r="D46" s="58">
        <f t="shared" si="3"/>
        <v>563.76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4</v>
      </c>
      <c r="B47" s="34">
        <v>12</v>
      </c>
      <c r="C47" s="58">
        <v>75</v>
      </c>
      <c r="D47" s="58">
        <f t="shared" si="3"/>
        <v>600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7</v>
      </c>
      <c r="B48" s="34">
        <v>12</v>
      </c>
      <c r="C48" s="58">
        <v>51.36</v>
      </c>
      <c r="D48" s="58">
        <f t="shared" si="3"/>
        <v>256.8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11</v>
      </c>
      <c r="B49" s="34">
        <v>12</v>
      </c>
      <c r="C49" s="58">
        <v>68.69</v>
      </c>
      <c r="D49" s="58">
        <f t="shared" si="3"/>
        <v>68.69</v>
      </c>
      <c r="F49" s="58">
        <f t="shared" si="4"/>
        <v>824.28</v>
      </c>
      <c r="S49" s="73" t="s">
        <v>12</v>
      </c>
      <c r="T49" s="74">
        <f t="shared" ref="T49:Y49" si="5">SUM(T37:T48)</f>
        <v>6000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11</v>
      </c>
      <c r="B50" s="34">
        <v>12</v>
      </c>
      <c r="C50" s="58">
        <v>222.1</v>
      </c>
      <c r="D50" s="58">
        <f t="shared" si="3"/>
        <v>222.1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11</v>
      </c>
      <c r="B51" s="34">
        <v>12</v>
      </c>
      <c r="C51" s="58">
        <v>63.09</v>
      </c>
      <c r="D51" s="58">
        <f t="shared" si="3"/>
        <v>63.09</v>
      </c>
      <c r="F51" s="58">
        <f t="shared" ref="F51:F54" si="6">C51*B51</f>
        <v>757.08</v>
      </c>
      <c r="S51" s="73" t="s">
        <v>40</v>
      </c>
      <c r="T51" s="233">
        <f>T49+U49+V49+W49+X49+T50+U50+V50+W50+X50+Y49+Y50</f>
        <v>6000</v>
      </c>
      <c r="U51" s="234"/>
      <c r="V51" s="234"/>
      <c r="W51" s="234"/>
      <c r="X51" s="234"/>
      <c r="Y51" s="235"/>
    </row>
    <row r="52" spans="1:25" s="58" customFormat="1">
      <c r="A52" s="34">
        <v>11</v>
      </c>
      <c r="B52" s="34">
        <v>12</v>
      </c>
      <c r="C52" s="58">
        <v>50.54</v>
      </c>
      <c r="D52" s="58">
        <f t="shared" si="3"/>
        <v>50.54</v>
      </c>
      <c r="F52" s="58">
        <f t="shared" si="6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280359</v>
      </c>
    </row>
    <row r="53" spans="1:25" s="58" customFormat="1">
      <c r="A53" s="34">
        <v>11</v>
      </c>
      <c r="B53" s="34">
        <v>12</v>
      </c>
      <c r="C53" s="58">
        <v>76.900000000000006</v>
      </c>
      <c r="D53" s="58">
        <f t="shared" si="3"/>
        <v>76.900000000000006</v>
      </c>
      <c r="F53" s="58">
        <f t="shared" si="6"/>
        <v>922.80000000000007</v>
      </c>
      <c r="K53" s="58">
        <v>1330</v>
      </c>
    </row>
    <row r="54" spans="1:25" s="58" customFormat="1">
      <c r="A54" s="34">
        <v>12</v>
      </c>
      <c r="B54" s="34">
        <v>12</v>
      </c>
      <c r="C54" s="58">
        <v>43.05</v>
      </c>
      <c r="D54" s="58">
        <f t="shared" si="3"/>
        <v>0</v>
      </c>
      <c r="F54" s="58">
        <f t="shared" si="6"/>
        <v>516.59999999999991</v>
      </c>
      <c r="K54" s="58">
        <v>349</v>
      </c>
    </row>
    <row r="55" spans="1:25" s="58" customFormat="1">
      <c r="A55" s="34"/>
      <c r="B55" s="34"/>
      <c r="C55" s="58">
        <v>1330</v>
      </c>
      <c r="K55" s="58">
        <v>1227</v>
      </c>
    </row>
    <row r="56" spans="1:25" s="58" customFormat="1">
      <c r="A56" s="34"/>
      <c r="B56" s="34"/>
      <c r="C56" s="58">
        <v>349</v>
      </c>
    </row>
    <row r="57" spans="1:25" s="58" customFormat="1">
      <c r="A57" s="34"/>
      <c r="B57" s="34"/>
      <c r="C57" s="58">
        <v>1227</v>
      </c>
    </row>
    <row r="58" spans="1:25" s="58" customFormat="1">
      <c r="A58" s="34"/>
      <c r="B58" s="34"/>
    </row>
    <row r="59" spans="1:25" s="58" customFormat="1">
      <c r="A59" s="34"/>
      <c r="B59" s="34"/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3674.25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23">
        <f>C62-E62</f>
        <v>3674.25</v>
      </c>
      <c r="D63" s="22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3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</mergeCells>
  <conditionalFormatting sqref="L23">
    <cfRule type="cellIs" dxfId="4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243374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35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3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10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1066*4</f>
        <v>4264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12</v>
      </c>
      <c r="N11" s="57">
        <v>58</v>
      </c>
      <c r="O11" s="16">
        <f>((N11-M11)+1)*K11</f>
        <v>150024</v>
      </c>
      <c r="P11" s="16">
        <f>M11*K11</f>
        <v>38304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v>2216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1200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1693.5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9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1500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12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3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2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2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41060.78</v>
      </c>
      <c r="D35" s="236"/>
      <c r="J35" s="124" t="s">
        <v>52</v>
      </c>
      <c r="K35" s="237">
        <f>SUM(K4:K34)</f>
        <v>33111.590000000004</v>
      </c>
      <c r="L35" s="238"/>
      <c r="N35" s="24"/>
      <c r="O35" s="16"/>
      <c r="P35" s="30">
        <f>P23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7949.1899999999951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4</v>
      </c>
      <c r="B45" s="34">
        <v>12</v>
      </c>
      <c r="C45" s="58">
        <v>54.88</v>
      </c>
      <c r="D45" s="58">
        <f t="shared" ref="D45:D59" si="3">(B45-A45)*C45</f>
        <v>439.04</v>
      </c>
      <c r="F45" s="58">
        <f>C45*B45</f>
        <v>658.56000000000006</v>
      </c>
      <c r="G45" s="248">
        <f>C45+C46+C47+C48</f>
        <v>243.88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4</v>
      </c>
      <c r="B46" s="34">
        <v>12</v>
      </c>
      <c r="C46" s="58">
        <v>62.64</v>
      </c>
      <c r="D46" s="58">
        <f t="shared" si="3"/>
        <v>501.12</v>
      </c>
      <c r="F46" s="58">
        <f>C46*B46</f>
        <v>751.68000000000006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5</v>
      </c>
      <c r="B47" s="34">
        <v>12</v>
      </c>
      <c r="C47" s="58">
        <v>75</v>
      </c>
      <c r="D47" s="58">
        <f t="shared" si="3"/>
        <v>525</v>
      </c>
      <c r="F47" s="58">
        <f t="shared" ref="F47:F49" si="4">C47*B47</f>
        <v>900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8</v>
      </c>
      <c r="B48" s="34">
        <v>12</v>
      </c>
      <c r="C48" s="58">
        <v>51.36</v>
      </c>
      <c r="D48" s="58">
        <f t="shared" si="3"/>
        <v>205.44</v>
      </c>
      <c r="F48" s="58">
        <f t="shared" si="4"/>
        <v>616.31999999999994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197">
        <v>12</v>
      </c>
      <c r="B49" s="197">
        <v>12</v>
      </c>
      <c r="C49" s="198">
        <v>62.8</v>
      </c>
      <c r="D49" s="198">
        <f t="shared" si="3"/>
        <v>0</v>
      </c>
      <c r="E49" s="198"/>
      <c r="F49" s="198">
        <f t="shared" si="4"/>
        <v>753.59999999999991</v>
      </c>
      <c r="S49" s="73" t="s">
        <v>12</v>
      </c>
      <c r="T49" s="74">
        <f t="shared" ref="T49:Y49" si="5">SUM(T37:T48)</f>
        <v>9000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197">
        <v>12</v>
      </c>
      <c r="B50" s="197">
        <v>12</v>
      </c>
      <c r="C50" s="198">
        <v>225.41</v>
      </c>
      <c r="D50" s="198">
        <f t="shared" si="3"/>
        <v>0</v>
      </c>
      <c r="E50" s="198"/>
      <c r="F50" s="198">
        <f>C50*B50</f>
        <v>2704.92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197">
        <v>12</v>
      </c>
      <c r="B51" s="197">
        <v>12</v>
      </c>
      <c r="C51" s="198">
        <v>65.09</v>
      </c>
      <c r="D51" s="198">
        <f t="shared" si="3"/>
        <v>0</v>
      </c>
      <c r="E51" s="198"/>
      <c r="F51" s="198">
        <f t="shared" ref="F51:F59" si="6">C51*B51</f>
        <v>781.08</v>
      </c>
      <c r="S51" s="73" t="s">
        <v>40</v>
      </c>
      <c r="T51" s="233">
        <f>T49+U49+V49+W49+X49+T50+U50+V50+W50+X50+Y49+Y50</f>
        <v>9000</v>
      </c>
      <c r="U51" s="234"/>
      <c r="V51" s="234"/>
      <c r="W51" s="234"/>
      <c r="X51" s="234"/>
      <c r="Y51" s="235"/>
    </row>
    <row r="52" spans="1:25" s="58" customFormat="1">
      <c r="A52" s="197">
        <v>12</v>
      </c>
      <c r="B52" s="197">
        <v>12</v>
      </c>
      <c r="C52" s="198">
        <v>52.2</v>
      </c>
      <c r="D52" s="198">
        <f t="shared" si="3"/>
        <v>0</v>
      </c>
      <c r="E52" s="198"/>
      <c r="F52" s="198">
        <f t="shared" si="6"/>
        <v>626.40000000000009</v>
      </c>
      <c r="S52" s="194" t="s">
        <v>74</v>
      </c>
      <c r="T52" s="194"/>
      <c r="U52" s="194"/>
      <c r="V52" s="194"/>
      <c r="W52" s="194"/>
      <c r="X52" s="194"/>
      <c r="Y52" s="194">
        <f>T17-T51</f>
        <v>277359</v>
      </c>
    </row>
    <row r="53" spans="1:25" s="58" customFormat="1">
      <c r="A53" s="197">
        <v>12</v>
      </c>
      <c r="B53" s="197">
        <v>12</v>
      </c>
      <c r="C53" s="198">
        <v>79.33</v>
      </c>
      <c r="D53" s="198">
        <f t="shared" si="3"/>
        <v>0</v>
      </c>
      <c r="E53" s="198"/>
      <c r="F53" s="198">
        <f t="shared" si="6"/>
        <v>951.96</v>
      </c>
      <c r="K53" s="58">
        <v>1330</v>
      </c>
    </row>
    <row r="54" spans="1:25" s="58" customFormat="1">
      <c r="A54" s="34">
        <v>1</v>
      </c>
      <c r="B54" s="34">
        <v>3</v>
      </c>
      <c r="C54" s="58">
        <v>40.659999999999997</v>
      </c>
      <c r="D54" s="58">
        <f t="shared" si="3"/>
        <v>81.319999999999993</v>
      </c>
      <c r="F54" s="58">
        <f t="shared" si="6"/>
        <v>121.97999999999999</v>
      </c>
      <c r="K54" s="58">
        <v>349</v>
      </c>
    </row>
    <row r="55" spans="1:25" s="58" customFormat="1">
      <c r="A55" s="34">
        <v>1</v>
      </c>
      <c r="B55" s="34">
        <v>3</v>
      </c>
      <c r="C55" s="58">
        <v>43.74</v>
      </c>
      <c r="D55" s="58">
        <f t="shared" si="3"/>
        <v>87.48</v>
      </c>
      <c r="F55" s="58">
        <f t="shared" si="6"/>
        <v>131.22</v>
      </c>
      <c r="K55" s="58">
        <v>1227</v>
      </c>
    </row>
    <row r="56" spans="1:25" s="58" customFormat="1">
      <c r="A56" s="34">
        <v>1</v>
      </c>
      <c r="B56" s="34">
        <v>3</v>
      </c>
      <c r="C56" s="58">
        <v>37.93</v>
      </c>
      <c r="D56" s="58">
        <f t="shared" si="3"/>
        <v>75.86</v>
      </c>
      <c r="F56" s="58">
        <f t="shared" si="6"/>
        <v>113.78999999999999</v>
      </c>
    </row>
    <row r="57" spans="1:25" s="58" customFormat="1">
      <c r="A57" s="34">
        <v>1</v>
      </c>
      <c r="B57" s="34">
        <v>6</v>
      </c>
      <c r="C57" s="58">
        <v>64.739999999999995</v>
      </c>
      <c r="D57" s="58">
        <f t="shared" si="3"/>
        <v>323.7</v>
      </c>
      <c r="F57" s="58">
        <f t="shared" si="6"/>
        <v>388.43999999999994</v>
      </c>
    </row>
    <row r="58" spans="1:25" s="58" customFormat="1">
      <c r="A58" s="34">
        <v>1</v>
      </c>
      <c r="B58" s="34">
        <v>6</v>
      </c>
      <c r="C58" s="58">
        <v>40.549999999999997</v>
      </c>
      <c r="D58" s="58">
        <f t="shared" si="3"/>
        <v>202.75</v>
      </c>
      <c r="F58" s="58">
        <f t="shared" si="6"/>
        <v>243.29999999999998</v>
      </c>
    </row>
    <row r="59" spans="1:25" s="58" customFormat="1">
      <c r="A59" s="34">
        <v>1</v>
      </c>
      <c r="B59" s="34">
        <v>6</v>
      </c>
      <c r="C59" s="58">
        <v>34.17</v>
      </c>
      <c r="D59" s="58">
        <f t="shared" si="3"/>
        <v>170.85000000000002</v>
      </c>
      <c r="F59" s="58">
        <f t="shared" si="6"/>
        <v>205.02</v>
      </c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>
        <f>C74</f>
        <v>703</v>
      </c>
      <c r="D61" s="149">
        <f>C49+C50+C51+C52+C53</f>
        <v>484.82999999999993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1693.5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23">
        <f>C62-E62</f>
        <v>1693.5</v>
      </c>
      <c r="D63" s="22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3:18">
      <c r="C65" s="28">
        <v>154</v>
      </c>
      <c r="J65" s="18">
        <v>3457297</v>
      </c>
      <c r="M65" s="11"/>
      <c r="N65" s="11"/>
      <c r="Q65" s="11"/>
      <c r="R65" s="11"/>
    </row>
    <row r="66" spans="3:18">
      <c r="C66" s="28">
        <v>100</v>
      </c>
    </row>
    <row r="67" spans="3:18">
      <c r="C67" s="28">
        <v>187</v>
      </c>
    </row>
    <row r="68" spans="3:18">
      <c r="C68" s="28">
        <v>52</v>
      </c>
    </row>
    <row r="69" spans="3:18">
      <c r="C69" s="28">
        <v>70</v>
      </c>
    </row>
    <row r="70" spans="3:18">
      <c r="C70" s="28">
        <v>95</v>
      </c>
    </row>
    <row r="71" spans="3:18">
      <c r="C71" s="28">
        <v>45</v>
      </c>
    </row>
    <row r="74" spans="3:18">
      <c r="C74" s="28">
        <f>SUM(C65:C73)</f>
        <v>703</v>
      </c>
    </row>
  </sheetData>
  <mergeCells count="14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  <mergeCell ref="G45:G48"/>
  </mergeCells>
  <conditionalFormatting sqref="L23">
    <cfRule type="cellIs" dxfId="3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1"/>
  <sheetViews>
    <sheetView workbookViewId="0">
      <selection activeCell="K34" sqref="K3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243405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270.83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4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D11*4</f>
        <v>4264</v>
      </c>
      <c r="D11" s="53" t="s">
        <v>83</v>
      </c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f>1109-K10</f>
        <v>442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69</v>
      </c>
      <c r="C13" s="192">
        <v>441</v>
      </c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8" t="s">
        <v>48</v>
      </c>
      <c r="C14" s="16">
        <v>1500</v>
      </c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G20" s="16">
        <f>K30+K30+K29+K26+K25+K69+K71+L74</f>
        <v>6415.96</v>
      </c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G21" s="16">
        <f>G20-6800</f>
        <v>-384.03999999999996</v>
      </c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>
        <f>K24*2</f>
        <v>2940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1</v>
      </c>
      <c r="N30" s="24" t="s">
        <v>85</v>
      </c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>
        <v>512.5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>
        <v>384.04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>
        <v>220</v>
      </c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43001.78</v>
      </c>
      <c r="D35" s="236"/>
      <c r="J35" s="124" t="s">
        <v>52</v>
      </c>
      <c r="K35" s="237">
        <f>SUM(K4:K34)</f>
        <v>33474.54</v>
      </c>
      <c r="L35" s="238"/>
      <c r="N35" s="24"/>
      <c r="O35" s="16"/>
      <c r="P35" s="30">
        <f>P23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9527.239999999998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201">
        <f>C37-8376.74</f>
        <v>1150.4999999999982</v>
      </c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f>K27-1500</f>
        <v>3500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f>K40+K28</f>
        <v>4900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48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33">
        <f>T49+U49+V49+W49+X49+T50+U50+V50+W50+X50+Y49+Y50</f>
        <v>12000</v>
      </c>
      <c r="U51" s="234"/>
      <c r="V51" s="234"/>
      <c r="W51" s="234"/>
      <c r="X51" s="234"/>
      <c r="Y51" s="235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23">
        <f>C62-E62</f>
        <v>2187.1799999999998</v>
      </c>
      <c r="D63" s="224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  <c r="L67" s="28">
        <v>882</v>
      </c>
    </row>
    <row r="68" spans="3:18">
      <c r="C68" s="28">
        <v>90</v>
      </c>
      <c r="L68" s="28">
        <v>625.9</v>
      </c>
    </row>
    <row r="69" spans="3:18">
      <c r="C69" s="28">
        <v>64</v>
      </c>
      <c r="K69" s="28">
        <v>835</v>
      </c>
    </row>
    <row r="70" spans="3:18">
      <c r="C70" s="28">
        <v>205</v>
      </c>
      <c r="L70" s="28">
        <v>950.3</v>
      </c>
    </row>
    <row r="71" spans="3:18">
      <c r="C71" s="28">
        <v>80</v>
      </c>
      <c r="K71" s="28">
        <v>686.4</v>
      </c>
    </row>
    <row r="72" spans="3:18">
      <c r="C72" s="28">
        <v>101</v>
      </c>
      <c r="L72" s="28">
        <v>84.64</v>
      </c>
    </row>
    <row r="73" spans="3:18">
      <c r="C73" s="28">
        <v>152</v>
      </c>
      <c r="L73" s="28">
        <v>5.65</v>
      </c>
      <c r="O73" s="28">
        <f>L67+L68+L70+L72+L73</f>
        <v>2548.4899999999998</v>
      </c>
    </row>
    <row r="74" spans="3:18">
      <c r="C74" s="28">
        <v>210</v>
      </c>
      <c r="L74" s="28">
        <v>2435.67</v>
      </c>
    </row>
    <row r="75" spans="3:18">
      <c r="C75" s="28">
        <v>117</v>
      </c>
    </row>
    <row r="80" spans="3:18">
      <c r="C80" s="28">
        <f>SUM(C64:C79)</f>
        <v>1367</v>
      </c>
      <c r="K80" s="28">
        <f>SUM(K67:K79)</f>
        <v>1521.4</v>
      </c>
      <c r="L80" s="54">
        <f>SUM(L67:L79)</f>
        <v>4984.16</v>
      </c>
    </row>
    <row r="81" spans="12:12">
      <c r="L81" s="54">
        <f>L80+K80</f>
        <v>6505.5599999999995</v>
      </c>
    </row>
  </sheetData>
  <mergeCells count="14">
    <mergeCell ref="M3:N3"/>
    <mergeCell ref="A1:G1"/>
    <mergeCell ref="H1:P1"/>
    <mergeCell ref="S1:X1"/>
    <mergeCell ref="A2:G2"/>
    <mergeCell ref="I2:P2"/>
    <mergeCell ref="T51:Y51"/>
    <mergeCell ref="C63:D63"/>
    <mergeCell ref="T17:Y17"/>
    <mergeCell ref="C35:D35"/>
    <mergeCell ref="K35:L35"/>
    <mergeCell ref="S35:X35"/>
    <mergeCell ref="C37:L37"/>
    <mergeCell ref="G45:G48"/>
  </mergeCells>
  <conditionalFormatting sqref="L23">
    <cfRule type="cellIs" dxfId="2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dimension ref="A1:AA81"/>
  <sheetViews>
    <sheetView workbookViewId="0">
      <selection activeCell="D16" sqref="D16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243405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5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5330</v>
      </c>
      <c r="D11" s="53" t="s">
        <v>83</v>
      </c>
      <c r="E11" s="15">
        <v>5</v>
      </c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14</v>
      </c>
      <c r="N11" s="57">
        <v>58</v>
      </c>
      <c r="O11" s="16">
        <f>((N11-M11)+1)*K11</f>
        <v>143640</v>
      </c>
      <c r="P11" s="16">
        <f>M11*K11</f>
        <v>44688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C63</f>
        <v>2560.06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11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</f>
        <v>2940</v>
      </c>
      <c r="L24" s="76" t="s">
        <v>48</v>
      </c>
      <c r="M24" s="15">
        <v>14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5</v>
      </c>
      <c r="N26" s="17">
        <v>10</v>
      </c>
      <c r="O26" s="16">
        <f>K26*(N26+1-M26)</f>
        <v>2646</v>
      </c>
      <c r="P26" s="16">
        <f>K26*2</f>
        <v>882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f>5000-1500</f>
        <v>3500</v>
      </c>
      <c r="L27" s="15" t="s">
        <v>88</v>
      </c>
      <c r="M27" s="17">
        <v>5</v>
      </c>
      <c r="N27" s="17">
        <f>12*24</f>
        <v>288</v>
      </c>
      <c r="O27" s="253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4</v>
      </c>
      <c r="N28" s="24" t="s">
        <v>78</v>
      </c>
      <c r="O28" s="25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4</v>
      </c>
      <c r="N29" s="17">
        <v>10</v>
      </c>
      <c r="O29" s="16">
        <f>K29*(N29+1-M29)</f>
        <v>6652.0999999999995</v>
      </c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2</v>
      </c>
      <c r="N30" s="24" t="s">
        <v>85</v>
      </c>
      <c r="O30" s="16">
        <f>K30*(N30+1-M30)</f>
        <v>2933.1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23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23">
        <v>29</v>
      </c>
      <c r="J32" s="18" t="s">
        <v>87</v>
      </c>
      <c r="K32" s="16">
        <v>500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41899</v>
      </c>
      <c r="D35" s="236"/>
      <c r="J35" s="124" t="s">
        <v>52</v>
      </c>
      <c r="K35" s="237">
        <f>SUM(K4:K34)</f>
        <v>32908.050000000003</v>
      </c>
      <c r="L35" s="238"/>
      <c r="N35" s="24"/>
      <c r="O35" s="16"/>
      <c r="P35" s="30">
        <f>P23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8990.9499999999971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66.13</v>
      </c>
      <c r="D45" s="58">
        <f t="shared" ref="D45" si="3">(B45-A45)*C45</f>
        <v>330.65</v>
      </c>
      <c r="F45" s="58">
        <f>C45*B45</f>
        <v>396.78</v>
      </c>
      <c r="G45" s="248">
        <f>C45+C46+C47+C48</f>
        <v>236.71999999999997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3</v>
      </c>
      <c r="C46" s="58">
        <v>63.21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36.549999999999997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70.83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2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3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33">
        <f>T49+U49+V49+W49+X49+T50+U50+V50+W50+X50+Y49+Y50</f>
        <v>15000</v>
      </c>
      <c r="U51" s="234"/>
      <c r="V51" s="234"/>
      <c r="W51" s="234"/>
      <c r="X51" s="234"/>
      <c r="Y51" s="235"/>
    </row>
    <row r="52" spans="1:25" s="58" customFormat="1">
      <c r="A52" s="34">
        <v>3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3</v>
      </c>
      <c r="B53" s="34">
        <v>3</v>
      </c>
      <c r="C53" s="199">
        <v>40.590000000000003</v>
      </c>
      <c r="D53" s="199"/>
      <c r="E53" s="199"/>
      <c r="F53" s="199"/>
      <c r="Y53" s="58">
        <v>266000</v>
      </c>
    </row>
    <row r="54" spans="1:25" s="58" customFormat="1">
      <c r="A54" s="34">
        <v>3</v>
      </c>
      <c r="B54" s="34">
        <v>3</v>
      </c>
      <c r="C54" s="58">
        <v>43.64</v>
      </c>
      <c r="Y54" s="58">
        <f>Y52-Y53</f>
        <v>5359</v>
      </c>
    </row>
    <row r="55" spans="1:25" s="58" customFormat="1">
      <c r="A55" s="34">
        <v>3</v>
      </c>
      <c r="B55" s="34">
        <v>3</v>
      </c>
      <c r="C55" s="58">
        <v>37.85</v>
      </c>
    </row>
    <row r="56" spans="1:25" s="58" customFormat="1">
      <c r="A56" s="34">
        <v>3</v>
      </c>
      <c r="B56" s="34">
        <v>6</v>
      </c>
      <c r="C56" s="58">
        <v>64.739999999999995</v>
      </c>
    </row>
    <row r="57" spans="1:25" s="58" customFormat="1">
      <c r="A57" s="34">
        <v>6</v>
      </c>
      <c r="B57" s="34">
        <v>12</v>
      </c>
      <c r="C57" s="58">
        <v>54.88</v>
      </c>
    </row>
    <row r="58" spans="1:25" s="58" customFormat="1">
      <c r="A58" s="34">
        <v>6</v>
      </c>
      <c r="B58" s="34">
        <v>12</v>
      </c>
      <c r="C58" s="58">
        <v>62.64</v>
      </c>
    </row>
    <row r="59" spans="1:25" s="58" customFormat="1">
      <c r="A59" s="34">
        <v>7</v>
      </c>
      <c r="B59" s="34">
        <v>12</v>
      </c>
      <c r="C59" s="58">
        <v>75</v>
      </c>
    </row>
    <row r="60" spans="1:25" s="58" customFormat="1">
      <c r="A60" s="34">
        <v>10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1674</v>
      </c>
    </row>
    <row r="62" spans="1:25">
      <c r="A62" s="148"/>
      <c r="B62" s="148"/>
      <c r="C62" s="22"/>
      <c r="D62" s="149">
        <f>C49+C50+C51+C52+C53</f>
        <v>259.23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2560.06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23">
        <f>C63-E63</f>
        <v>2560.06</v>
      </c>
      <c r="D64" s="224"/>
      <c r="E64" s="181"/>
      <c r="M64" s="11"/>
      <c r="N64" s="11"/>
      <c r="Q64" s="11"/>
      <c r="R64" s="11"/>
    </row>
    <row r="65" spans="2:18">
      <c r="B65" s="250" t="s">
        <v>82</v>
      </c>
      <c r="C65" s="28">
        <v>39</v>
      </c>
      <c r="M65" s="11"/>
      <c r="N65" s="11"/>
      <c r="Q65" s="11"/>
      <c r="R65" s="11"/>
    </row>
    <row r="66" spans="2:18">
      <c r="B66" s="251"/>
      <c r="C66" s="28">
        <v>153</v>
      </c>
      <c r="M66" s="11"/>
      <c r="N66" s="11"/>
      <c r="Q66" s="11"/>
      <c r="R66" s="11"/>
    </row>
    <row r="67" spans="2:18">
      <c r="B67" s="251"/>
      <c r="C67" s="28">
        <v>1482</v>
      </c>
    </row>
    <row r="68" spans="2:18">
      <c r="B68" s="251"/>
    </row>
    <row r="69" spans="2:18">
      <c r="B69" s="251"/>
    </row>
    <row r="70" spans="2:18">
      <c r="B70" s="251"/>
    </row>
    <row r="71" spans="2:18">
      <c r="B71" s="251"/>
    </row>
    <row r="72" spans="2:18">
      <c r="B72" s="251"/>
    </row>
    <row r="73" spans="2:18">
      <c r="B73" s="251"/>
    </row>
    <row r="74" spans="2:18">
      <c r="B74" s="251"/>
    </row>
    <row r="75" spans="2:18">
      <c r="B75" s="251"/>
    </row>
    <row r="76" spans="2:18">
      <c r="B76" s="251"/>
    </row>
    <row r="77" spans="2:18">
      <c r="B77" s="251"/>
    </row>
    <row r="78" spans="2:18">
      <c r="B78" s="251"/>
    </row>
    <row r="79" spans="2:18">
      <c r="B79" s="251"/>
    </row>
    <row r="80" spans="2:18">
      <c r="B80" s="252"/>
    </row>
    <row r="81" spans="3:3">
      <c r="C81" s="28">
        <f>SUM(C65:C80)</f>
        <v>1674</v>
      </c>
    </row>
  </sheetData>
  <mergeCells count="16">
    <mergeCell ref="M3:N3"/>
    <mergeCell ref="A1:G1"/>
    <mergeCell ref="H1:P1"/>
    <mergeCell ref="S1:X1"/>
    <mergeCell ref="A2:G2"/>
    <mergeCell ref="I2:P2"/>
    <mergeCell ref="T51:Y51"/>
    <mergeCell ref="C64:D64"/>
    <mergeCell ref="B65:B80"/>
    <mergeCell ref="T17:Y17"/>
    <mergeCell ref="C35:D35"/>
    <mergeCell ref="K35:L35"/>
    <mergeCell ref="S35:X35"/>
    <mergeCell ref="C37:L37"/>
    <mergeCell ref="G45:G48"/>
    <mergeCell ref="O27:O28"/>
  </mergeCells>
  <conditionalFormatting sqref="L23">
    <cfRule type="cellIs" dxfId="1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1C7-5EED-4DB6-8A33-F66E9460077D}">
  <sheetPr>
    <tabColor rgb="FF00B050"/>
  </sheetPr>
  <dimension ref="A1:AA83"/>
  <sheetViews>
    <sheetView workbookViewId="0">
      <selection activeCell="E27" sqref="E27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243466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f>1642+842</f>
        <v>2484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4266.6400000000003</v>
      </c>
      <c r="D11" s="53" t="s">
        <v>106</v>
      </c>
      <c r="E11" s="15">
        <v>4</v>
      </c>
      <c r="F11" s="54"/>
      <c r="I11" s="197">
        <v>8</v>
      </c>
      <c r="J11" s="55" t="s">
        <v>104</v>
      </c>
      <c r="K11" s="56"/>
      <c r="L11" s="57" t="s">
        <v>29</v>
      </c>
      <c r="M11" s="57">
        <v>15</v>
      </c>
      <c r="N11" s="57">
        <v>58</v>
      </c>
      <c r="O11" s="16">
        <f>((N11-M11)+1)*K11</f>
        <v>0</v>
      </c>
      <c r="P11" s="16">
        <v>112254.49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197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197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C65</f>
        <v>4158.93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197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197">
        <v>15</v>
      </c>
      <c r="J18" s="86" t="s">
        <v>81</v>
      </c>
      <c r="K18" s="87">
        <v>0</v>
      </c>
      <c r="L18" s="88" t="s">
        <v>42</v>
      </c>
      <c r="M18" s="89"/>
      <c r="N18" s="89"/>
      <c r="O18" s="90">
        <v>142398</v>
      </c>
      <c r="P18" s="30">
        <v>30000</v>
      </c>
      <c r="Q18" s="67">
        <f>O18-P18</f>
        <v>112398</v>
      </c>
      <c r="R18" s="68">
        <f>Q18*0.03</f>
        <v>3371.94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197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197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K21" s="16"/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197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209"/>
      <c r="K23" s="137"/>
      <c r="L23" s="17"/>
      <c r="M23" s="105"/>
      <c r="N23" s="105"/>
      <c r="O23" s="16"/>
      <c r="P23" s="207"/>
      <c r="Q23" s="40"/>
      <c r="R23" s="208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197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6000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197">
        <v>23</v>
      </c>
      <c r="J26" s="191" t="s">
        <v>69</v>
      </c>
      <c r="K26" s="192">
        <f>882</f>
        <v>882</v>
      </c>
      <c r="L26" s="112" t="s">
        <v>49</v>
      </c>
      <c r="M26" s="17">
        <v>6</v>
      </c>
      <c r="N26" s="17">
        <v>10</v>
      </c>
      <c r="O26" s="16">
        <f>(K26*2)*(N26+1-M26)</f>
        <v>8820</v>
      </c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197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53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197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5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197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2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97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625.9*(N30+1-M30)</f>
        <v>5007.2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97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37835.64</v>
      </c>
      <c r="D35" s="236"/>
      <c r="J35" s="124" t="s">
        <v>52</v>
      </c>
      <c r="K35" s="237">
        <f>SUM(K4:K34)</f>
        <v>25609.920000000002</v>
      </c>
      <c r="L35" s="238"/>
      <c r="N35" s="24"/>
      <c r="O35" s="16"/>
      <c r="P35" s="30">
        <f>P18+P25+P26+P29+P30</f>
        <v>36000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12225.719999999998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105000</v>
      </c>
      <c r="D38" s="130"/>
      <c r="E38" s="131"/>
      <c r="F38" s="131"/>
      <c r="G38" s="131"/>
      <c r="H38" s="131"/>
      <c r="I38" s="132"/>
      <c r="N38" s="24"/>
      <c r="O38" s="16">
        <f>K17+K18+K23+1000</f>
        <v>3140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36000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69000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44.73</v>
      </c>
      <c r="D45" s="58">
        <f>(B45-A45)*C45</f>
        <v>223.64999999999998</v>
      </c>
      <c r="F45" s="58">
        <f>C45*B45</f>
        <v>268.38</v>
      </c>
      <c r="G45" s="248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138.88</v>
      </c>
      <c r="D46" s="58">
        <f t="shared" ref="D46:D61" si="3">(B46-A46)*C46</f>
        <v>694.4</v>
      </c>
      <c r="F46" s="58">
        <f t="shared" ref="F46:F61" si="4">C46*B46</f>
        <v>833.28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184.48</v>
      </c>
      <c r="D47" s="58">
        <f t="shared" si="3"/>
        <v>922.4</v>
      </c>
      <c r="F47" s="58">
        <f t="shared" si="4"/>
        <v>1106.8799999999999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13.4</v>
      </c>
      <c r="D48" s="58">
        <f t="shared" si="3"/>
        <v>67</v>
      </c>
      <c r="F48" s="58">
        <f t="shared" si="4"/>
        <v>80.400000000000006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1</v>
      </c>
      <c r="B49" s="34">
        <v>6</v>
      </c>
      <c r="C49" s="58">
        <v>96.24</v>
      </c>
      <c r="D49" s="58">
        <f t="shared" si="3"/>
        <v>481.2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2</v>
      </c>
      <c r="B50" s="34">
        <v>6</v>
      </c>
      <c r="C50" s="58">
        <v>66.13</v>
      </c>
      <c r="D50" s="58">
        <f t="shared" si="3"/>
        <v>264.52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>
        <v>3</v>
      </c>
      <c r="B51" s="34">
        <v>3</v>
      </c>
      <c r="C51" s="58">
        <v>62.43</v>
      </c>
      <c r="D51" s="58">
        <f t="shared" si="3"/>
        <v>0</v>
      </c>
      <c r="F51" s="58">
        <f t="shared" si="4"/>
        <v>187.29</v>
      </c>
      <c r="K51" s="58">
        <v>2435.67</v>
      </c>
      <c r="S51" s="73" t="s">
        <v>40</v>
      </c>
      <c r="T51" s="233">
        <f>T49+U49+V49+W49+X49+T50+U50+V50+W50+X50+Y49+Y50</f>
        <v>15000</v>
      </c>
      <c r="U51" s="234"/>
      <c r="V51" s="234"/>
      <c r="W51" s="234"/>
      <c r="X51" s="234"/>
      <c r="Y51" s="235"/>
      <c r="Z51" s="58">
        <v>260000</v>
      </c>
    </row>
    <row r="52" spans="1:27" s="58" customFormat="1">
      <c r="A52" s="34">
        <v>3</v>
      </c>
      <c r="B52" s="34">
        <v>6</v>
      </c>
      <c r="C52" s="58">
        <v>36.549999999999997</v>
      </c>
      <c r="D52" s="58">
        <f t="shared" si="3"/>
        <v>109.64999999999999</v>
      </c>
      <c r="F52" s="58">
        <f t="shared" si="4"/>
        <v>219.29999999999998</v>
      </c>
      <c r="K52" s="58">
        <v>882</v>
      </c>
      <c r="S52" s="256" t="s">
        <v>74</v>
      </c>
      <c r="T52" s="256"/>
      <c r="U52" s="256"/>
      <c r="V52" s="256"/>
      <c r="W52" s="256"/>
      <c r="X52" s="256"/>
      <c r="Y52" s="194">
        <f>T17-T51</f>
        <v>271359</v>
      </c>
      <c r="Z52" s="58">
        <v>256950</v>
      </c>
    </row>
    <row r="53" spans="1:27" s="58" customFormat="1">
      <c r="A53" s="34">
        <v>3</v>
      </c>
      <c r="B53" s="34">
        <v>6</v>
      </c>
      <c r="C53" s="58">
        <v>70.83</v>
      </c>
      <c r="D53" s="58">
        <f t="shared" si="3"/>
        <v>212.49</v>
      </c>
      <c r="F53" s="58">
        <f t="shared" si="4"/>
        <v>424.98</v>
      </c>
      <c r="K53" s="58">
        <v>625.9</v>
      </c>
      <c r="S53" s="255" t="s">
        <v>75</v>
      </c>
      <c r="T53" s="255"/>
      <c r="U53" s="255"/>
      <c r="V53" s="255"/>
      <c r="W53" s="255"/>
      <c r="X53" s="255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34">
        <v>3</v>
      </c>
      <c r="B54" s="34">
        <v>6</v>
      </c>
      <c r="C54" s="58">
        <v>85.97</v>
      </c>
      <c r="D54" s="58">
        <f t="shared" si="3"/>
        <v>257.90999999999997</v>
      </c>
      <c r="F54" s="58">
        <f t="shared" si="4"/>
        <v>515.81999999999994</v>
      </c>
      <c r="K54" s="58">
        <v>835</v>
      </c>
      <c r="S54" s="255" t="s">
        <v>76</v>
      </c>
      <c r="T54" s="255"/>
      <c r="U54" s="255"/>
      <c r="V54" s="255"/>
      <c r="W54" s="255"/>
      <c r="X54" s="255"/>
      <c r="Y54" s="58">
        <v>18925</v>
      </c>
    </row>
    <row r="55" spans="1:27" s="58" customFormat="1">
      <c r="A55" s="34">
        <v>3</v>
      </c>
      <c r="B55" s="34">
        <v>6</v>
      </c>
      <c r="C55" s="58">
        <v>57.95</v>
      </c>
      <c r="D55" s="58">
        <f t="shared" si="3"/>
        <v>173.85000000000002</v>
      </c>
      <c r="F55" s="58">
        <f t="shared" si="4"/>
        <v>347.70000000000005</v>
      </c>
      <c r="K55" s="58">
        <v>686.4</v>
      </c>
      <c r="X55" s="203" t="s">
        <v>89</v>
      </c>
      <c r="Y55" s="198">
        <f>Y52-Y53-Y54</f>
        <v>236834</v>
      </c>
      <c r="Z55" s="58">
        <f>Z52-Y55</f>
        <v>20116</v>
      </c>
      <c r="AA55" s="58">
        <f>Y55-AA62</f>
        <v>235309</v>
      </c>
    </row>
    <row r="56" spans="1:27" s="58" customFormat="1">
      <c r="A56" s="34">
        <v>4</v>
      </c>
      <c r="B56" s="34">
        <v>6</v>
      </c>
      <c r="C56" s="58">
        <v>40.549999999999997</v>
      </c>
      <c r="D56" s="58">
        <f t="shared" si="3"/>
        <v>81.099999999999994</v>
      </c>
      <c r="F56" s="58">
        <f t="shared" si="4"/>
        <v>243.29999999999998</v>
      </c>
      <c r="K56" s="58">
        <v>950.3</v>
      </c>
      <c r="U56" s="58" t="s">
        <v>92</v>
      </c>
      <c r="X56" s="58" t="s">
        <v>90</v>
      </c>
      <c r="Y56" s="58">
        <v>2292</v>
      </c>
    </row>
    <row r="57" spans="1:27" s="58" customFormat="1">
      <c r="A57" s="34">
        <v>4</v>
      </c>
      <c r="B57" s="34">
        <v>6</v>
      </c>
      <c r="C57" s="58">
        <v>34.17</v>
      </c>
      <c r="D57" s="58">
        <f t="shared" si="3"/>
        <v>68.34</v>
      </c>
      <c r="F57" s="58">
        <f t="shared" si="4"/>
        <v>205.02</v>
      </c>
      <c r="K57" s="58">
        <v>77.7</v>
      </c>
      <c r="S57" s="58" t="s">
        <v>91</v>
      </c>
      <c r="T57" s="58">
        <v>2178</v>
      </c>
      <c r="U57" s="58">
        <v>3</v>
      </c>
      <c r="V57" s="249">
        <f>T57+T58+T59</f>
        <v>7497</v>
      </c>
    </row>
    <row r="58" spans="1:27" s="58" customFormat="1">
      <c r="A58" s="34">
        <v>4</v>
      </c>
      <c r="B58" s="34">
        <v>6</v>
      </c>
      <c r="C58" s="58">
        <v>64.739999999999995</v>
      </c>
      <c r="D58" s="58">
        <f t="shared" si="3"/>
        <v>129.47999999999999</v>
      </c>
      <c r="F58" s="58">
        <f t="shared" si="4"/>
        <v>388.43999999999994</v>
      </c>
      <c r="K58" s="58">
        <v>5.18</v>
      </c>
      <c r="T58" s="58">
        <v>2685</v>
      </c>
      <c r="V58" s="249"/>
    </row>
    <row r="59" spans="1:27" s="58" customFormat="1">
      <c r="A59" s="34">
        <v>7</v>
      </c>
      <c r="B59" s="34">
        <v>12</v>
      </c>
      <c r="C59" s="58">
        <v>54.88</v>
      </c>
      <c r="D59" s="58">
        <f t="shared" si="3"/>
        <v>274.40000000000003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49"/>
      <c r="Y59" s="58" t="s">
        <v>96</v>
      </c>
      <c r="Z59" s="58">
        <v>260000</v>
      </c>
    </row>
    <row r="60" spans="1:27" s="58" customFormat="1">
      <c r="A60" s="34">
        <v>7</v>
      </c>
      <c r="B60" s="34">
        <v>12</v>
      </c>
      <c r="C60" s="58">
        <v>62.64</v>
      </c>
      <c r="D60" s="58">
        <f t="shared" si="3"/>
        <v>313.2</v>
      </c>
      <c r="F60" s="58">
        <f t="shared" si="4"/>
        <v>751.68000000000006</v>
      </c>
      <c r="V60" s="205"/>
    </row>
    <row r="61" spans="1:27" s="58" customFormat="1">
      <c r="A61" s="34">
        <v>8</v>
      </c>
      <c r="B61" s="34">
        <v>12</v>
      </c>
      <c r="C61" s="58">
        <v>75</v>
      </c>
      <c r="D61" s="58">
        <f t="shared" si="3"/>
        <v>300</v>
      </c>
      <c r="F61" s="58">
        <f t="shared" si="4"/>
        <v>900</v>
      </c>
      <c r="V61" s="205"/>
    </row>
    <row r="62" spans="1:27" s="58" customFormat="1">
      <c r="A62" s="34">
        <v>11</v>
      </c>
      <c r="B62" s="34">
        <v>12</v>
      </c>
      <c r="C62" s="58">
        <v>51.36</v>
      </c>
      <c r="D62" s="58">
        <f t="shared" ref="D62" si="6">(B62-A62)*C62</f>
        <v>51.36</v>
      </c>
      <c r="F62" s="58">
        <f t="shared" ref="F62" si="7">C62*B62</f>
        <v>616.31999999999994</v>
      </c>
      <c r="S62" s="204" t="s">
        <v>93</v>
      </c>
      <c r="T62" s="204">
        <v>2697</v>
      </c>
      <c r="U62" s="204">
        <v>3</v>
      </c>
      <c r="V62" s="204">
        <f>T62/3</f>
        <v>899</v>
      </c>
      <c r="W62" s="58">
        <f>V63-T62</f>
        <v>1544</v>
      </c>
      <c r="Y62" s="58" t="s">
        <v>97</v>
      </c>
      <c r="Z62" s="58">
        <v>3050</v>
      </c>
      <c r="AA62" s="58">
        <f>Z62/2</f>
        <v>1525</v>
      </c>
    </row>
    <row r="63" spans="1:27" s="58" customFormat="1">
      <c r="A63" s="34"/>
      <c r="B63" s="34" t="s">
        <v>82</v>
      </c>
      <c r="C63" s="58">
        <f>C83</f>
        <v>2918</v>
      </c>
      <c r="S63" s="58" t="s">
        <v>94</v>
      </c>
      <c r="T63" s="58">
        <v>1014</v>
      </c>
      <c r="V63" s="249">
        <f>T63+T64+T65</f>
        <v>4241</v>
      </c>
      <c r="Y63" s="58" t="s">
        <v>53</v>
      </c>
      <c r="Z63" s="58">
        <f>Z59-Z62</f>
        <v>256950</v>
      </c>
    </row>
    <row r="64" spans="1:27">
      <c r="A64" s="148"/>
      <c r="B64" s="148"/>
      <c r="C64" s="22"/>
      <c r="D64" s="149">
        <f>C49+C50+C51+C52+C53</f>
        <v>332.18</v>
      </c>
      <c r="E64" s="22"/>
      <c r="F64" s="22"/>
      <c r="J64" s="11"/>
      <c r="K64" s="16">
        <f>K50-K59</f>
        <v>6044.8700000000008</v>
      </c>
      <c r="L64" s="11"/>
      <c r="M64" s="11"/>
      <c r="N64" s="11"/>
      <c r="Q64" s="11"/>
      <c r="R64" s="11"/>
      <c r="T64" s="136">
        <v>1477</v>
      </c>
      <c r="V64" s="249"/>
      <c r="Y64" s="11" t="s">
        <v>98</v>
      </c>
      <c r="Z64" s="16">
        <f>Z63-Y55</f>
        <v>20116</v>
      </c>
    </row>
    <row r="65" spans="1:27">
      <c r="A65" s="177"/>
      <c r="B65" s="178" t="s">
        <v>64</v>
      </c>
      <c r="C65" s="179">
        <f>SUM(C45:C64)</f>
        <v>4158.93</v>
      </c>
      <c r="E65" s="74">
        <f>SUM(E47:E64)</f>
        <v>0</v>
      </c>
      <c r="M65" s="11"/>
      <c r="N65" s="11"/>
      <c r="Q65" s="11"/>
      <c r="R65" s="11"/>
      <c r="S65" s="11" t="s">
        <v>95</v>
      </c>
      <c r="T65" s="136">
        <v>1750</v>
      </c>
      <c r="V65" s="257"/>
      <c r="Y65" s="150" t="s">
        <v>99</v>
      </c>
      <c r="Z65" s="22">
        <f>Z64+AA62</f>
        <v>21641</v>
      </c>
    </row>
    <row r="66" spans="1:27">
      <c r="B66" s="180" t="s">
        <v>65</v>
      </c>
      <c r="C66" s="223">
        <f>C65-E65</f>
        <v>4158.93</v>
      </c>
      <c r="D66" s="224"/>
      <c r="E66" s="181"/>
      <c r="M66" s="11"/>
      <c r="N66" s="11"/>
      <c r="Q66" s="11"/>
      <c r="R66" s="11"/>
      <c r="U66" s="16">
        <f>T64+T63</f>
        <v>2491</v>
      </c>
      <c r="V66" s="16">
        <f>T62-U66</f>
        <v>206</v>
      </c>
      <c r="Y66" s="16"/>
    </row>
    <row r="67" spans="1:27">
      <c r="B67" s="250" t="s">
        <v>82</v>
      </c>
      <c r="C67" s="28">
        <v>79</v>
      </c>
      <c r="M67" s="11"/>
      <c r="N67" s="11"/>
      <c r="Q67" s="11"/>
      <c r="R67" s="11"/>
      <c r="Y67" s="16" t="s">
        <v>100</v>
      </c>
      <c r="Z67" s="136">
        <v>5000</v>
      </c>
    </row>
    <row r="68" spans="1:27">
      <c r="B68" s="251"/>
      <c r="C68" s="28">
        <v>1005</v>
      </c>
      <c r="M68" s="11"/>
      <c r="N68" s="11"/>
      <c r="Q68" s="11"/>
      <c r="R68" s="11"/>
      <c r="Y68" s="206" t="s">
        <v>101</v>
      </c>
      <c r="Z68" s="30">
        <v>-206</v>
      </c>
    </row>
    <row r="69" spans="1:27">
      <c r="B69" s="251"/>
      <c r="C69" s="28">
        <v>90</v>
      </c>
      <c r="Y69" s="11" t="s">
        <v>102</v>
      </c>
      <c r="Z69" s="136">
        <v>2292</v>
      </c>
    </row>
    <row r="70" spans="1:27">
      <c r="B70" s="251"/>
      <c r="C70" s="28">
        <v>99</v>
      </c>
      <c r="Y70" s="11" t="s">
        <v>103</v>
      </c>
      <c r="Z70" s="136">
        <v>2000</v>
      </c>
      <c r="AA70" s="136">
        <f>4000/2</f>
        <v>2000</v>
      </c>
    </row>
    <row r="71" spans="1:27">
      <c r="B71" s="251"/>
      <c r="C71" s="28">
        <v>105</v>
      </c>
      <c r="Z71" s="136"/>
    </row>
    <row r="72" spans="1:27">
      <c r="B72" s="251"/>
      <c r="C72" s="28">
        <v>114</v>
      </c>
      <c r="Y72" s="11" t="s">
        <v>12</v>
      </c>
      <c r="Z72" s="136">
        <f>SUM(Z67:Z71)</f>
        <v>9086</v>
      </c>
      <c r="AA72" s="16">
        <f>Z67+Z68+Z69+AA70</f>
        <v>9086</v>
      </c>
    </row>
    <row r="73" spans="1:27">
      <c r="B73" s="251"/>
      <c r="C73" s="28">
        <v>33</v>
      </c>
      <c r="Z73" s="136"/>
    </row>
    <row r="74" spans="1:27">
      <c r="B74" s="251"/>
      <c r="C74" s="28">
        <v>904</v>
      </c>
    </row>
    <row r="75" spans="1:27">
      <c r="B75" s="251"/>
      <c r="C75" s="28">
        <v>218</v>
      </c>
    </row>
    <row r="76" spans="1:27">
      <c r="B76" s="251"/>
      <c r="C76" s="28">
        <v>175</v>
      </c>
    </row>
    <row r="77" spans="1:27">
      <c r="B77" s="251"/>
    </row>
    <row r="78" spans="1:27">
      <c r="B78" s="251"/>
      <c r="C78" s="28">
        <v>39</v>
      </c>
    </row>
    <row r="79" spans="1:27">
      <c r="B79" s="251"/>
      <c r="C79" s="28">
        <v>57</v>
      </c>
    </row>
    <row r="80" spans="1:27">
      <c r="B80" s="251"/>
    </row>
    <row r="81" spans="2:3">
      <c r="B81" s="251"/>
    </row>
    <row r="82" spans="2:3">
      <c r="B82" s="252"/>
    </row>
    <row r="83" spans="2:3">
      <c r="C83" s="28">
        <f>SUM(C67:C82)</f>
        <v>2918</v>
      </c>
    </row>
  </sheetData>
  <mergeCells count="21">
    <mergeCell ref="G45:G48"/>
    <mergeCell ref="T51:Y51"/>
    <mergeCell ref="C66:D66"/>
    <mergeCell ref="B67:B82"/>
    <mergeCell ref="T17:Y17"/>
    <mergeCell ref="O27:O28"/>
    <mergeCell ref="C35:D35"/>
    <mergeCell ref="K35:L35"/>
    <mergeCell ref="S35:X35"/>
    <mergeCell ref="C37:L37"/>
    <mergeCell ref="S53:X53"/>
    <mergeCell ref="S54:X54"/>
    <mergeCell ref="S52:X52"/>
    <mergeCell ref="V57:V59"/>
    <mergeCell ref="V63:V65"/>
    <mergeCell ref="M3:N3"/>
    <mergeCell ref="A1:G1"/>
    <mergeCell ref="H1:P1"/>
    <mergeCell ref="S1:X1"/>
    <mergeCell ref="A2:G2"/>
    <mergeCell ref="I2:P2"/>
  </mergeCells>
  <conditionalFormatting sqref="L23">
    <cfRule type="cellIs" dxfId="0" priority="1" operator="equal">
      <formula>$O$10</formula>
    </cfRule>
  </conditionalFormatting>
  <hyperlinks>
    <hyperlink ref="Q40" r:id="rId1" xr:uid="{13A7817F-0AB6-419B-BD22-53333674A1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BD96-796E-498C-8C2B-33F016E831BE}">
  <sheetPr>
    <tabColor rgb="FF00B050"/>
  </sheetPr>
  <dimension ref="A1:AA83"/>
  <sheetViews>
    <sheetView workbookViewId="0">
      <selection activeCell="I10" activeCellId="1" sqref="I15:I16 I10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25">
        <v>243497</v>
      </c>
      <c r="B1" s="225"/>
      <c r="C1" s="225"/>
      <c r="D1" s="225"/>
      <c r="E1" s="225"/>
      <c r="F1" s="225"/>
      <c r="G1" s="225"/>
      <c r="H1" s="226" t="s">
        <v>0</v>
      </c>
      <c r="I1" s="226"/>
      <c r="J1" s="226"/>
      <c r="K1" s="226"/>
      <c r="L1" s="226"/>
      <c r="M1" s="226"/>
      <c r="N1" s="226"/>
      <c r="O1" s="226"/>
      <c r="P1" s="226"/>
      <c r="Q1" s="1" t="s">
        <v>1</v>
      </c>
      <c r="R1" s="2"/>
      <c r="S1" s="227" t="s">
        <v>2</v>
      </c>
      <c r="T1" s="228"/>
      <c r="U1" s="228"/>
      <c r="V1" s="228"/>
      <c r="W1" s="228"/>
      <c r="X1" s="229"/>
    </row>
    <row r="2" spans="1:27" s="4" customFormat="1" ht="18.75">
      <c r="A2" s="230" t="s">
        <v>3</v>
      </c>
      <c r="B2" s="230"/>
      <c r="C2" s="230"/>
      <c r="D2" s="230"/>
      <c r="E2" s="230"/>
      <c r="F2" s="230"/>
      <c r="G2" s="230"/>
      <c r="I2" s="231" t="s">
        <v>4</v>
      </c>
      <c r="J2" s="231"/>
      <c r="K2" s="231"/>
      <c r="L2" s="231"/>
      <c r="M2" s="231"/>
      <c r="N2" s="231"/>
      <c r="O2" s="231"/>
      <c r="P2" s="23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2" t="s">
        <v>5</v>
      </c>
      <c r="N3" s="23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4266.6400000000003</v>
      </c>
      <c r="D11" s="53" t="s">
        <v>106</v>
      </c>
      <c r="E11" s="15">
        <v>4</v>
      </c>
      <c r="F11" s="54"/>
      <c r="I11" s="197">
        <v>8</v>
      </c>
      <c r="J11" s="210" t="s">
        <v>105</v>
      </c>
      <c r="K11" s="87">
        <v>478.2</v>
      </c>
      <c r="L11" s="88" t="s">
        <v>49</v>
      </c>
      <c r="M11" s="89">
        <v>1</v>
      </c>
      <c r="N11" s="89">
        <v>10</v>
      </c>
      <c r="O11" s="16">
        <f>K11*(N11+1-M11)</f>
        <v>4782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3268</v>
      </c>
      <c r="D13"/>
      <c r="I13" s="197">
        <v>10</v>
      </c>
      <c r="J13" s="191" t="s">
        <v>108</v>
      </c>
      <c r="K13" s="192">
        <v>322.39999999999998</v>
      </c>
      <c r="L13" s="112" t="s">
        <v>49</v>
      </c>
      <c r="M13" s="17">
        <v>1</v>
      </c>
      <c r="N13" s="17">
        <v>10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197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197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197">
        <v>13</v>
      </c>
      <c r="J16" s="77" t="s">
        <v>36</v>
      </c>
      <c r="K16" s="78">
        <f>C65</f>
        <v>5029.55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197">
        <v>14</v>
      </c>
      <c r="J17" s="81" t="s">
        <v>38</v>
      </c>
      <c r="K17" s="82">
        <v>2140</v>
      </c>
      <c r="L17" s="83" t="s">
        <v>39</v>
      </c>
      <c r="M17" s="84">
        <v>13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3">
        <f>T15+U15+V15+W15+X15+T16+U16+V16+W16+X16+Y15+Y16</f>
        <v>286359</v>
      </c>
      <c r="U17" s="234"/>
      <c r="V17" s="234"/>
      <c r="W17" s="234"/>
      <c r="X17" s="234"/>
      <c r="Y17" s="235"/>
    </row>
    <row r="18" spans="1:25">
      <c r="A18" s="17">
        <v>15</v>
      </c>
      <c r="B18" s="63"/>
      <c r="C18" s="75"/>
      <c r="D18" s="76"/>
      <c r="I18" s="197">
        <v>15</v>
      </c>
      <c r="J18" s="86" t="s">
        <v>81</v>
      </c>
      <c r="K18" s="87">
        <f>R18</f>
        <v>3449.0894999999996</v>
      </c>
      <c r="L18" s="88" t="s">
        <v>42</v>
      </c>
      <c r="M18" s="89"/>
      <c r="N18" s="89"/>
      <c r="O18" s="90">
        <v>114969.65</v>
      </c>
      <c r="P18" s="30">
        <v>0</v>
      </c>
      <c r="Q18" s="67">
        <f>O18+P18</f>
        <v>114969.65</v>
      </c>
      <c r="R18" s="68">
        <f>Q18*0.03</f>
        <v>3449.0894999999996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197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197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18" t="s">
        <v>48</v>
      </c>
      <c r="K21" s="16">
        <f>2940</f>
        <v>2940</v>
      </c>
      <c r="L21" s="76" t="s">
        <v>48</v>
      </c>
      <c r="M21" s="15">
        <v>16</v>
      </c>
      <c r="N21" s="15">
        <v>60</v>
      </c>
      <c r="O21" s="16">
        <v>84154.9</v>
      </c>
      <c r="P21" s="75">
        <f>K21/2</f>
        <v>1470</v>
      </c>
      <c r="Q21" s="16"/>
      <c r="R21" s="16"/>
      <c r="S21" s="91"/>
      <c r="T21" s="92"/>
      <c r="U21" s="92"/>
    </row>
    <row r="22" spans="1:25">
      <c r="A22" s="17">
        <v>19</v>
      </c>
      <c r="C22" s="16"/>
      <c r="I22" s="197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197">
        <v>20</v>
      </c>
      <c r="J23" s="191" t="s">
        <v>84</v>
      </c>
      <c r="K23" s="200">
        <v>325.89999999999998</v>
      </c>
      <c r="L23" s="112" t="s">
        <v>49</v>
      </c>
      <c r="M23" s="114">
        <v>4</v>
      </c>
      <c r="N23" s="24" t="s">
        <v>85</v>
      </c>
      <c r="O23" s="16">
        <f>625.9*(N23+1-M23)</f>
        <v>4381.3</v>
      </c>
      <c r="P23" s="207"/>
      <c r="Q23" s="40"/>
      <c r="R23" s="208"/>
      <c r="S23" s="91"/>
      <c r="T23" s="92"/>
      <c r="U23" s="92"/>
    </row>
    <row r="24" spans="1:25">
      <c r="A24" s="17">
        <v>21</v>
      </c>
      <c r="C24" s="16"/>
      <c r="F24" s="107"/>
      <c r="I24" s="197">
        <v>21</v>
      </c>
      <c r="J24" s="133" t="s">
        <v>86</v>
      </c>
      <c r="K24" s="74">
        <v>220</v>
      </c>
      <c r="L24" s="212"/>
      <c r="M24" s="15"/>
      <c r="N24" s="15"/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197">
        <v>22</v>
      </c>
      <c r="J25" s="213" t="s">
        <v>71</v>
      </c>
      <c r="K25" s="214">
        <f>5350-1470-300</f>
        <v>3580</v>
      </c>
      <c r="L25" s="215" t="s">
        <v>88</v>
      </c>
      <c r="M25" s="17">
        <v>7</v>
      </c>
      <c r="N25" s="17">
        <f>12*24</f>
        <v>288</v>
      </c>
      <c r="O25" s="253">
        <f>K25+K26</f>
        <v>4980</v>
      </c>
      <c r="P25" s="30">
        <v>0</v>
      </c>
      <c r="Q25" s="16"/>
      <c r="R25" s="16">
        <f>O25*0.05</f>
        <v>249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197">
        <v>23</v>
      </c>
      <c r="J26" s="213" t="s">
        <v>72</v>
      </c>
      <c r="K26" s="214">
        <v>1400</v>
      </c>
      <c r="L26" s="215"/>
      <c r="M26" s="17">
        <v>6</v>
      </c>
      <c r="N26" s="24" t="s">
        <v>78</v>
      </c>
      <c r="O26" s="254"/>
      <c r="P26" s="30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197">
        <v>24</v>
      </c>
      <c r="J27" s="49" t="s">
        <v>109</v>
      </c>
      <c r="K27" s="50">
        <f>P27/2</f>
        <v>350</v>
      </c>
      <c r="L27" s="51" t="s">
        <v>110</v>
      </c>
      <c r="O27" s="216">
        <v>20000</v>
      </c>
      <c r="P27" s="16">
        <v>700</v>
      </c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K28" s="16"/>
      <c r="N28" s="24"/>
      <c r="O28" s="217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K29" s="16"/>
      <c r="O29" s="16"/>
      <c r="P29" s="202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K30" s="16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6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36">
        <f>C4+C5+C6+C7+C8+C9+C10+C11+C12+C13+C14+C15+C16+C17+C18+C19+C20+C21</f>
        <v>41103.64</v>
      </c>
      <c r="D35" s="236"/>
      <c r="J35" s="124" t="s">
        <v>52</v>
      </c>
      <c r="K35" s="237">
        <f>SUM(K4:K34)</f>
        <v>25098.139500000001</v>
      </c>
      <c r="L35" s="238"/>
      <c r="N35" s="24"/>
      <c r="O35" s="16"/>
      <c r="P35" s="30">
        <f>P18+P25+P26+P29+P30</f>
        <v>0</v>
      </c>
      <c r="Q35" s="40"/>
      <c r="R35" s="40"/>
      <c r="S35" s="227" t="s">
        <v>73</v>
      </c>
      <c r="T35" s="228"/>
      <c r="U35" s="228"/>
      <c r="V35" s="228"/>
      <c r="W35" s="228"/>
      <c r="X35" s="22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39">
        <f>C35-K35</f>
        <v>16005.500499999998</v>
      </c>
      <c r="D37" s="240"/>
      <c r="E37" s="240"/>
      <c r="F37" s="240"/>
      <c r="G37" s="240"/>
      <c r="H37" s="240"/>
      <c r="I37" s="240"/>
      <c r="J37" s="240"/>
      <c r="K37" s="240"/>
      <c r="L37" s="24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50000</v>
      </c>
      <c r="D38" s="130"/>
      <c r="E38" s="131"/>
      <c r="F38" s="131"/>
      <c r="G38" s="131"/>
      <c r="H38" s="131"/>
      <c r="I38" s="132"/>
      <c r="N38" s="24"/>
      <c r="O38" s="16">
        <f>K17+K18+K23+1000</f>
        <v>6914.9894999999997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50000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 t="s">
        <v>107</v>
      </c>
      <c r="L42" s="40">
        <f>2435.67*2</f>
        <v>4871.34</v>
      </c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211">
        <f>P35</f>
        <v>0</v>
      </c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211">
        <f>SUM(L42:L43)</f>
        <v>4871.34</v>
      </c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44.73</v>
      </c>
      <c r="D45" s="58">
        <f>(B45-A45)*C45</f>
        <v>178.92</v>
      </c>
      <c r="F45" s="58">
        <f>C45*B45</f>
        <v>268.38</v>
      </c>
      <c r="G45" s="248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6</v>
      </c>
      <c r="C46" s="58">
        <v>138.88</v>
      </c>
      <c r="D46" s="58">
        <f t="shared" ref="D46:D62" si="3">(B46-A46)*C46</f>
        <v>555.52</v>
      </c>
      <c r="F46" s="58">
        <f t="shared" ref="F46:F62" si="4">C46*B46</f>
        <v>833.28</v>
      </c>
      <c r="G46" s="24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184.48</v>
      </c>
      <c r="D47" s="58">
        <f t="shared" si="3"/>
        <v>737.92</v>
      </c>
      <c r="F47" s="58">
        <f t="shared" si="4"/>
        <v>1106.8799999999999</v>
      </c>
      <c r="G47" s="24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13.4</v>
      </c>
      <c r="D48" s="58">
        <f t="shared" si="3"/>
        <v>53.6</v>
      </c>
      <c r="F48" s="58">
        <f t="shared" si="4"/>
        <v>80.400000000000006</v>
      </c>
      <c r="G48" s="249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2</v>
      </c>
      <c r="B49" s="34">
        <v>6</v>
      </c>
      <c r="C49" s="58">
        <v>96.24</v>
      </c>
      <c r="D49" s="58">
        <f t="shared" si="3"/>
        <v>384.96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3</v>
      </c>
      <c r="B50" s="34">
        <v>6</v>
      </c>
      <c r="C50" s="58">
        <v>66.13</v>
      </c>
      <c r="D50" s="58">
        <f t="shared" si="3"/>
        <v>198.39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>
        <v>0</v>
      </c>
      <c r="B51" s="34">
        <v>0</v>
      </c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33">
        <f>T49+U49+V49+W49+X49+T50+U50+V50+W50+X50+Y49+Y50</f>
        <v>15000</v>
      </c>
      <c r="U51" s="234"/>
      <c r="V51" s="234"/>
      <c r="W51" s="234"/>
      <c r="X51" s="234"/>
      <c r="Y51" s="235"/>
      <c r="Z51" s="58">
        <v>260000</v>
      </c>
    </row>
    <row r="52" spans="1:27" s="58" customFormat="1">
      <c r="A52" s="34">
        <v>4</v>
      </c>
      <c r="B52" s="34">
        <v>6</v>
      </c>
      <c r="C52" s="58">
        <v>36.549999999999997</v>
      </c>
      <c r="D52" s="58">
        <f t="shared" si="3"/>
        <v>73.099999999999994</v>
      </c>
      <c r="F52" s="58">
        <f t="shared" si="4"/>
        <v>219.29999999999998</v>
      </c>
      <c r="K52" s="58">
        <v>882</v>
      </c>
      <c r="L52" s="58">
        <f>K56</f>
        <v>950.3</v>
      </c>
      <c r="S52" s="256" t="s">
        <v>74</v>
      </c>
      <c r="T52" s="256"/>
      <c r="U52" s="256"/>
      <c r="V52" s="256"/>
      <c r="W52" s="256"/>
      <c r="X52" s="256"/>
      <c r="Y52" s="194">
        <f>T17-T51</f>
        <v>271359</v>
      </c>
      <c r="Z52" s="58">
        <v>256950</v>
      </c>
    </row>
    <row r="53" spans="1:27" s="58" customFormat="1">
      <c r="A53" s="34">
        <v>4</v>
      </c>
      <c r="B53" s="34">
        <v>6</v>
      </c>
      <c r="C53" s="58">
        <v>70.83</v>
      </c>
      <c r="D53" s="58">
        <f t="shared" si="3"/>
        <v>141.66</v>
      </c>
      <c r="F53" s="58">
        <f t="shared" si="4"/>
        <v>424.98</v>
      </c>
      <c r="K53" s="58">
        <v>625.9</v>
      </c>
      <c r="L53" s="58">
        <f>K52</f>
        <v>882</v>
      </c>
      <c r="S53" s="255" t="s">
        <v>75</v>
      </c>
      <c r="T53" s="255"/>
      <c r="U53" s="255"/>
      <c r="V53" s="255"/>
      <c r="W53" s="255"/>
      <c r="X53" s="255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34">
        <v>4</v>
      </c>
      <c r="B54" s="34">
        <v>6</v>
      </c>
      <c r="C54" s="58">
        <v>85.97</v>
      </c>
      <c r="D54" s="58">
        <f t="shared" si="3"/>
        <v>171.94</v>
      </c>
      <c r="F54" s="58">
        <f t="shared" si="4"/>
        <v>515.81999999999994</v>
      </c>
      <c r="K54" s="58">
        <v>835</v>
      </c>
      <c r="S54" s="255" t="s">
        <v>76</v>
      </c>
      <c r="T54" s="255"/>
      <c r="U54" s="255"/>
      <c r="V54" s="255"/>
      <c r="W54" s="255"/>
      <c r="X54" s="255"/>
      <c r="Y54" s="58">
        <v>18925</v>
      </c>
    </row>
    <row r="55" spans="1:27" s="58" customFormat="1">
      <c r="A55" s="34">
        <v>4</v>
      </c>
      <c r="B55" s="34">
        <v>6</v>
      </c>
      <c r="C55" s="58">
        <v>57.95</v>
      </c>
      <c r="D55" s="58">
        <f t="shared" si="3"/>
        <v>115.9</v>
      </c>
      <c r="F55" s="58">
        <f t="shared" si="4"/>
        <v>347.70000000000005</v>
      </c>
      <c r="K55" s="58">
        <v>686.4</v>
      </c>
      <c r="X55" s="203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34">
        <v>5</v>
      </c>
      <c r="B56" s="34">
        <v>6</v>
      </c>
      <c r="C56" s="58">
        <v>40.549999999999997</v>
      </c>
      <c r="D56" s="58">
        <f t="shared" si="3"/>
        <v>40.549999999999997</v>
      </c>
      <c r="F56" s="58">
        <f t="shared" si="4"/>
        <v>243.29999999999998</v>
      </c>
      <c r="K56" s="58">
        <v>950.3</v>
      </c>
      <c r="U56" s="58" t="s">
        <v>92</v>
      </c>
      <c r="X56" s="58" t="s">
        <v>90</v>
      </c>
      <c r="Y56" s="58">
        <v>2292</v>
      </c>
    </row>
    <row r="57" spans="1:27" s="58" customFormat="1">
      <c r="A57" s="34">
        <v>5</v>
      </c>
      <c r="B57" s="34">
        <v>6</v>
      </c>
      <c r="C57" s="58">
        <v>34.17</v>
      </c>
      <c r="D57" s="58">
        <f t="shared" si="3"/>
        <v>34.17</v>
      </c>
      <c r="F57" s="58">
        <f t="shared" si="4"/>
        <v>205.02</v>
      </c>
      <c r="K57" s="58">
        <v>77.7</v>
      </c>
      <c r="S57" s="58" t="s">
        <v>91</v>
      </c>
      <c r="T57" s="58">
        <v>2178</v>
      </c>
      <c r="U57" s="58">
        <v>3</v>
      </c>
      <c r="V57" s="249">
        <f>T57+T58+T59</f>
        <v>7497</v>
      </c>
    </row>
    <row r="58" spans="1:27" s="58" customFormat="1">
      <c r="A58" s="34">
        <v>5</v>
      </c>
      <c r="B58" s="34">
        <v>6</v>
      </c>
      <c r="C58" s="58">
        <v>64.739999999999995</v>
      </c>
      <c r="D58" s="58">
        <f t="shared" si="3"/>
        <v>64.739999999999995</v>
      </c>
      <c r="F58" s="58">
        <f t="shared" si="4"/>
        <v>388.43999999999994</v>
      </c>
      <c r="K58" s="58">
        <v>5.18</v>
      </c>
      <c r="T58" s="58">
        <v>2685</v>
      </c>
      <c r="V58" s="249"/>
    </row>
    <row r="59" spans="1:27" s="58" customFormat="1">
      <c r="A59" s="34">
        <v>8</v>
      </c>
      <c r="B59" s="34">
        <v>12</v>
      </c>
      <c r="C59" s="58">
        <v>54.88</v>
      </c>
      <c r="D59" s="58">
        <f t="shared" si="3"/>
        <v>219.52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49"/>
      <c r="Y59" s="58" t="s">
        <v>96</v>
      </c>
      <c r="Z59" s="58">
        <v>260000</v>
      </c>
    </row>
    <row r="60" spans="1:27" s="58" customFormat="1">
      <c r="A60" s="34">
        <v>8</v>
      </c>
      <c r="B60" s="34">
        <v>12</v>
      </c>
      <c r="C60" s="58">
        <v>62.64</v>
      </c>
      <c r="D60" s="58">
        <f t="shared" si="3"/>
        <v>250.56</v>
      </c>
      <c r="F60" s="58">
        <f t="shared" si="4"/>
        <v>751.68000000000006</v>
      </c>
      <c r="O60" s="58">
        <f>793/2</f>
        <v>396.5</v>
      </c>
      <c r="S60" s="204" t="s">
        <v>93</v>
      </c>
      <c r="T60" s="204">
        <v>2697</v>
      </c>
      <c r="U60" s="204">
        <v>3</v>
      </c>
      <c r="V60" s="204">
        <f>T60/3</f>
        <v>899</v>
      </c>
      <c r="W60" s="58">
        <f>V61-T60</f>
        <v>1544</v>
      </c>
      <c r="Y60" s="58" t="s">
        <v>97</v>
      </c>
      <c r="Z60" s="58">
        <v>3050</v>
      </c>
      <c r="AA60" s="58">
        <f>Z60/2</f>
        <v>1525</v>
      </c>
    </row>
    <row r="61" spans="1:27" s="58" customFormat="1">
      <c r="A61" s="34">
        <v>9</v>
      </c>
      <c r="B61" s="34">
        <v>12</v>
      </c>
      <c r="C61" s="58">
        <v>75</v>
      </c>
      <c r="D61" s="58">
        <f t="shared" si="3"/>
        <v>225</v>
      </c>
      <c r="F61" s="58">
        <f t="shared" si="4"/>
        <v>900</v>
      </c>
      <c r="S61" s="58" t="s">
        <v>94</v>
      </c>
      <c r="T61" s="58">
        <v>1014</v>
      </c>
      <c r="V61" s="249">
        <f>T61+T62+T63</f>
        <v>4241</v>
      </c>
      <c r="Y61" s="58" t="s">
        <v>53</v>
      </c>
      <c r="Z61" s="58">
        <f>Z59-Z60</f>
        <v>256950</v>
      </c>
    </row>
    <row r="62" spans="1:27">
      <c r="A62" s="34">
        <v>12</v>
      </c>
      <c r="B62" s="34">
        <v>12</v>
      </c>
      <c r="C62" s="58">
        <v>47.41</v>
      </c>
      <c r="D62" s="58">
        <f t="shared" si="3"/>
        <v>0</v>
      </c>
      <c r="E62" s="58"/>
      <c r="F62" s="58">
        <f t="shared" si="4"/>
        <v>568.91999999999996</v>
      </c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49"/>
      <c r="Y62" s="11" t="s">
        <v>98</v>
      </c>
      <c r="Z62" s="16">
        <f>Z61-Y55</f>
        <v>20116</v>
      </c>
    </row>
    <row r="63" spans="1:27">
      <c r="A63" s="34"/>
      <c r="B63" s="34" t="s">
        <v>82</v>
      </c>
      <c r="C63" s="58">
        <f>C83</f>
        <v>3855</v>
      </c>
      <c r="D63" s="58"/>
      <c r="E63" s="58"/>
      <c r="F63" s="58"/>
      <c r="G63" s="58"/>
      <c r="M63" s="11"/>
      <c r="N63" s="11"/>
      <c r="Q63" s="11"/>
      <c r="R63" s="11"/>
      <c r="S63" s="11" t="s">
        <v>95</v>
      </c>
      <c r="T63" s="136">
        <v>1750</v>
      </c>
      <c r="V63" s="257"/>
      <c r="Y63" s="150" t="s">
        <v>99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269.75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5029.55</v>
      </c>
      <c r="E65" s="74">
        <f>SUM(E47:E64)</f>
        <v>0</v>
      </c>
      <c r="M65" s="11"/>
      <c r="N65" s="11"/>
      <c r="Q65" s="11"/>
      <c r="R65" s="11"/>
      <c r="Y65" s="16" t="s">
        <v>100</v>
      </c>
      <c r="Z65" s="136">
        <v>5000</v>
      </c>
    </row>
    <row r="66" spans="1:27">
      <c r="B66" s="180" t="s">
        <v>65</v>
      </c>
      <c r="C66" s="223">
        <f>C65-E65</f>
        <v>5029.55</v>
      </c>
      <c r="D66" s="224"/>
      <c r="E66" s="181"/>
      <c r="M66" s="11"/>
      <c r="N66" s="11"/>
      <c r="Q66" s="11"/>
      <c r="R66" s="11"/>
      <c r="Y66" s="206" t="s">
        <v>101</v>
      </c>
      <c r="Z66" s="30">
        <v>-206</v>
      </c>
    </row>
    <row r="67" spans="1:27">
      <c r="B67" s="250" t="s">
        <v>82</v>
      </c>
      <c r="C67" s="28">
        <v>411</v>
      </c>
      <c r="Y67" s="11" t="s">
        <v>102</v>
      </c>
      <c r="Z67" s="136">
        <v>2292</v>
      </c>
    </row>
    <row r="68" spans="1:27">
      <c r="B68" s="251"/>
      <c r="C68" s="28">
        <v>18</v>
      </c>
      <c r="Y68" s="11" t="s">
        <v>103</v>
      </c>
      <c r="Z68" s="136">
        <v>2000</v>
      </c>
      <c r="AA68" s="136">
        <f>4000/2</f>
        <v>2000</v>
      </c>
    </row>
    <row r="69" spans="1:27">
      <c r="B69" s="251"/>
      <c r="C69" s="28">
        <v>24</v>
      </c>
      <c r="Z69" s="136"/>
    </row>
    <row r="70" spans="1:27">
      <c r="B70" s="251"/>
      <c r="C70" s="28">
        <v>134</v>
      </c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51"/>
      <c r="C71" s="28">
        <v>3268</v>
      </c>
      <c r="Z71" s="136"/>
    </row>
    <row r="72" spans="1:27">
      <c r="B72" s="251"/>
    </row>
    <row r="73" spans="1:27">
      <c r="B73" s="251"/>
    </row>
    <row r="74" spans="1:27">
      <c r="B74" s="251"/>
    </row>
    <row r="75" spans="1:27">
      <c r="B75" s="251"/>
    </row>
    <row r="76" spans="1:27">
      <c r="B76" s="251"/>
    </row>
    <row r="77" spans="1:27">
      <c r="B77" s="251"/>
    </row>
    <row r="78" spans="1:27">
      <c r="B78" s="251"/>
    </row>
    <row r="79" spans="1:27">
      <c r="B79" s="251"/>
    </row>
    <row r="80" spans="1:27">
      <c r="B80" s="251"/>
    </row>
    <row r="81" spans="2:3">
      <c r="B81" s="251"/>
    </row>
    <row r="82" spans="2:3">
      <c r="B82" s="252"/>
    </row>
    <row r="83" spans="2:3">
      <c r="C83" s="28">
        <f>SUM(C67:C82)</f>
        <v>3855</v>
      </c>
    </row>
  </sheetData>
  <mergeCells count="21">
    <mergeCell ref="V61:V63"/>
    <mergeCell ref="C66:D66"/>
    <mergeCell ref="B67:B82"/>
    <mergeCell ref="G45:G48"/>
    <mergeCell ref="T51:Y51"/>
    <mergeCell ref="S52:X52"/>
    <mergeCell ref="S53:X53"/>
    <mergeCell ref="S54:X54"/>
    <mergeCell ref="V57:V59"/>
    <mergeCell ref="C37:L37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S35:X35"/>
    <mergeCell ref="O25:O26"/>
  </mergeCells>
  <hyperlinks>
    <hyperlink ref="Q40" r:id="rId1" xr:uid="{0B5F24D7-5F2D-4937-9E22-18EF8F0EEB6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Thonnapat Thangthong</cp:lastModifiedBy>
  <dcterms:created xsi:type="dcterms:W3CDTF">2023-02-01T04:01:20Z</dcterms:created>
  <dcterms:modified xsi:type="dcterms:W3CDTF">2023-11-14T04:01:39Z</dcterms:modified>
</cp:coreProperties>
</file>